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4835" windowHeight="3330" activeTab="0"/>
  </bookViews>
  <sheets>
    <sheet name="CowCalf" sheetId="1" r:id="rId1"/>
    <sheet name="Feeders" sheetId="2" r:id="rId2"/>
    <sheet name="Stockers" sheetId="3" r:id="rId3"/>
    <sheet name="Macros" sheetId="4" r:id="rId4"/>
    <sheet name="InputForm" sheetId="5" r:id="rId5"/>
  </sheets>
  <definedNames>
    <definedName name="_Order1" hidden="1">255</definedName>
    <definedName name="_Order2" hidden="1">255</definedName>
    <definedName name="PRINT_ALL">'Macros'!$H$6</definedName>
    <definedName name="_xlnm.Print_Area" localSheetId="0">'CowCalf'!$A$3:$D$57</definedName>
    <definedName name="_xlnm.Print_Area" localSheetId="3">'Macros'!$A$1:$D$30</definedName>
    <definedName name="Print_Area_MI" localSheetId="0">'CowCalf'!$A$3:$D$60</definedName>
    <definedName name="PRINT_COMPARE">'Macros'!$B$40</definedName>
    <definedName name="PRINT_COW_CALF">'Macros'!$B$6</definedName>
    <definedName name="PRINT_COW_LEASE">'Macros'!$H$33</definedName>
    <definedName name="PRINT_FEEDERS">'Macros'!$B$21</definedName>
    <definedName name="PRINT_STOCKERS">'Macros'!$B$31</definedName>
  </definedNames>
  <calcPr fullCalcOnLoad="1"/>
</workbook>
</file>

<file path=xl/comments1.xml><?xml version="1.0" encoding="utf-8"?>
<comments xmlns="http://schemas.openxmlformats.org/spreadsheetml/2006/main">
  <authors>
    <author>Duane Griffith</author>
  </authors>
  <commentList>
    <comment ref="A89" authorId="0">
      <text>
        <r>
          <rPr>
            <b/>
            <sz val="10"/>
            <color indexed="8"/>
            <rFont val="Tahoma"/>
            <family val="2"/>
          </rPr>
          <t xml:space="preserve">Care must be taken when reporting feed costs.  You should report all purchased feed costs here.  For raised feed on your own land, or leased land report the cost of inputs necessary for the hay enterprise (fuel, oil, repairs, cash labor, twine and other supplies, water costs, etc.) in the appropriate places below.  This is also true of owned grazing or leased grazing land.  Leased costs for the land can be reported in the feed cost section ($ per acre, $ per ton, $ per aum) but additional costs necessary to put up should also be reported.  The expenses reported should also be prorated to adjust for the amount of feed actually utilized by the cow-calf enterprise.  For example, if you raise 400 ton of hay per year but only feed 300 ton and the excess production is sold as a cash crop, include only expenses for producing the 300 ton fed to the cow-calf enterprise.  
Summary:
1. Report all purchase fed and AUMs of grazing
2. Report the lease costs for any leased land involved in hay or grazing  AND
3. Report the expense associated with producing hay or maintaining grazing.
</t>
        </r>
        <r>
          <rPr>
            <b/>
            <sz val="10"/>
            <color indexed="10"/>
            <rFont val="Tahoma"/>
            <family val="2"/>
          </rPr>
          <t>Do Not Double Count Expenses!!!!!</t>
        </r>
        <r>
          <rPr>
            <sz val="10"/>
            <rFont val="Tahoma"/>
            <family val="2"/>
          </rPr>
          <t xml:space="preserve">
</t>
        </r>
      </text>
    </comment>
    <comment ref="A104"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2"/>
          </rPr>
          <t xml:space="preserve">
</t>
        </r>
      </text>
    </comment>
    <comment ref="A119" authorId="0">
      <text>
        <r>
          <rPr>
            <b/>
            <sz val="8"/>
            <color indexed="10"/>
            <rFont val="Tahoma"/>
            <family val="2"/>
          </rPr>
          <t xml:space="preserve">
Do Not Double Count Expenses!!!!!
</t>
        </r>
        <r>
          <rPr>
            <b/>
            <sz val="8"/>
            <color indexed="8"/>
            <rFont val="Tahoma"/>
            <family val="2"/>
          </rPr>
          <t xml:space="preserve">
Please read the Help message next to feed costs above.</t>
        </r>
        <r>
          <rPr>
            <b/>
            <sz val="8"/>
            <color indexed="10"/>
            <rFont val="Tahoma"/>
            <family val="2"/>
          </rPr>
          <t xml:space="preserve">
</t>
        </r>
        <r>
          <rPr>
            <sz val="8"/>
            <rFont val="Tahoma"/>
            <family val="2"/>
          </rPr>
          <t xml:space="preserve">
</t>
        </r>
      </text>
    </comment>
    <comment ref="A157" authorId="0">
      <text>
        <r>
          <rPr>
            <b/>
            <sz val="10"/>
            <color indexed="8"/>
            <rFont val="Tahoma"/>
            <family val="2"/>
          </rPr>
          <t>Include the value of machinery, prorated if necessary, of all machinery and equipment used to feed and care for the livestock enterprise and the forage production enterprises, hay, grazing, straw, etc., necessary to feed the livestock.  
Include only the costs of machinery and equipment used in the cow-calf enterprise.  If necessary, prorate the values of the equipment used.  For example, if a tractor is worth $40,000 and is used only 30% of the time on the cow-calf enterprise, the "Dollars Invested" entered would not be $40,000 but $12,000.  The salvage value must also be prorated, if necessary.</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A180"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2"/>
          </rPr>
          <t xml:space="preserve">
</t>
        </r>
      </text>
    </comment>
    <comment ref="A194" authorId="0">
      <text>
        <r>
          <rPr>
            <b/>
            <sz val="10"/>
            <color indexed="8"/>
            <rFont val="Tahoma"/>
            <family val="2"/>
          </rPr>
          <t xml:space="preserve">Purchased feed costs and the lease amount for leased hay or grazing land should be listed under Feed Costs (above).  The value of owned land used to grow forage, concentrate, or provide AUMs is entered here.   Prorate as necessary, i.e. if only a portion of the barley crop raised was used for feed, do not include all acres of barley, only that portion used to raise what was actually fed.  This is true of forage crops also.  </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A212" authorId="0">
      <text>
        <r>
          <rPr>
            <b/>
            <sz val="10"/>
            <color indexed="8"/>
            <rFont val="Tahoma"/>
            <family val="2"/>
          </rPr>
          <t xml:space="preserve">Depreciation of the cow herd </t>
        </r>
        <r>
          <rPr>
            <b/>
            <sz val="10"/>
            <color indexed="10"/>
            <rFont val="Tahoma"/>
            <family val="2"/>
          </rPr>
          <t xml:space="preserve">for lease calculations and for cost of production estimates should not be entered </t>
        </r>
        <r>
          <rPr>
            <b/>
            <sz val="10"/>
            <rFont val="Tahoma"/>
            <family val="2"/>
          </rPr>
          <t xml:space="preserve">if replacement heifers are provided by holding back heifer calves at weaning.  </t>
        </r>
        <r>
          <rPr>
            <b/>
            <sz val="10"/>
            <color indexed="8"/>
            <rFont val="Tahoma"/>
            <family val="2"/>
          </rPr>
          <t xml:space="preserve">While an individual cow may be depreciating, (wearing out) over some period of time, the cow herd does not wear out if normal replacement practices are carried out.  If replacement is through holding weaned heifer calves from the annual calf crop, no depreciation should be used for lease calculations.  Including a depreciation expense will double count the costs already included in the template above (feed, vet &amp; med, labor, etc, etc.) for heifer development costs.  
If this template is being used to estimate costs of production for your own cattle operation, and the normal practice is to keep a portion of the annual heifer calf crop for replacements, then </t>
        </r>
        <r>
          <rPr>
            <b/>
            <sz val="11"/>
            <color indexed="10"/>
            <rFont val="Tahoma"/>
            <family val="2"/>
          </rPr>
          <t xml:space="preserve">do not </t>
        </r>
        <r>
          <rPr>
            <b/>
            <sz val="10"/>
            <color indexed="8"/>
            <rFont val="Tahoma"/>
            <family val="2"/>
          </rPr>
          <t xml:space="preserve">fill in the cells at right for "Useful Life Yrs" and "Cull Value" for Breeding cows.     
If replacements are purchased each year from outside the cow herd, then a replacement allowance or deprecation expense can be included.  This replacement allowance can be approximated by using standard economic depreciation calculations (straight line depreciation).  Straight line depreciation is the beginning value minus ending value divided by years of useful life. 
</t>
        </r>
        <r>
          <rPr>
            <sz val="10"/>
            <color indexed="8"/>
            <rFont val="Tahoma"/>
            <family val="2"/>
          </rPr>
          <t xml:space="preserve">
</t>
        </r>
      </text>
    </comment>
    <comment ref="A49" authorId="0">
      <text>
        <r>
          <rPr>
            <b/>
            <sz val="8"/>
            <rFont val="Tahoma"/>
            <family val="2"/>
          </rPr>
          <t xml:space="preserve">If replacement heifers are kept from the calf crop, enter zeros in this row.  </t>
        </r>
      </text>
    </comment>
    <comment ref="A230" authorId="0">
      <text>
        <r>
          <rPr>
            <b/>
            <sz val="10"/>
            <rFont val="Arial"/>
            <family val="2"/>
          </rPr>
          <t xml:space="preserve">The percentage split calculated here shows the percentage of total costs that are shared by the cow owner and the individual running the cows.  It is assumed that an equitable arrangement is to share income in the same proportion as costs are shared.  The question is then, what income is shared.  Breeding livestock are considered capital assets.  Revenue generated from the sale of capital assets usually belongs to the capital asset owner.  Only revenue from the production of the primary crop, in this case calves, is shared by the parties to the lease.  However, when a lease specifies that replacement heifers are kept from the annual calf crop to maintain herd quantity and quality and the lessee (person running the cows) pays the costs of heifer development, cull revenue should be shared.
The split of calf and/or cull revenue however does not necessarily determine the final percentage of revenue sharing by the parties to the lease.  For example, if replacement heifers are kept from the calf crop, the cow owner receives a credit for the value of those animals going into the breeding herd.  This is a non-cash revenue received by the cow owner.  The table below shows the revenue and cost split for the entire operation on a profitability and cash flow basis and for the cow owner and the individual running the cows for the same basis.  
</t>
        </r>
      </text>
    </comment>
    <comment ref="C302" authorId="0">
      <text>
        <r>
          <rPr>
            <b/>
            <sz val="10"/>
            <rFont val="Tahoma"/>
            <family val="2"/>
          </rPr>
          <t xml:space="preserve">Weighted average price do not include non-calf revenue.
This table is generated using the initial calving percentage entered by the user. 
Table values do not include credit for replacement heifers kept.
</t>
        </r>
      </text>
    </comment>
    <comment ref="C312" authorId="0">
      <text>
        <r>
          <rPr>
            <b/>
            <sz val="10"/>
            <rFont val="Tahoma"/>
            <family val="2"/>
          </rPr>
          <t>This table is generated using the initial calving percentage entered by the user.  That value is shown at the left of the table.</t>
        </r>
      </text>
    </comment>
    <comment ref="C322" authorId="0">
      <text>
        <r>
          <rPr>
            <b/>
            <sz val="10"/>
            <rFont val="Tahoma"/>
            <family val="2"/>
          </rPr>
          <t xml:space="preserve">This table uses the weighted average weaning weight calculated by the budget to generate the table values.  </t>
        </r>
      </text>
    </comment>
    <comment ref="C332" authorId="0">
      <text>
        <r>
          <rPr>
            <b/>
            <sz val="10"/>
            <rFont val="Tahoma"/>
            <family val="2"/>
          </rPr>
          <t xml:space="preserve">This table uses the weighted average weaning weight calculated by the budget to generate the table values.  </t>
        </r>
      </text>
    </comment>
    <comment ref="C294" authorId="0">
      <text>
        <r>
          <rPr>
            <b/>
            <sz val="10"/>
            <rFont val="Tahoma"/>
            <family val="2"/>
          </rPr>
          <t xml:space="preserve">Table values are the break-evens necessary after adjusting costs downward by the amount of non-calf revenue received. </t>
        </r>
      </text>
    </comment>
    <comment ref="F223" authorId="0">
      <text>
        <r>
          <rPr>
            <b/>
            <sz val="10"/>
            <rFont val="Tahoma"/>
            <family val="2"/>
          </rPr>
          <t xml:space="preserve">Includes death loss expense and excludes value of replacement heifers kept.
The three basic factors of production are land, labor, and capital.  Since land and other capital items have been cost out in this analysis, this number is the return to unpaid labor and management for the enterprise.  </t>
        </r>
      </text>
    </comment>
    <comment ref="H53" authorId="0">
      <text>
        <r>
          <rPr>
            <b/>
            <sz val="8"/>
            <rFont val="Tahoma"/>
            <family val="2"/>
          </rPr>
          <t xml:space="preserve">Adjusted for death loss
</t>
        </r>
        <r>
          <rPr>
            <sz val="8"/>
            <rFont val="Tahoma"/>
            <family val="2"/>
          </rPr>
          <t xml:space="preserve">
</t>
        </r>
      </text>
    </comment>
    <comment ref="G356" authorId="0">
      <text>
        <r>
          <rPr>
            <b/>
            <sz val="10"/>
            <color indexed="8"/>
            <rFont val="Tahoma"/>
            <family val="2"/>
          </rPr>
          <t xml:space="preserve">Note: The percentage entered here may or may not match a percentage in the table above on the row labeled "Discount percent for cash lease amount."  The table above can be used to estimate the affects of a given risk premium adjustment to a share lease arrangement.  If the risk premium adjustment both parties agreed to is different than displayed in one of the columns in the table directly above, enter the percentage adjustment here. 
</t>
        </r>
        <r>
          <rPr>
            <sz val="10"/>
            <color indexed="8"/>
            <rFont val="Tahoma"/>
            <family val="2"/>
          </rPr>
          <t xml:space="preserve">
</t>
        </r>
      </text>
    </comment>
    <comment ref="A352" authorId="0">
      <text>
        <r>
          <rPr>
            <b/>
            <sz val="10"/>
            <color indexed="8"/>
            <rFont val="Tahoma"/>
            <family val="2"/>
          </rPr>
          <t xml:space="preserve">If the data was originally entered with the cow owner sharing in operation expenses, the values calculated in this table may be incorrect for a cash lease.  Typically in cash leases, the landlord (cow owner) does not share in operating expenses. To make the values correct, go back to the input and change the percent share to the cow owner to zero for any operating expenses that were originally entered as shared.   
</t>
        </r>
      </text>
    </comment>
    <comment ref="F171" authorId="0">
      <text>
        <r>
          <rPr>
            <b/>
            <sz val="8"/>
            <color indexed="8"/>
            <rFont val="Tahoma"/>
            <family val="2"/>
          </rPr>
          <t>The interest or opportunity costs charged here is calculated using the average value of the asset listed.  The formula is:
  (Dollars invested + Salvage value)/2 X real interest rate
Real interest rate is the stated (nominal rate) minus the inflation rate.</t>
        </r>
        <r>
          <rPr>
            <sz val="8"/>
            <color indexed="8"/>
            <rFont val="Tahoma"/>
            <family val="2"/>
          </rPr>
          <t xml:space="preserve">
</t>
        </r>
      </text>
    </comment>
    <comment ref="F188"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F205"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F217" authorId="0">
      <text>
        <r>
          <rPr>
            <b/>
            <sz val="8"/>
            <rFont val="Tahoma"/>
            <family val="2"/>
          </rPr>
          <t xml:space="preserve">The interest or opportunity costs charged here is calculated using the average value of the asset listed.  The formula is:
          Total Beginning Value X real interest rate
Real interest rate is the stated (nominal rate) minus the inflation rate.
</t>
        </r>
        <r>
          <rPr>
            <sz val="8"/>
            <rFont val="Tahoma"/>
            <family val="2"/>
          </rPr>
          <t xml:space="preserve">
</t>
        </r>
      </text>
    </comment>
    <comment ref="F224" authorId="0">
      <text>
        <r>
          <rPr>
            <b/>
            <sz val="10"/>
            <rFont val="Tahoma"/>
            <family val="2"/>
          </rPr>
          <t xml:space="preserve">Includes death loss expense and the value of replacement heifers kept.
The three basic factors of production are land, labor, and capital.  Since land and other capital items have been cost out in this analysis, this number is the return to unpaid labor and management for the enterprise.  </t>
        </r>
      </text>
    </comment>
    <comment ref="G223" authorId="0">
      <text>
        <r>
          <rPr>
            <b/>
            <sz val="10"/>
            <rFont val="Tahoma"/>
            <family val="2"/>
          </rPr>
          <t xml:space="preserve">Includes death loss expense and excludes value of replacement heifers kept.
The three basic factors of production are land, labor, and capital.  Since land and other capital items have been cost out in this analysis, this number is the return to unpaid labor and management for the enterprise.  </t>
        </r>
        <r>
          <rPr>
            <sz val="10"/>
            <rFont val="Tahoma"/>
            <family val="2"/>
          </rPr>
          <t xml:space="preserve">
</t>
        </r>
      </text>
    </comment>
    <comment ref="G224" authorId="0">
      <text>
        <r>
          <rPr>
            <b/>
            <sz val="10"/>
            <rFont val="Tahoma"/>
            <family val="2"/>
          </rPr>
          <t xml:space="preserve">Includes death loss expense and the value of replacement heifers kept.
The three basic factors of production are land, labor, and capital.  Since land and other capital items have been cost out in this analysis, this number is the return to unpaid labor and management for the enterprise.  </t>
        </r>
      </text>
    </comment>
    <comment ref="E287" authorId="0">
      <text>
        <r>
          <rPr>
            <b/>
            <sz val="8"/>
            <rFont val="Tahoma"/>
            <family val="2"/>
          </rPr>
          <t xml:space="preserve">This calving percentage was calculated using the weighted average price and weight calculated for the steer and heifer calves that were actually sold.  The weight of replacement heifers is not included and their non-cash value is also excluded. 
</t>
        </r>
      </text>
    </comment>
    <comment ref="F287" authorId="0">
      <text>
        <r>
          <rPr>
            <b/>
            <sz val="8"/>
            <rFont val="Tahoma"/>
            <family val="2"/>
          </rPr>
          <t xml:space="preserve">This calving percentage was calculated using the weighted average price and weight calculated for the steer and heifer calves that were actually sold.  The weight of replacement heifers is not included and their non-cash value is also excluded. </t>
        </r>
      </text>
    </comment>
    <comment ref="A345" authorId="0">
      <text>
        <r>
          <rPr>
            <b/>
            <sz val="10"/>
            <color indexed="8"/>
            <rFont val="Tahoma"/>
            <family val="2"/>
          </rPr>
          <t xml:space="preserve">The analysis in this table is based on the profitability and the cash flow tables that are shown above.  Revenue splits in that table are based on cost contribution and the answers to questions about who receives cull revenue.  Cash lease adjustments calculated in this table are based on the Cow Owners share calculations made in column H. 
</t>
        </r>
        <r>
          <rPr>
            <sz val="10"/>
            <color indexed="8"/>
            <rFont val="Tahoma"/>
            <family val="2"/>
          </rPr>
          <t xml:space="preserve">
</t>
        </r>
      </text>
    </comment>
    <comment ref="D248" authorId="0">
      <text>
        <r>
          <rPr>
            <b/>
            <sz val="8"/>
            <rFont val="Tahoma"/>
            <family val="2"/>
          </rPr>
          <t>The Profitability analysis includes all income and expenses which includes both cash and non-cash income and expenses.  Non-cash expenses included in this analysis are depreciation, interest on investments (opportunity costs charged at the real rate on interest), and death loss on cows and replacement heifers.</t>
        </r>
      </text>
    </comment>
    <comment ref="D277" authorId="0">
      <text>
        <r>
          <rPr>
            <b/>
            <sz val="8"/>
            <rFont val="Tahoma"/>
            <family val="2"/>
          </rPr>
          <t>Includes the value of replacement heifers kept as a non-cash revenue, if any.</t>
        </r>
        <r>
          <rPr>
            <sz val="8"/>
            <rFont val="Tahoma"/>
            <family val="2"/>
          </rPr>
          <t xml:space="preserve">
</t>
        </r>
      </text>
    </comment>
    <comment ref="E277" authorId="0">
      <text>
        <r>
          <rPr>
            <b/>
            <sz val="8"/>
            <rFont val="Tahoma"/>
            <family val="2"/>
          </rPr>
          <t>Includes the value of replacement heifers kept as a non-cash revenue, if any.</t>
        </r>
      </text>
    </comment>
    <comment ref="F244" authorId="0">
      <text>
        <r>
          <rPr>
            <b/>
            <sz val="8"/>
            <rFont val="Tahoma"/>
            <family val="2"/>
          </rPr>
          <t>The Profitability analysis includes all income and expenses which includes both cash and non-cash income and expenses.  Non-cash expenses included in this analysis are depreciation, interest on investments (opportunity costs charged at the real rate on interest), and death loss on cows and replacement heifers.</t>
        </r>
      </text>
    </comment>
    <comment ref="B190" authorId="0">
      <text>
        <r>
          <rPr>
            <b/>
            <sz val="10"/>
            <rFont val="Tahoma"/>
            <family val="2"/>
          </rPr>
          <t xml:space="preserve">Include the insurance for the buildings and improvements and also for other blanket insurance coverage, (liability, etc.) for the entire operation. </t>
        </r>
        <r>
          <rPr>
            <sz val="10"/>
            <rFont val="Tahoma"/>
            <family val="2"/>
          </rPr>
          <t xml:space="preserve">
</t>
        </r>
      </text>
    </comment>
    <comment ref="H287" authorId="0">
      <text>
        <r>
          <rPr>
            <b/>
            <sz val="8"/>
            <rFont val="Tahoma"/>
            <family val="2"/>
          </rPr>
          <t xml:space="preserve">This calving percentage was calculated using the weighted average price and weight calculated for the steer and heifer calves that were actually sold.  The weight of replacement heifers is not included and their non-cash value is also excluded. 
</t>
        </r>
      </text>
    </comment>
    <comment ref="I287" authorId="0">
      <text>
        <r>
          <rPr>
            <b/>
            <sz val="8"/>
            <rFont val="Tahoma"/>
            <family val="2"/>
          </rPr>
          <t xml:space="preserve">This calving percentage was calculated using the weighted average price and weight calculated for the steer and heifer calves that were actually sold.  The weight of replacement heifers is not included and their non-cash value is also excluded. </t>
        </r>
      </text>
    </comment>
    <comment ref="A257" authorId="0">
      <text>
        <r>
          <rPr>
            <b/>
            <sz val="10"/>
            <color indexed="8"/>
            <rFont val="Tahoma"/>
            <family val="2"/>
          </rPr>
          <t>The calculation of this number for the Profitability split between the cow owner and tenant is based on the questions directly above this table relating to sharing of cull revenue.  If the question "Is cull cow revenue shared" is answered No, then the split is allcated to however is specified in the second question.  If however, that question is answered yes, then it is assumed that replacements are kept from the annual calf crop, that the tenant shares in heifer development costs, and hence the tenant receives a portion of the non-cash revenue adjustment for replacement heifers.</t>
        </r>
      </text>
    </comment>
    <comment ref="A258" authorId="0">
      <text>
        <r>
          <rPr>
            <b/>
            <sz val="10"/>
            <color indexed="8"/>
            <rFont val="Tahoma"/>
            <family val="2"/>
          </rPr>
          <t xml:space="preserve">The calculation of this number for the Profitability  split between the cow owner and tenant is based on the questions directly above this table relating to sharing of cull revenue.  If the revenue sharing questions are answered yes, then cull revenue is split in the percentage cost contribution calculated for each party.  If answered No, then revenue is allocated to however is specified in the second question (cow owner or tenant).  </t>
        </r>
      </text>
    </comment>
    <comment ref="B260" authorId="0">
      <text>
        <r>
          <rPr>
            <b/>
            <sz val="10"/>
            <color indexed="8"/>
            <rFont val="Tahoma"/>
            <family val="2"/>
          </rPr>
          <t>If there is a discrepancy between the way costs are shared and the way revenue is shared, the percent share calculation for revenue may not be the same as the percent share calculation on costs.  Example:  If the cow owner provides the replacement cows and bulls and keeps all cull revenue then his/her percent of total revenue may be higher that the percent cost share calculated for the cow owner.  This does not mean that the lease arrangement is unfair or not equitable.</t>
        </r>
      </text>
    </comment>
    <comment ref="A252" authorId="0">
      <text>
        <r>
          <rPr>
            <b/>
            <sz val="8"/>
            <rFont val="Tahoma"/>
            <family val="2"/>
          </rPr>
          <t xml:space="preserve">The calculation of this number for the Profitability and Cash Flow split between the cow owner and tenant is based on the questions directly above this table relating to sharing of cull revenue.  If the revenue sharing questions are answered yes, then cull revenue is split in the percentage cost contribution calculated for each party.  If answered No, then revenue is allocated to however is specified in the second question (cow owner or tenant).  </t>
        </r>
      </text>
    </comment>
    <comment ref="A254" authorId="0">
      <text>
        <r>
          <rPr>
            <b/>
            <sz val="8"/>
            <rFont val="Tahoma"/>
            <family val="2"/>
          </rPr>
          <t xml:space="preserve">The calculation of this number for the Profitability and Cash Flow split between the cow owner and tenant is based on the questions directly above this table relating to sharing of cull revenue.  If the revenue sharing questions are answered yes, then cull revenue is split in the percentage cost contribution calculated for each party.  If answered No, then revenue is allocated to however is specified in the second question (cow owner or tenant).  </t>
        </r>
        <r>
          <rPr>
            <sz val="8"/>
            <rFont val="Tahoma"/>
            <family val="2"/>
          </rPr>
          <t xml:space="preserve">
</t>
        </r>
      </text>
    </comment>
    <comment ref="A246" authorId="0">
      <text>
        <r>
          <rPr>
            <b/>
            <sz val="8"/>
            <rFont val="Tahoma"/>
            <family val="2"/>
          </rPr>
          <t xml:space="preserve">The tables below provide two approaches to financial analysis.  The Profitability approach looks at all income and expenses for the enterprise.  These may be either cash or non-cash.  This template includes both cash and non-cash income and expense items.  
A cash flow analysis considers only cash inflows and outflows.  As depreciation is a non cash expense, it is excluded from a cash flow analysis, for example.  
Principal payments are a cash outflow, but not an expense.  However, this template does not collect enough information to know what principal payments might be for a specific individual.  Users should be very careful when interpreting cash flow numbers included here.  Due to the difficulty of collecting information about principal and interest payments on assets that are financed, principal payments are not included in this cash flow analysis.  
</t>
        </r>
      </text>
    </comment>
  </commentList>
</comments>
</file>

<file path=xl/comments2.xml><?xml version="1.0" encoding="utf-8"?>
<comments xmlns="http://schemas.openxmlformats.org/spreadsheetml/2006/main">
  <authors>
    <author>Duane Griffith</author>
  </authors>
  <commentList>
    <comment ref="C15" authorId="0">
      <text>
        <r>
          <rPr>
            <b/>
            <sz val="8"/>
            <rFont val="Tahoma"/>
            <family val="2"/>
          </rPr>
          <t xml:space="preserve">If this analysis is for calves that you raised, enter the market value of the calves at weaning.  Do not enter a breakeven price that you calculated using the CowCalf tab of this worksheet.
</t>
        </r>
      </text>
    </comment>
  </commentList>
</comments>
</file>

<file path=xl/comments3.xml><?xml version="1.0" encoding="utf-8"?>
<comments xmlns="http://schemas.openxmlformats.org/spreadsheetml/2006/main">
  <authors>
    <author>Duane Griffith</author>
  </authors>
  <commentList>
    <comment ref="D9" authorId="0">
      <text>
        <r>
          <rPr>
            <b/>
            <sz val="8"/>
            <rFont val="Tahoma"/>
            <family val="2"/>
          </rPr>
          <t xml:space="preserve">Enter the market value of calves at the time they are purchased or transferred from a feeding enterprise to grass or pasture.  Do not enter a break-even cost calculated on a previous page of this worksheet.  
</t>
        </r>
      </text>
    </comment>
  </commentList>
</comments>
</file>

<file path=xl/comments5.xml><?xml version="1.0" encoding="utf-8"?>
<comments xmlns="http://schemas.openxmlformats.org/spreadsheetml/2006/main">
  <authors>
    <author>Duane Griffith</author>
  </authors>
  <commentList>
    <comment ref="F4" authorId="0">
      <text>
        <r>
          <rPr>
            <b/>
            <sz val="8"/>
            <color indexed="8"/>
            <rFont val="Tahoma"/>
            <family val="2"/>
          </rPr>
          <t>This is a calculated number and is rounded up if the calculation produces a fraction.</t>
        </r>
      </text>
    </comment>
    <comment ref="A15" authorId="0">
      <text>
        <r>
          <rPr>
            <b/>
            <sz val="8"/>
            <rFont val="Tahoma"/>
            <family val="2"/>
          </rPr>
          <t xml:space="preserve">Bulls are typically purchased and depreciated over some period of time.  The revenue generated when they are sold is either a capital gain or a capital loss.  A capital gain is the revenue in excess of the bulls book value.  A capital loss means the book value was greater than the revenue generated.  This treatment of cull bull income is associated with an individual bull in a given year.  For budgeting purposes, assume all bulls are depreciated fully and the income generated when they are sold is capital gains.  The Farm Financial Standards Guidelines (FFSG) indicate that this income should be reported as capital gains but with other income that is reported as "ordinary," i.e. reported here.  Ordinary income is income generated under typical business operation.  
</t>
        </r>
      </text>
    </comment>
    <comment ref="A22" authorId="0">
      <text>
        <r>
          <rPr>
            <b/>
            <sz val="8"/>
            <rFont val="Tahoma"/>
            <family val="2"/>
          </rPr>
          <t xml:space="preserve">If replacement heifers are kept from the calf crop, enter zeros in this row.  </t>
        </r>
      </text>
    </comment>
    <comment ref="A49"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2"/>
          </rPr>
          <t xml:space="preserve">
</t>
        </r>
      </text>
    </comment>
    <comment ref="F109" authorId="0">
      <text>
        <r>
          <rPr>
            <b/>
            <sz val="8"/>
            <color indexed="8"/>
            <rFont val="Tahoma"/>
            <family val="2"/>
          </rPr>
          <t>The interest or opportunity costs charged here is calculated using the average value of the asset listed.  The formula is:
  (Dollars invested + Salvage value)/2 X real interest rate
Real interest rate is the stated (nominal rate) minus the inflation rate.</t>
        </r>
        <r>
          <rPr>
            <sz val="8"/>
            <color indexed="8"/>
            <rFont val="Tahoma"/>
            <family val="2"/>
          </rPr>
          <t xml:space="preserve">
</t>
        </r>
      </text>
    </comment>
    <comment ref="A118"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2"/>
          </rPr>
          <t xml:space="preserve">
</t>
        </r>
      </text>
    </comment>
    <comment ref="F126"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B128" authorId="0">
      <text>
        <r>
          <rPr>
            <b/>
            <sz val="10"/>
            <rFont val="Tahoma"/>
            <family val="2"/>
          </rPr>
          <t xml:space="preserve">Include the insurance for the buildings and improvements and also for other blanket insurance coverage, (liability, etc.) for the entire operation. </t>
        </r>
        <r>
          <rPr>
            <sz val="10"/>
            <rFont val="Tahoma"/>
            <family val="2"/>
          </rPr>
          <t xml:space="preserve">
</t>
        </r>
      </text>
    </comment>
    <comment ref="F143"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A150" authorId="0">
      <text>
        <r>
          <rPr>
            <b/>
            <sz val="10"/>
            <color indexed="8"/>
            <rFont val="Tahoma"/>
            <family val="2"/>
          </rPr>
          <t xml:space="preserve">Depreciation of the cow herd </t>
        </r>
        <r>
          <rPr>
            <b/>
            <sz val="10"/>
            <color indexed="10"/>
            <rFont val="Tahoma"/>
            <family val="2"/>
          </rPr>
          <t xml:space="preserve">for lease calculations and for cost of production estimates should not be entered </t>
        </r>
        <r>
          <rPr>
            <b/>
            <sz val="10"/>
            <rFont val="Tahoma"/>
            <family val="2"/>
          </rPr>
          <t xml:space="preserve">if replacement heifers are provided by holding back heifer calves at weaning.  </t>
        </r>
        <r>
          <rPr>
            <b/>
            <sz val="10"/>
            <color indexed="8"/>
            <rFont val="Tahoma"/>
            <family val="2"/>
          </rPr>
          <t xml:space="preserve">While an individual cow may be depreciating, (wearing out) over some period of time, the cow herd does not wear out if normal replacement practices are carried out.  If replacement is through holding weaned heifer calves from the annual calf crop, no depreciation should be used for lease calculations.  Including a depreciation expense will double count the costs already included in the template above (feed, vet &amp; med, labor, etc, etc.) for heifer development costs.  
If this template is being used to estimate costs of production for your own cattle operation, and the normal practice is to keep a portion of the annual heifer calf crop for replacements, then </t>
        </r>
        <r>
          <rPr>
            <b/>
            <sz val="11"/>
            <color indexed="10"/>
            <rFont val="Tahoma"/>
            <family val="2"/>
          </rPr>
          <t xml:space="preserve">do not </t>
        </r>
        <r>
          <rPr>
            <b/>
            <sz val="10"/>
            <color indexed="8"/>
            <rFont val="Tahoma"/>
            <family val="2"/>
          </rPr>
          <t xml:space="preserve">fill in the cells at right for "Dollars Invested," "Useful Life Yrs" and "Cull Value" for Breeding cows.     
If replacements are purchased each year from outside the cow herd, then a replacement allowance or deprecation expense can be included.  This replacement allowance can be approximated by using standard economic depreciation calculations (straight line depreciation).  Straight line depreciation is the beginning value minus ending value divided by years of useful life. 
</t>
        </r>
        <r>
          <rPr>
            <sz val="10"/>
            <color indexed="8"/>
            <rFont val="Tahoma"/>
            <family val="2"/>
          </rPr>
          <t xml:space="preserve">
</t>
        </r>
      </text>
    </comment>
    <comment ref="F155" authorId="0">
      <text>
        <r>
          <rPr>
            <b/>
            <sz val="8"/>
            <rFont val="Tahoma"/>
            <family val="2"/>
          </rPr>
          <t xml:space="preserve">The interest or opportunity costs charged here is calculated using the average value of the asset listed.  The formula is:
          Total Beginning Value X real interest rate
Real interest rate is the stated (nominal rate) minus the inflation rate.
</t>
        </r>
        <r>
          <rPr>
            <sz val="8"/>
            <rFont val="Tahoma"/>
            <family val="2"/>
          </rPr>
          <t xml:space="preserve">
</t>
        </r>
      </text>
    </comment>
  </commentList>
</comments>
</file>

<file path=xl/sharedStrings.xml><?xml version="1.0" encoding="utf-8"?>
<sst xmlns="http://schemas.openxmlformats.org/spreadsheetml/2006/main" count="855" uniqueCount="552">
  <si>
    <t>Cost of Production Estimates for Commercial Cow Calf Enterprise</t>
  </si>
  <si>
    <t xml:space="preserve">                    Double lined boxes indicate numbers that are entered.</t>
  </si>
  <si>
    <t>Breeding Herd Size</t>
  </si>
  <si>
    <t xml:space="preserve">  Calving Percentage</t>
  </si>
  <si>
    <t>Cull Rate</t>
  </si>
  <si>
    <t xml:space="preserve">  Rep. Heifers Needed</t>
  </si>
  <si>
    <t>Value of Avg Cow in Breeding Herd</t>
  </si>
  <si>
    <t xml:space="preserve">  Rep. Heifers Kept</t>
  </si>
  <si>
    <t>Value of Production</t>
  </si>
  <si>
    <t>Value of Production for Actual Cash Sales</t>
  </si>
  <si>
    <t>Price</t>
  </si>
  <si>
    <t>Pounds</t>
  </si>
  <si>
    <t>Value Per</t>
  </si>
  <si>
    <t>Quantity</t>
  </si>
  <si>
    <t>Weight</t>
  </si>
  <si>
    <t>Per Pound</t>
  </si>
  <si>
    <t>Produced</t>
  </si>
  <si>
    <t>Head</t>
  </si>
  <si>
    <t>Total Value</t>
  </si>
  <si>
    <t>Steer Calves</t>
  </si>
  <si>
    <t xml:space="preserve"> </t>
  </si>
  <si>
    <t>Heifer Calves</t>
  </si>
  <si>
    <t>Cull Cow Sales</t>
  </si>
  <si>
    <t>Cull Replacement Heifer Sales</t>
  </si>
  <si>
    <t>Cull Bull Sales</t>
  </si>
  <si>
    <t>Totals</t>
  </si>
  <si>
    <t>Total Pounds Produced From Calves</t>
  </si>
  <si>
    <t>Base Value</t>
  </si>
  <si>
    <t xml:space="preserve">Replacement Heifers </t>
  </si>
  <si>
    <t>Per Head</t>
  </si>
  <si>
    <r>
      <t>Purchased</t>
    </r>
    <r>
      <rPr>
        <b/>
        <sz val="10"/>
        <rFont val="Times New Roman"/>
        <family val="1"/>
      </rPr>
      <t xml:space="preserve"> Replacement Heifers</t>
    </r>
  </si>
  <si>
    <t>Total</t>
  </si>
  <si>
    <r>
      <t>Non-Cash Adjustments</t>
    </r>
    <r>
      <rPr>
        <b/>
        <sz val="12"/>
        <rFont val="Times New Roman"/>
        <family val="1"/>
      </rPr>
      <t xml:space="preserve"> to the "Cash" Value of Production </t>
    </r>
  </si>
  <si>
    <t>Transferred of Raised Rep. Hef. To Breeding</t>
  </si>
  <si>
    <t>Per Brood</t>
  </si>
  <si>
    <t>Cow</t>
  </si>
  <si>
    <t>Since this is a "budget" for a typical years operation, herd size should not vary significantly from the beginning to the end of the year.</t>
  </si>
  <si>
    <t xml:space="preserve">If the numbers entered show significant variation from the beginning to the end of the year in the numbers check below, </t>
  </si>
  <si>
    <t>adjust the cull cow numbers, death loss, or replacement heifer numbers until that variation is eliminated.</t>
  </si>
  <si>
    <t>Check on Cow Numbers Beginning to End</t>
  </si>
  <si>
    <t>Number</t>
  </si>
  <si>
    <t>Dollar Value</t>
  </si>
  <si>
    <t>Beginning Inventory of Cows</t>
  </si>
  <si>
    <t xml:space="preserve"> +</t>
  </si>
  <si>
    <t>Raised Replacement Heifers Kept</t>
  </si>
  <si>
    <t xml:space="preserve"> -</t>
  </si>
  <si>
    <t>Excess Raised Rep. Heifers Sold</t>
  </si>
  <si>
    <t>+</t>
  </si>
  <si>
    <t>Purchased Replacement Heifers</t>
  </si>
  <si>
    <t xml:space="preserve"> =</t>
  </si>
  <si>
    <t>Ending Inventory</t>
  </si>
  <si>
    <t>Template Options and Explanations:</t>
  </si>
  <si>
    <t>CowCost</t>
  </si>
  <si>
    <t>Continued</t>
  </si>
  <si>
    <t>Value</t>
  </si>
  <si>
    <t>Cow Owner</t>
  </si>
  <si>
    <t>Feed Costs (Raised and Purchased)</t>
  </si>
  <si>
    <t>Units</t>
  </si>
  <si>
    <t>Share (%)</t>
  </si>
  <si>
    <t>Share ($)</t>
  </si>
  <si>
    <t xml:space="preserve">IF you include a rental </t>
  </si>
  <si>
    <t>Hay</t>
  </si>
  <si>
    <t>Ton</t>
  </si>
  <si>
    <t xml:space="preserve">rate for pasture on </t>
  </si>
  <si>
    <t>Pasture Lease #1</t>
  </si>
  <si>
    <t>AUM</t>
  </si>
  <si>
    <t xml:space="preserve">owned land here, you </t>
  </si>
  <si>
    <t xml:space="preserve">should not include the </t>
  </si>
  <si>
    <t>value of the land in the</t>
  </si>
  <si>
    <t>fixed cost section.  The</t>
  </si>
  <si>
    <t>return to land is built in</t>
  </si>
  <si>
    <t xml:space="preserve">to the pasture rental </t>
  </si>
  <si>
    <t>rate ($$ per AUM).</t>
  </si>
  <si>
    <t>Property Taxes and other</t>
  </si>
  <si>
    <t>Other</t>
  </si>
  <si>
    <t>costs associated owning</t>
  </si>
  <si>
    <t>land should not be listed</t>
  </si>
  <si>
    <t xml:space="preserve">below IF a cost is </t>
  </si>
  <si>
    <t>included here.</t>
  </si>
  <si>
    <t>Subtotal of Feed Costs</t>
  </si>
  <si>
    <t>Operating Costs Directly Associated With Livestock Care and Handling</t>
  </si>
  <si>
    <t>Vet and Medicine</t>
  </si>
  <si>
    <t>Livestock Hauling (Not Related to Marketing)</t>
  </si>
  <si>
    <t>Professional Fees (Dues, Subscriptions, Legal, etc.)</t>
  </si>
  <si>
    <t>Hired Labor</t>
  </si>
  <si>
    <t>Marketing Costs</t>
  </si>
  <si>
    <t>Price/Unit</t>
  </si>
  <si>
    <t>No. of Units</t>
  </si>
  <si>
    <t xml:space="preserve">  Sales Commission</t>
  </si>
  <si>
    <t xml:space="preserve">  Hauling to Market </t>
  </si>
  <si>
    <t xml:space="preserve">  Yardage</t>
  </si>
  <si>
    <t>Custom Hire</t>
  </si>
  <si>
    <t>Rent or Lease (Vehicle, Machinery, Equipment)</t>
  </si>
  <si>
    <t>Utilities</t>
  </si>
  <si>
    <t>Supplies</t>
  </si>
  <si>
    <t>Other Operating Costs</t>
  </si>
  <si>
    <t>Operating Costs of Facilities and Equip. Used in Lvstk Production.</t>
  </si>
  <si>
    <t>Operating Costs of Equipment (Fuel, Oil, Repairs)</t>
  </si>
  <si>
    <t xml:space="preserve">Note: the costs of </t>
  </si>
  <si>
    <t>Operating Costs on Machinery (Fuel, Oil, Repairs)</t>
  </si>
  <si>
    <t>machinery and equipment</t>
  </si>
  <si>
    <t>Operating Costs of Vehicles (Fuel, Oil, Repairs)</t>
  </si>
  <si>
    <t>used to put up hay</t>
  </si>
  <si>
    <t>Facility Repairs and Maintenance</t>
  </si>
  <si>
    <t>should not be included in</t>
  </si>
  <si>
    <t xml:space="preserve">   Fences</t>
  </si>
  <si>
    <t>this section IF there was</t>
  </si>
  <si>
    <t xml:space="preserve">   Corrals</t>
  </si>
  <si>
    <t>a charge made for raised</t>
  </si>
  <si>
    <t xml:space="preserve">   Buildings</t>
  </si>
  <si>
    <t>hay under feed costs</t>
  </si>
  <si>
    <t xml:space="preserve">   Water Facilities</t>
  </si>
  <si>
    <t>above.  The charge for</t>
  </si>
  <si>
    <t>raised hay in the feed</t>
  </si>
  <si>
    <t>costs section includes</t>
  </si>
  <si>
    <t>the cost of machinery and</t>
  </si>
  <si>
    <t>Rent or Lease</t>
  </si>
  <si>
    <t>equipment to put up</t>
  </si>
  <si>
    <t xml:space="preserve">Supplies </t>
  </si>
  <si>
    <t xml:space="preserve">the hay.  </t>
  </si>
  <si>
    <t>SUBTOTAL OTHER VARIABLE COSTS</t>
  </si>
  <si>
    <t>Interest on Operating Costs</t>
  </si>
  <si>
    <t xml:space="preserve">Sum of Operating Costs x Months Borrowed </t>
  </si>
  <si>
    <t>x Interest Rate Per Month</t>
  </si>
  <si>
    <t>Avg. Number of Months Money Borrowed</t>
  </si>
  <si>
    <t>Annual Inflation Rate ( 9% = .09)</t>
  </si>
  <si>
    <t xml:space="preserve">Total Operating Costs </t>
  </si>
  <si>
    <t>Tenants</t>
  </si>
  <si>
    <t xml:space="preserve">Returns Above Total Operating Costs </t>
  </si>
  <si>
    <t xml:space="preserve">    (Excluding Replacement Heifer Non-Cash Revenue; Includes Death Loss)</t>
  </si>
  <si>
    <t>Dollars</t>
  </si>
  <si>
    <t>Useful</t>
  </si>
  <si>
    <t>Salvage</t>
  </si>
  <si>
    <t>Calculated</t>
  </si>
  <si>
    <t>Depreciation</t>
  </si>
  <si>
    <t>Item Name</t>
  </si>
  <si>
    <t>Invested</t>
  </si>
  <si>
    <t>Life Yrs</t>
  </si>
  <si>
    <t>Include equip. used</t>
  </si>
  <si>
    <t>exclusively on OR</t>
  </si>
  <si>
    <t>percent of Equip.</t>
  </si>
  <si>
    <t>value that is used</t>
  </si>
  <si>
    <t>partially on livestock</t>
  </si>
  <si>
    <t>Do not include</t>
  </si>
  <si>
    <t>hay handling and</t>
  </si>
  <si>
    <t>harvesting equip.</t>
  </si>
  <si>
    <t>here.  The cost</t>
  </si>
  <si>
    <t xml:space="preserve">of hay is </t>
  </si>
  <si>
    <t>included in feed</t>
  </si>
  <si>
    <t>costs.</t>
  </si>
  <si>
    <t>Interest (Opportunity Cost Using Real Rate of Int.)</t>
  </si>
  <si>
    <t>Personal Prop. Taxes on Mach &amp; Equip Used for Lvstk</t>
  </si>
  <si>
    <t>Insurance</t>
  </si>
  <si>
    <t>Personal Property Taxes and Buildings &amp; Imprv.</t>
  </si>
  <si>
    <t>Parcel Description</t>
  </si>
  <si>
    <t>No. Acres</t>
  </si>
  <si>
    <t>Value/Acre</t>
  </si>
  <si>
    <t>The land charged to the</t>
  </si>
  <si>
    <t xml:space="preserve">cows that are on shares </t>
  </si>
  <si>
    <t xml:space="preserve">should include only the </t>
  </si>
  <si>
    <t xml:space="preserve">those acres that are </t>
  </si>
  <si>
    <t xml:space="preserve">actually utilized by the </t>
  </si>
  <si>
    <t>share animals.</t>
  </si>
  <si>
    <t>Acres used by other</t>
  </si>
  <si>
    <t>animals (the tenant's)</t>
  </si>
  <si>
    <t>livestock) should not be</t>
  </si>
  <si>
    <t>included here.  Some</t>
  </si>
  <si>
    <t>type of proration may be</t>
  </si>
  <si>
    <t>needed in this section.</t>
  </si>
  <si>
    <t>Real Estate Taxes</t>
  </si>
  <si>
    <t>Livestock Breeding Herd</t>
  </si>
  <si>
    <t>Bulls</t>
  </si>
  <si>
    <t>Breeding cows</t>
  </si>
  <si>
    <t>Personal Property Taxes</t>
  </si>
  <si>
    <t>Tenant's</t>
  </si>
  <si>
    <t>Total Ownership Costs</t>
  </si>
  <si>
    <t>Share of</t>
  </si>
  <si>
    <t xml:space="preserve">Share of </t>
  </si>
  <si>
    <t>Total Costs (Operating Plus Ownership)</t>
  </si>
  <si>
    <t>Ownership ($)</t>
  </si>
  <si>
    <t>Non-Cash Revenue Adjustment for Death Loss</t>
  </si>
  <si>
    <t>Total Revenue (Calf &amp; Non-Calf, Cash and Non-Cash)</t>
  </si>
  <si>
    <t>Operating</t>
  </si>
  <si>
    <t>+ Ownership</t>
  </si>
  <si>
    <t>Costs</t>
  </si>
  <si>
    <t>Required Avg. Calf Weaning Weights (Using Weighted Avg Prices)</t>
  </si>
  <si>
    <t>Required Avg. Calf Prices ($/Cwt) (Using Weighted Avg Weight)</t>
  </si>
  <si>
    <t>Sensitivity Analysis for Commercial Cow Calf Operation</t>
  </si>
  <si>
    <t>Weighted Average Weaning Weights</t>
  </si>
  <si>
    <t>Excluding the Value of Replacement Heifers Kept</t>
  </si>
  <si>
    <t>Weighted Average</t>
  </si>
  <si>
    <t>Weighted Average Price of Weaned Calves Sold</t>
  </si>
  <si>
    <t>Weaning Weights</t>
  </si>
  <si>
    <t>Percentages And Market Prices</t>
  </si>
  <si>
    <t>Percent Calf Crop</t>
  </si>
  <si>
    <t>Percentages And Market Prices (Contribution Towards Ownership Costs)</t>
  </si>
  <si>
    <t>Double lined boxes and blue text indicate numbers that are entered.</t>
  </si>
  <si>
    <t>PIPH:</t>
  </si>
  <si>
    <t>3.) Number of Head You Intend to Feed:</t>
  </si>
  <si>
    <t>4.) Feed Information:</t>
  </si>
  <si>
    <t>Feed Name</t>
  </si>
  <si>
    <t>LBS/Head/Day</t>
  </si>
  <si>
    <t>$/LB</t>
  </si>
  <si>
    <t>Cost</t>
  </si>
  <si>
    <t>For Each Feed Item, Enter The         1)</t>
  </si>
  <si>
    <t>Pounds Fed Per Head Per Day and       2)</t>
  </si>
  <si>
    <t>Alfalfa Hay</t>
  </si>
  <si>
    <t>The Cost in Dollars Per Pound of Feed     3)</t>
  </si>
  <si>
    <t>Supplement</t>
  </si>
  <si>
    <t xml:space="preserve">                         4)</t>
  </si>
  <si>
    <t>5)</t>
  </si>
  <si>
    <t>6)</t>
  </si>
  <si>
    <t>7)</t>
  </si>
  <si>
    <t>8)</t>
  </si>
  <si>
    <t>9)</t>
  </si>
  <si>
    <t>10)</t>
  </si>
  <si>
    <t>Totals:</t>
  </si>
  <si>
    <t>5.) Number of Days on Feed:</t>
  </si>
  <si>
    <t>6.) Expected Average Daily Gain (LBS/Head):</t>
  </si>
  <si>
    <t>RINTP:</t>
  </si>
  <si>
    <t>8.) Tax on Livestock ($/Head):</t>
  </si>
  <si>
    <t>9.) Veterinary and Medical Expense ($/Head):</t>
  </si>
  <si>
    <t>10.) Transportation Cost to the Feedlot ($/Head):</t>
  </si>
  <si>
    <t>11.) Transportation Cost to Market ($/Head):</t>
  </si>
  <si>
    <t>12.) Facility Repair Costs for the Enterprise (Total $):</t>
  </si>
  <si>
    <t>Straight</t>
  </si>
  <si>
    <t>Line</t>
  </si>
  <si>
    <t>14.) Capital Purchases and Improvements:</t>
  </si>
  <si>
    <t>Life</t>
  </si>
  <si>
    <t>1)</t>
  </si>
  <si>
    <t>For Each Capital Purchase or Improvement   2)</t>
  </si>
  <si>
    <t>For This Enterprise, Enter the Cost and    3)</t>
  </si>
  <si>
    <t>Expected Years of Life.                       4)</t>
  </si>
  <si>
    <t>Total Capital Costs:</t>
  </si>
  <si>
    <t>15.) Custom Charges ($/Head/Day):</t>
  </si>
  <si>
    <t xml:space="preserve">                     RESULTS</t>
  </si>
  <si>
    <t>Computed sale weight (including shrink)</t>
  </si>
  <si>
    <t>POPH:</t>
  </si>
  <si>
    <t>Interest charge or opportunity cost per head</t>
  </si>
  <si>
    <t>Total cost of gain/head (excl. purchase cost)</t>
  </si>
  <si>
    <t>Total Cost/Head (Including Purchase Cost)</t>
  </si>
  <si>
    <t>Total cost per head per day of wintering</t>
  </si>
  <si>
    <t>Cost per pound of gain (including interest)</t>
  </si>
  <si>
    <t>Breakeven selling price at given purchase price</t>
  </si>
  <si>
    <t>Breakeven purchase price at given selling price</t>
  </si>
  <si>
    <t>Net return per head using Expected Selling Price</t>
  </si>
  <si>
    <t>Total net return</t>
  </si>
  <si>
    <t xml:space="preserve">                  CALF PASTURING COST ANALYSIS</t>
  </si>
  <si>
    <t>INPUT DATA (1 throught 22):</t>
  </si>
  <si>
    <t>1.) Purchase price of stocker cattle ($/cwt):</t>
  </si>
  <si>
    <t>2.) Average purchase weight per head (lbs):</t>
  </si>
  <si>
    <t>3.) Number of head you intend to pasture:</t>
  </si>
  <si>
    <t>4.) Monthly pasture charge/head ($):</t>
  </si>
  <si>
    <t>5.) Number of days on pasture:</t>
  </si>
  <si>
    <t>6.) Expected average daily gain (lbs/head):</t>
  </si>
  <si>
    <t>7.) Interest rate on borrowed money (%):</t>
  </si>
  <si>
    <t xml:space="preserve">     (or opportunity cost of own money)</t>
  </si>
  <si>
    <t>8.) Tax on livestock ($/head):</t>
  </si>
  <si>
    <t>9.) Veterinary and medical expenses ($/head):</t>
  </si>
  <si>
    <t>10.) Cost of salt and mineral supplements ($/head):</t>
  </si>
  <si>
    <t>11.) Transportation costs to pasture ($/head):</t>
  </si>
  <si>
    <t>12.) Transportation costs to market ($/head):</t>
  </si>
  <si>
    <t>13.) Fencing repair costs for enterprise ($):</t>
  </si>
  <si>
    <t>14.) Total fuel costs for enterprise ($):</t>
  </si>
  <si>
    <t xml:space="preserve">        (excluding cattle transportation)</t>
  </si>
  <si>
    <t>15.) Capital purchases and improvements:</t>
  </si>
  <si>
    <t>Oilers</t>
  </si>
  <si>
    <t>For each capital purchase or improvement   2)</t>
  </si>
  <si>
    <t>Water Tank</t>
  </si>
  <si>
    <t>for this enterprise, enter the cost and    3)</t>
  </si>
  <si>
    <t>expected life in years.                    4)</t>
  </si>
  <si>
    <t>Total capital costs:</t>
  </si>
  <si>
    <t>16.) Expected death loss (%):</t>
  </si>
  <si>
    <t>17.) Expected shrink at time of purchase (%):</t>
  </si>
  <si>
    <t>18.) Expected shrink at time of sale (%):</t>
  </si>
  <si>
    <t>19.) Sale commission and yardage ($/head):</t>
  </si>
  <si>
    <t>20.) Miscellaneous costs ($/head):</t>
  </si>
  <si>
    <t>21.) Cash cost of hired labor for enterprise ($):</t>
  </si>
  <si>
    <t>22.) Expected selling price ($/cwt):</t>
  </si>
  <si>
    <t>Computed sale weight (including shrink):</t>
  </si>
  <si>
    <t>Interest charge or opportunity cost per head:</t>
  </si>
  <si>
    <t>Total cost of gain/head (excl. purchase cost):</t>
  </si>
  <si>
    <t>Total Cost/Head (Including Purchase Cost):</t>
  </si>
  <si>
    <t>Total cost per head per day of pasturing:</t>
  </si>
  <si>
    <t>Cost per pound of gain (including interest):</t>
  </si>
  <si>
    <t>Breakeven selling price at given purchase price:</t>
  </si>
  <si>
    <t>Breakeven purchase price at given selling price:</t>
  </si>
  <si>
    <t>Net return per head:</t>
  </si>
  <si>
    <t>Total net return:</t>
  </si>
  <si>
    <t>Print Stockers</t>
  </si>
  <si>
    <t>Print Cow Calf Results With Lease</t>
  </si>
  <si>
    <t>Print Comparison Results</t>
  </si>
  <si>
    <t>Help</t>
  </si>
  <si>
    <t>Interpretation of percentage split calculation</t>
  </si>
  <si>
    <t>Initial</t>
  </si>
  <si>
    <t>Calving</t>
  </si>
  <si>
    <t>Percentage</t>
  </si>
  <si>
    <t>Weighted Avg.</t>
  </si>
  <si>
    <t>Weaning Wgt.</t>
  </si>
  <si>
    <r>
      <t>Raised</t>
    </r>
    <r>
      <rPr>
        <b/>
        <sz val="10"/>
        <rFont val="Times New Roman"/>
        <family val="1"/>
      </rPr>
      <t xml:space="preserve"> Replacements </t>
    </r>
  </si>
  <si>
    <t>Retained Ownership Profitability Analysis - Cost of Production (Breakeven) Calculator</t>
  </si>
  <si>
    <r>
      <t xml:space="preserve">Enter </t>
    </r>
    <r>
      <rPr>
        <b/>
        <sz val="10"/>
        <color indexed="12"/>
        <rFont val="Arial"/>
        <family val="2"/>
      </rPr>
      <t>text in blue</t>
    </r>
    <r>
      <rPr>
        <b/>
        <sz val="10"/>
        <rFont val="Arial"/>
        <family val="2"/>
      </rPr>
      <t xml:space="preserve"> below </t>
    </r>
  </si>
  <si>
    <t>Shading = number is calculated/protected.</t>
  </si>
  <si>
    <t>Enter a Description of the retained ownership option being analyzed:</t>
  </si>
  <si>
    <t>1.) Weighted Average Purchase Price of Cattle  ($/CWT):</t>
  </si>
  <si>
    <t>Cost/Value/Head</t>
  </si>
  <si>
    <t>2.) Weighted Average Purchase Weight of Cattle (LBS):</t>
  </si>
  <si>
    <r>
      <t xml:space="preserve">7.) Interest Rate on Borrowed Money (%):  </t>
    </r>
    <r>
      <rPr>
        <b/>
        <sz val="9"/>
        <rFont val="Times New Roman"/>
        <family val="1"/>
      </rPr>
      <t xml:space="preserve"> (OR Opportunity Cost of Own Money)</t>
    </r>
  </si>
  <si>
    <t>13.) Total Fuel Costs for the Enterprise ($): (Excluding Cattle Transporation)</t>
  </si>
  <si>
    <t>Line Dep.</t>
  </si>
  <si>
    <t>16.) Enter a custom charge that is based on pounds of gain (enter $$/pound charged)</t>
  </si>
  <si>
    <t>17.) Death Loss (%):</t>
  </si>
  <si>
    <t>18.) Shrink at Time of Purchase (%):</t>
  </si>
  <si>
    <t>19.) Shrink at Time of Sale (%):</t>
  </si>
  <si>
    <t>20.) Sale Commission and Yardage ($/Head):</t>
  </si>
  <si>
    <t>21.) Miscellaneous Costs ($/Head):</t>
  </si>
  <si>
    <t>22.) Cash Costs of Hired Labor for This Enterprise ($):</t>
  </si>
  <si>
    <t>23.) Expected Selling Price ($/CWT):</t>
  </si>
  <si>
    <t>Revenue Per Head</t>
  </si>
  <si>
    <t>Cow Owner share of Total Cost of Production</t>
  </si>
  <si>
    <t>Tenant's Share of Total Cost of Production</t>
  </si>
  <si>
    <t>Steer Calf Cash Revenue</t>
  </si>
  <si>
    <t>Heifer Calf Cash Revenue</t>
  </si>
  <si>
    <t>Tenant Share</t>
  </si>
  <si>
    <t>Lease Percent based on cost share</t>
  </si>
  <si>
    <t xml:space="preserve">Check for updates to this software at the following web site </t>
  </si>
  <si>
    <t>Farm Management Specialist at Montana State University</t>
  </si>
  <si>
    <t>Discount percent for cash lease amount</t>
  </si>
  <si>
    <t>Set increment value for table below</t>
  </si>
  <si>
    <t xml:space="preserve">         The table below shows the revenue that would be received by the cow owner</t>
  </si>
  <si>
    <t xml:space="preserve">         after adjusting by an agreed upon discount for receiving a certain cash lease</t>
  </si>
  <si>
    <t xml:space="preserve">          Table values are based on expected yields and prices entered earlier.</t>
  </si>
  <si>
    <t>Flexible Cash Lease</t>
  </si>
  <si>
    <t>Expected Price</t>
  </si>
  <si>
    <t>Price Ratio</t>
  </si>
  <si>
    <t>Subtotal</t>
  </si>
  <si>
    <t>Weight Ratio</t>
  </si>
  <si>
    <t>Lease Analysis for this example, if the lease information was completed</t>
  </si>
  <si>
    <t>Steers</t>
  </si>
  <si>
    <t>Heifers</t>
  </si>
  <si>
    <t>Cull Cows</t>
  </si>
  <si>
    <t>Cull Bulls</t>
  </si>
  <si>
    <t>Excess Rep Heifers</t>
  </si>
  <si>
    <t>All</t>
  </si>
  <si>
    <t>All Operating</t>
  </si>
  <si>
    <t>Note: Please Read</t>
  </si>
  <si>
    <t>Written by Duane Griffith</t>
  </si>
  <si>
    <t>Net Market</t>
  </si>
  <si>
    <r>
      <t xml:space="preserve">Straight Cash Lease </t>
    </r>
    <r>
      <rPr>
        <b/>
        <sz val="12"/>
        <color indexed="10"/>
        <rFont val="Times New Roman"/>
        <family val="1"/>
      </rPr>
      <t>Sensitivity Table</t>
    </r>
  </si>
  <si>
    <r>
      <t>Operating</t>
    </r>
    <r>
      <rPr>
        <b/>
        <sz val="14"/>
        <rFont val="Times New Roman"/>
        <family val="1"/>
      </rPr>
      <t xml:space="preserve"> Costs for a Cow-calf Enterprise</t>
    </r>
  </si>
  <si>
    <r>
      <t xml:space="preserve">Ownership </t>
    </r>
    <r>
      <rPr>
        <b/>
        <sz val="14"/>
        <rFont val="Times New Roman"/>
        <family val="1"/>
      </rPr>
      <t>Costs for a Cow-calf Enterprise</t>
    </r>
  </si>
  <si>
    <r>
      <t>Machinery and Equipment</t>
    </r>
    <r>
      <rPr>
        <b/>
        <sz val="12"/>
        <rFont val="Times New Roman"/>
        <family val="1"/>
      </rPr>
      <t xml:space="preserve"> used for Livestock</t>
    </r>
  </si>
  <si>
    <r>
      <t>Buildings and Improvements</t>
    </r>
    <r>
      <rPr>
        <b/>
        <sz val="12"/>
        <rFont val="Times New Roman"/>
        <family val="1"/>
      </rPr>
      <t xml:space="preserve"> Used for Livestock</t>
    </r>
  </si>
  <si>
    <r>
      <t xml:space="preserve">Owned Land </t>
    </r>
    <r>
      <rPr>
        <b/>
        <sz val="12"/>
        <rFont val="Times New Roman"/>
        <family val="1"/>
      </rPr>
      <t>Used for Livestock Operations</t>
    </r>
  </si>
  <si>
    <t>Profitability and Cash Flow Summary for the Cow-Calf Enterprise</t>
  </si>
  <si>
    <t>Cash Revenue from Cow-Calf Enterprise -- Subtotal</t>
  </si>
  <si>
    <t>check sum</t>
  </si>
  <si>
    <t>Death Loss of Replacement Heifers</t>
  </si>
  <si>
    <t>Weighted Average Sale Price</t>
  </si>
  <si>
    <t>Weighted Average Sales Weight</t>
  </si>
  <si>
    <t>Profitability</t>
  </si>
  <si>
    <t>Total Operating Costs of Production</t>
  </si>
  <si>
    <t>Total Costs (Operating and Ownership)</t>
  </si>
  <si>
    <t xml:space="preserve">Cow Owner </t>
  </si>
  <si>
    <t>Share</t>
  </si>
  <si>
    <t xml:space="preserve">Based on </t>
  </si>
  <si>
    <t>Percent Cost</t>
  </si>
  <si>
    <t>Share based</t>
  </si>
  <si>
    <t>On Percent</t>
  </si>
  <si>
    <t>Cost Share</t>
  </si>
  <si>
    <t>Returns Above Operating Costs</t>
  </si>
  <si>
    <t>For Entire Cow Calf Enterprise</t>
  </si>
  <si>
    <t>Non-Cash Revenue Adjustment - Rep Heifers</t>
  </si>
  <si>
    <t>Net Returns Above Operating Plus Ownership Costs</t>
  </si>
  <si>
    <t>Death Loss Replacement Heifers</t>
  </si>
  <si>
    <t>Death Loss Breeding Cows</t>
  </si>
  <si>
    <t>Cow Calf Enterprise divided among leasee and leasor</t>
  </si>
  <si>
    <t>Other Depreciable Breeding Stock</t>
  </si>
  <si>
    <t>Graphics of Income and Expenses to right of this table.  (Column R)</t>
  </si>
  <si>
    <t xml:space="preserve">   Feed Costs</t>
  </si>
  <si>
    <t xml:space="preserve">   Operating Costs Associated with Lvstk Care</t>
  </si>
  <si>
    <t xml:space="preserve">   Facilities and Equipment Operating Costs</t>
  </si>
  <si>
    <t xml:space="preserve">   Interest on Operating Costs</t>
  </si>
  <si>
    <t>Ownership Costs (Fixed Costs)</t>
  </si>
  <si>
    <t xml:space="preserve">   Depreciation</t>
  </si>
  <si>
    <t xml:space="preserve">   Insurance</t>
  </si>
  <si>
    <t xml:space="preserve">   Taxes</t>
  </si>
  <si>
    <t>Operating Costs (Variable Costs)</t>
  </si>
  <si>
    <t xml:space="preserve">   Interest (Opportunity Cost)</t>
  </si>
  <si>
    <t>Sources of Revenue</t>
  </si>
  <si>
    <r>
      <t xml:space="preserve">Excluding </t>
    </r>
    <r>
      <rPr>
        <b/>
        <sz val="12"/>
        <rFont val="Times New Roman"/>
        <family val="1"/>
      </rPr>
      <t>Non-Calf Revenue</t>
    </r>
  </si>
  <si>
    <r>
      <t>Including</t>
    </r>
    <r>
      <rPr>
        <b/>
        <sz val="12"/>
        <rFont val="Times New Roman"/>
        <family val="1"/>
      </rPr>
      <t xml:space="preserve"> Non-Calf Revenue</t>
    </r>
  </si>
  <si>
    <t>Other Income (Semen, etc….)</t>
  </si>
  <si>
    <t>Other Income (Semen, etc. ……)</t>
  </si>
  <si>
    <t>Costs are adjusted for  Non-Calf Revenue</t>
  </si>
  <si>
    <t>Cull</t>
  </si>
  <si>
    <t>Depreciation--Replacement Allowance</t>
  </si>
  <si>
    <t>Annual Interest Rate (11% = .11) = Nominal Rate</t>
  </si>
  <si>
    <t xml:space="preserve">       Total Interest Cost (Using Nominal Interest Rate)</t>
  </si>
  <si>
    <t>Hay Ground for pasture</t>
  </si>
  <si>
    <t>aum</t>
  </si>
  <si>
    <t>ton</t>
  </si>
  <si>
    <t>Salt</t>
  </si>
  <si>
    <t>Mineral</t>
  </si>
  <si>
    <t>cwt</t>
  </si>
  <si>
    <t>per bag</t>
  </si>
  <si>
    <t>2 ton truck</t>
  </si>
  <si>
    <t>Manure Spreader</t>
  </si>
  <si>
    <t>Horse Trailer</t>
  </si>
  <si>
    <t>Lvstk handling Equipment</t>
  </si>
  <si>
    <t>Calving Barn</t>
  </si>
  <si>
    <t>Machine Shed</t>
  </si>
  <si>
    <t>Shop</t>
  </si>
  <si>
    <t>Granary</t>
  </si>
  <si>
    <t>Calf Shelters</t>
  </si>
  <si>
    <t>Windmill pasture</t>
  </si>
  <si>
    <t>Weaning Pasture</t>
  </si>
  <si>
    <t>Is cull cow revenue shared?</t>
  </si>
  <si>
    <t>Is cull bull revenue shared?</t>
  </si>
  <si>
    <t>Y or N</t>
  </si>
  <si>
    <t>Note -- Please read me!</t>
  </si>
  <si>
    <t>Cash Revenue received by cow owner after % adjustment</t>
  </si>
  <si>
    <t>Subtotal- Cash revenue after agreed percentage adjustment</t>
  </si>
  <si>
    <t>Non-cash revenue received by the cow owner</t>
  </si>
  <si>
    <t>Straight Cash Lease Agreement</t>
  </si>
  <si>
    <t>For accurate presentation of the Profitability and Cash Flow tables below for the Cow Owner and Tenant, sharing</t>
  </si>
  <si>
    <t>of cull cow and cull bull revenue must be determined.  Economic theory suggests that if the cow owner is providing the</t>
  </si>
  <si>
    <t>replacement cows and bulls, he/she is entitled to all cull revenue.  If however, replacements are kept from the calf crop, and</t>
  </si>
  <si>
    <t xml:space="preserve">development costs are shared by the cow owner and tenant, the cull revenue should also be shared.  </t>
  </si>
  <si>
    <t>Break-even Calculations</t>
  </si>
  <si>
    <t>Break-even Covering Operating Costs ($/Cwt)</t>
  </si>
  <si>
    <t>Break-even Covering Total Costs ($/Cwt)</t>
  </si>
  <si>
    <t>Revenue that is NOT adjusted and received by the cow owner</t>
  </si>
  <si>
    <t>Cash revenue received by the cow owner after adjustments for variation in price and weights</t>
  </si>
  <si>
    <t>Straight Cash Lease Agreement Dollar Amounts</t>
  </si>
  <si>
    <t xml:space="preserve">      If No, who receives revenue? (O or T)</t>
  </si>
  <si>
    <t>Enter percent adjustment agreed to from the  "Straight Cash Lease" analysis directly above.</t>
  </si>
  <si>
    <t xml:space="preserve">     The precentage entered may be between the increment values displayed above.</t>
  </si>
  <si>
    <t>Revenue received with a straight cash lease</t>
  </si>
  <si>
    <t>Straight Cash Lease Adjusted by Weight Ratio</t>
  </si>
  <si>
    <t>Straight Cash Lease Adjusted by Price Ratio</t>
  </si>
  <si>
    <t>Enter only an O or T</t>
  </si>
  <si>
    <t xml:space="preserve">Since lease adjustments of the type described below can not be made until after the sale of calves and cull animals, </t>
  </si>
  <si>
    <t>this section can only be used to estimate impacts on lease revenue during lease negotiation.</t>
  </si>
  <si>
    <t>Green Tractro #1</t>
  </si>
  <si>
    <t>Chevy Pickup</t>
  </si>
  <si>
    <t>Another Truck</t>
  </si>
  <si>
    <t>Dodge Pickup</t>
  </si>
  <si>
    <t>shed</t>
  </si>
  <si>
    <t>Home Pasture</t>
  </si>
  <si>
    <t>Dad's Place</t>
  </si>
  <si>
    <t xml:space="preserve">North 40 </t>
  </si>
  <si>
    <t>Tower Pasture</t>
  </si>
  <si>
    <t>Gramps Place</t>
  </si>
  <si>
    <t>Lease #2- 640 acres</t>
  </si>
  <si>
    <t xml:space="preserve">Lease #3 </t>
  </si>
  <si>
    <t>Jones Place</t>
  </si>
  <si>
    <t>Cake</t>
  </si>
  <si>
    <t>other</t>
  </si>
  <si>
    <t>Insurance -- Include in insurance cost under buildings and improvments</t>
  </si>
  <si>
    <t>Y</t>
  </si>
  <si>
    <t>T</t>
  </si>
  <si>
    <t>O</t>
  </si>
  <si>
    <t xml:space="preserve">  Tenant-Owner</t>
  </si>
  <si>
    <r>
      <t>Interpretation of Profitability and Cash Flow--</t>
    </r>
    <r>
      <rPr>
        <b/>
        <sz val="12"/>
        <color indexed="10"/>
        <rFont val="Times New Roman"/>
        <family val="1"/>
      </rPr>
      <t>Caution</t>
    </r>
  </si>
  <si>
    <t>Breakeven Calculations With Varing Weaning Weights</t>
  </si>
  <si>
    <t>Steer Calf Cash Sales Price</t>
  </si>
  <si>
    <t>Heifer Calf Cash Sales Price</t>
  </si>
  <si>
    <t>Cull Replacement Heifer Sales Sales Price</t>
  </si>
  <si>
    <t>Cull Cows Sales Price</t>
  </si>
  <si>
    <t>Cull Bulls Sales Price</t>
  </si>
  <si>
    <t>Actual Price at Sale Time</t>
  </si>
  <si>
    <t>Steer Calf Sales Weight</t>
  </si>
  <si>
    <t>Heifer Calf Sales Weight</t>
  </si>
  <si>
    <t>Cull Replacement Heifer Sales Weight</t>
  </si>
  <si>
    <t>Cull Cows Sales Weight</t>
  </si>
  <si>
    <t>Cull Bulls Sales Weight</t>
  </si>
  <si>
    <t>Actual Sales Weight</t>
  </si>
  <si>
    <t>Expected Sales Weight</t>
  </si>
  <si>
    <t>Straight Cash Lease Adjusted by Price and Yield Variations</t>
  </si>
  <si>
    <t>Note:  If the cow herd</t>
  </si>
  <si>
    <t>size remains constant</t>
  </si>
  <si>
    <t>through raising</t>
  </si>
  <si>
    <t>replacements and normal</t>
  </si>
  <si>
    <t xml:space="preserve">culling, then do not </t>
  </si>
  <si>
    <t xml:space="preserve">charge a depreciation </t>
  </si>
  <si>
    <t>expense for the cow herd.</t>
  </si>
  <si>
    <t>Pregnancy percentage</t>
  </si>
  <si>
    <t xml:space="preserve">Number Pregnant After Breeding Season in </t>
  </si>
  <si>
    <t>Number Open, culled and sold before winter feeding period</t>
  </si>
  <si>
    <t>Calving Percentage based January 1 cow numbers</t>
  </si>
  <si>
    <t xml:space="preserve">Number cows that calved based on January 1 cows in </t>
  </si>
  <si>
    <t xml:space="preserve">Cull cows sold after calving &amp; before next breeding cycle in </t>
  </si>
  <si>
    <t>Percent calf loss at calving time</t>
  </si>
  <si>
    <t xml:space="preserve">Number of live calves born in </t>
  </si>
  <si>
    <t>Weaning Percentage based on live calves born</t>
  </si>
  <si>
    <t>Number of Calves Weaned in</t>
  </si>
  <si>
    <t>Replacements Needed (from culled animals plus death loss of 1% beginning herd size)</t>
  </si>
  <si>
    <t>Average Cull Rate based on beginning breeding inventory</t>
  </si>
  <si>
    <t>Replacements are Purchased or Raised (P or R)</t>
  </si>
  <si>
    <t>Replacements Heifers kept from calf crop</t>
  </si>
  <si>
    <t>Replacement Breeding Cows or Heifers Purchased and added to breeding herd</t>
  </si>
  <si>
    <t>Average No. Cows per Bull, Adjust for No. animals A.I.</t>
  </si>
  <si>
    <t>Number bulls at beginning of Breeding Season</t>
  </si>
  <si>
    <t>Average Purchase Price of Bulls</t>
  </si>
  <si>
    <t>Breeding Herd Size Beginning of Breeding Season - Include cows and 1st calf heifers</t>
  </si>
  <si>
    <t>Calendar Year</t>
  </si>
  <si>
    <t>Production Information</t>
  </si>
  <si>
    <t>= January 1 on hand</t>
  </si>
  <si>
    <t>R</t>
  </si>
  <si>
    <t>Livestock Sales</t>
  </si>
  <si>
    <t>$$/Lb</t>
  </si>
  <si>
    <t>$$/Head</t>
  </si>
  <si>
    <t xml:space="preserve">  Strs  to sell @ weaning</t>
  </si>
  <si>
    <t xml:space="preserve">  Hfrs to sell @ weaning</t>
  </si>
  <si>
    <t>Other Animals</t>
  </si>
  <si>
    <t xml:space="preserve">  Cull Cows (1% death loss)</t>
  </si>
  <si>
    <t xml:space="preserve">  Cull Rep. Heifers</t>
  </si>
  <si>
    <t xml:space="preserve">  Cull Bulls</t>
  </si>
  <si>
    <t>Total Calves Sold</t>
  </si>
  <si>
    <t>Total Livestock Cash Sales</t>
  </si>
  <si>
    <t>Livestock Cash Sales per Head of Breeding Cows at the Start of the Breeding Season</t>
  </si>
  <si>
    <t>Total Dollars/Pounds from Calves</t>
  </si>
  <si>
    <t>Revenue/Value</t>
  </si>
  <si>
    <r>
      <t>Purchased</t>
    </r>
    <r>
      <rPr>
        <b/>
        <sz val="12"/>
        <rFont val="Times New Roman"/>
        <family val="1"/>
      </rPr>
      <t xml:space="preserve"> Replacement Heifers</t>
    </r>
  </si>
  <si>
    <r>
      <t>Raised</t>
    </r>
    <r>
      <rPr>
        <b/>
        <sz val="12"/>
        <rFont val="Times New Roman"/>
        <family val="1"/>
      </rPr>
      <t xml:space="preserve"> Replacements </t>
    </r>
  </si>
  <si>
    <t>Transfer of Raised Rep. Hef. To Breeding</t>
  </si>
  <si>
    <t>Total Cull Cows available for sale after breeding and/or calving</t>
  </si>
  <si>
    <t xml:space="preserve">  Other Income (semen, Etc.)</t>
  </si>
  <si>
    <t>Totals Animals Sold</t>
  </si>
  <si>
    <t>Per Hd/Cow</t>
  </si>
  <si>
    <t>Total Revenue /Cash Flow</t>
  </si>
  <si>
    <t>Required Calving Percentage (Using Weighted Average Price and Weaning Weight)</t>
  </si>
  <si>
    <r>
      <t>Operating</t>
    </r>
    <r>
      <rPr>
        <b/>
        <sz val="12"/>
        <rFont val="Times New Roman"/>
        <family val="1"/>
      </rPr>
      <t xml:space="preserve"> Costs for a Cow-calf Enterprise</t>
    </r>
  </si>
  <si>
    <r>
      <t xml:space="preserve">Ownership </t>
    </r>
    <r>
      <rPr>
        <b/>
        <sz val="12"/>
        <rFont val="Times New Roman"/>
        <family val="1"/>
      </rPr>
      <t>Costs for a Cow-calf Enterprise</t>
    </r>
  </si>
  <si>
    <r>
      <t>Help</t>
    </r>
    <r>
      <rPr>
        <b/>
        <sz val="12"/>
        <color indexed="10"/>
        <rFont val="Times New Roman"/>
        <family val="1"/>
      </rPr>
      <t xml:space="preserve"> Read This</t>
    </r>
  </si>
  <si>
    <r>
      <t>Returns Above Total Costs (</t>
    </r>
    <r>
      <rPr>
        <b/>
        <sz val="12"/>
        <color indexed="10"/>
        <rFont val="Times New Roman"/>
        <family val="1"/>
      </rPr>
      <t>Excludes</t>
    </r>
    <r>
      <rPr>
        <b/>
        <sz val="12"/>
        <rFont val="Times New Roman"/>
        <family val="1"/>
      </rPr>
      <t xml:space="preserve"> Rep Heifer Non-Cash $; Includes Death Loss)</t>
    </r>
  </si>
  <si>
    <r>
      <t>Returns Above Total Costs (</t>
    </r>
    <r>
      <rPr>
        <b/>
        <sz val="12"/>
        <color indexed="10"/>
        <rFont val="Times New Roman"/>
        <family val="1"/>
      </rPr>
      <t>Includes</t>
    </r>
    <r>
      <rPr>
        <b/>
        <sz val="12"/>
        <rFont val="Times New Roman"/>
        <family val="1"/>
      </rPr>
      <t xml:space="preserve"> Rep Heifer Non-Cash $; Includes Death Loss)</t>
    </r>
  </si>
  <si>
    <r>
      <t>Do not</t>
    </r>
    <r>
      <rPr>
        <b/>
        <sz val="12"/>
        <rFont val="Times New Roman"/>
        <family val="1"/>
      </rPr>
      <t xml:space="preserve"> enter Yes or No, only  Y or N, your input is not case sensative.</t>
    </r>
  </si>
  <si>
    <r>
      <t xml:space="preserve">Net Returns Above </t>
    </r>
    <r>
      <rPr>
        <b/>
        <sz val="12"/>
        <color indexed="10"/>
        <rFont val="Times New Roman"/>
        <family val="1"/>
      </rPr>
      <t>Total Costs</t>
    </r>
  </si>
  <si>
    <r>
      <t xml:space="preserve">Net Returns Above </t>
    </r>
    <r>
      <rPr>
        <b/>
        <sz val="12"/>
        <color indexed="10"/>
        <rFont val="Times New Roman"/>
        <family val="1"/>
      </rPr>
      <t>Operating Costs</t>
    </r>
    <r>
      <rPr>
        <b/>
        <sz val="12"/>
        <rFont val="Times New Roman"/>
        <family val="1"/>
      </rPr>
      <t xml:space="preserve"> (Contribution Towards Ownership Costs)</t>
    </r>
  </si>
  <si>
    <r>
      <t>Returns Above</t>
    </r>
    <r>
      <rPr>
        <b/>
        <sz val="12"/>
        <color indexed="10"/>
        <rFont val="Times New Roman"/>
        <family val="1"/>
      </rPr>
      <t xml:space="preserve"> Total Costs </t>
    </r>
    <r>
      <rPr>
        <b/>
        <sz val="12"/>
        <rFont val="Times New Roman"/>
        <family val="1"/>
      </rPr>
      <t>Per Cow Unit At Alternative Calf Crop</t>
    </r>
  </si>
  <si>
    <r>
      <t xml:space="preserve">Returns Above </t>
    </r>
    <r>
      <rPr>
        <b/>
        <sz val="12"/>
        <color indexed="10"/>
        <rFont val="Times New Roman"/>
        <family val="1"/>
      </rPr>
      <t>Total Operating Costs</t>
    </r>
    <r>
      <rPr>
        <b/>
        <sz val="12"/>
        <rFont val="Times New Roman"/>
        <family val="1"/>
      </rPr>
      <t xml:space="preserve"> Per Cow Unit At Alternative Calf Crop</t>
    </r>
  </si>
  <si>
    <r>
      <t>Note-</t>
    </r>
    <r>
      <rPr>
        <b/>
        <sz val="12"/>
        <color indexed="10"/>
        <rFont val="Times New Roman"/>
        <family val="1"/>
      </rPr>
      <t>Read</t>
    </r>
  </si>
  <si>
    <r>
      <t xml:space="preserve">Non-cash Revenue for cow owner </t>
    </r>
    <r>
      <rPr>
        <b/>
        <sz val="12"/>
        <color indexed="10"/>
        <rFont val="Times New Roman"/>
        <family val="1"/>
      </rPr>
      <t>NOT adjusted</t>
    </r>
  </si>
  <si>
    <r>
      <t>Cow owner revenue after adjustments for Cash Discount</t>
    </r>
    <r>
      <rPr>
        <b/>
        <sz val="12"/>
        <color indexed="10"/>
        <rFont val="Times New Roman"/>
        <family val="1"/>
      </rPr>
      <t xml:space="preserve"> and Price Changes</t>
    </r>
  </si>
  <si>
    <r>
      <t>Total Cash Lease Paid After Adjustments for Cash Discount</t>
    </r>
    <r>
      <rPr>
        <b/>
        <sz val="12"/>
        <color indexed="10"/>
        <rFont val="Times New Roman"/>
        <family val="1"/>
      </rPr>
      <t xml:space="preserve"> and Weight Changes</t>
    </r>
  </si>
  <si>
    <r>
      <t>Total revenue when adjusted for</t>
    </r>
    <r>
      <rPr>
        <b/>
        <sz val="12"/>
        <color indexed="10"/>
        <rFont val="Times New Roman"/>
        <family val="1"/>
      </rPr>
      <t xml:space="preserve"> price and weight</t>
    </r>
    <r>
      <rPr>
        <b/>
        <sz val="12"/>
        <rFont val="Times New Roman"/>
        <family val="1"/>
      </rPr>
      <t xml:space="preserve"> variations</t>
    </r>
  </si>
  <si>
    <t>Total revenue (cash + non-cash) after adj. for cash discount</t>
  </si>
  <si>
    <t>http://www.montana.edu/extensionecon/softwaredownloads.html</t>
  </si>
  <si>
    <r>
      <rPr>
        <b/>
        <sz val="12"/>
        <color indexed="12"/>
        <rFont val="Times New Roman"/>
        <family val="1"/>
      </rPr>
      <t xml:space="preserve">Blue text </t>
    </r>
    <r>
      <rPr>
        <b/>
        <sz val="12"/>
        <rFont val="Times New Roman"/>
        <family val="1"/>
      </rPr>
      <t>and double lined boxes indicate numbers/text/labels that should be changed to match your situation.</t>
    </r>
  </si>
  <si>
    <t xml:space="preserve">            Cost of Production Estimates for Commercial Cow Calf Enterprise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</si>
</sst>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quot;$&quot;#,##0.00"/>
    <numFmt numFmtId="168" formatCode="&quot;$&quot;#,##0"/>
    <numFmt numFmtId="169" formatCode="0.000"/>
    <numFmt numFmtId="170" formatCode="&quot;$&quot;#,##0.000"/>
    <numFmt numFmtId="171" formatCode="_(&quot;$&quot;* #,##0.0_);_(&quot;$&quot;* \(#,##0.0\);_(&quot;$&quot;* &quot;-&quot;??_);_(@_)"/>
    <numFmt numFmtId="172" formatCode="_(&quot;$&quot;* #,##0_);_(&quot;$&quot;* \(#,##0\);_(&quot;$&quot;* &quot;-&quot;??_);_(@_)"/>
    <numFmt numFmtId="173" formatCode="0.0%"/>
    <numFmt numFmtId="174" formatCode="#,##0.0"/>
    <numFmt numFmtId="175" formatCode="dd\-mmm\-yy"/>
    <numFmt numFmtId="176" formatCode="0.0"/>
  </numFmts>
  <fonts count="57">
    <font>
      <sz val="10"/>
      <name val="Helv"/>
      <family val="0"/>
    </font>
    <font>
      <b/>
      <sz val="10"/>
      <name val="Times New Roman"/>
      <family val="0"/>
    </font>
    <font>
      <i/>
      <sz val="10"/>
      <name val="Times New Roman"/>
      <family val="0"/>
    </font>
    <font>
      <b/>
      <i/>
      <sz val="10"/>
      <name val="Times New Roman"/>
      <family val="0"/>
    </font>
    <font>
      <sz val="10"/>
      <name val="Times New Roman"/>
      <family val="1"/>
    </font>
    <font>
      <b/>
      <sz val="10"/>
      <name val="Helv"/>
      <family val="0"/>
    </font>
    <font>
      <sz val="9"/>
      <name val="Helv"/>
      <family val="0"/>
    </font>
    <font>
      <b/>
      <i/>
      <sz val="10"/>
      <name val="Helv"/>
      <family val="0"/>
    </font>
    <font>
      <b/>
      <sz val="10"/>
      <color indexed="12"/>
      <name val="Helv"/>
      <family val="2"/>
    </font>
    <font>
      <b/>
      <sz val="10"/>
      <color indexed="12"/>
      <name val="Times New Roman"/>
      <family val="1"/>
    </font>
    <font>
      <b/>
      <sz val="12"/>
      <name val="Times New Roman"/>
      <family val="1"/>
    </font>
    <font>
      <b/>
      <sz val="14"/>
      <name val="Times New Roman"/>
      <family val="1"/>
    </font>
    <font>
      <b/>
      <sz val="10"/>
      <color indexed="10"/>
      <name val="Times New Roman"/>
      <family val="1"/>
    </font>
    <font>
      <sz val="10"/>
      <color indexed="10"/>
      <name val="Times New Roman"/>
      <family val="1"/>
    </font>
    <font>
      <b/>
      <sz val="10"/>
      <color indexed="8"/>
      <name val="Times New Roman"/>
      <family val="1"/>
    </font>
    <font>
      <b/>
      <sz val="12"/>
      <color indexed="10"/>
      <name val="Times New Roman"/>
      <family val="1"/>
    </font>
    <font>
      <sz val="8"/>
      <name val="Tahoma"/>
      <family val="2"/>
    </font>
    <font>
      <b/>
      <sz val="8"/>
      <name val="Tahoma"/>
      <family val="2"/>
    </font>
    <font>
      <b/>
      <sz val="8"/>
      <color indexed="10"/>
      <name val="Tahoma"/>
      <family val="2"/>
    </font>
    <font>
      <sz val="12"/>
      <name val="Times New Roman"/>
      <family val="1"/>
    </font>
    <font>
      <sz val="10"/>
      <name val="Arial"/>
      <family val="2"/>
    </font>
    <font>
      <b/>
      <sz val="10"/>
      <name val="Arial"/>
      <family val="2"/>
    </font>
    <font>
      <b/>
      <sz val="10"/>
      <color indexed="12"/>
      <name val="Arial"/>
      <family val="2"/>
    </font>
    <font>
      <b/>
      <sz val="9"/>
      <name val="Times New Roman"/>
      <family val="1"/>
    </font>
    <font>
      <b/>
      <sz val="14"/>
      <color indexed="10"/>
      <name val="Times New Roman"/>
      <family val="1"/>
    </font>
    <font>
      <b/>
      <sz val="8"/>
      <color indexed="8"/>
      <name val="Tahoma"/>
      <family val="2"/>
    </font>
    <font>
      <sz val="8"/>
      <color indexed="8"/>
      <name val="Tahoma"/>
      <family val="2"/>
    </font>
    <font>
      <b/>
      <sz val="10"/>
      <color indexed="8"/>
      <name val="Tahoma"/>
      <family val="2"/>
    </font>
    <font>
      <b/>
      <sz val="10"/>
      <name val="Tahoma"/>
      <family val="2"/>
    </font>
    <font>
      <b/>
      <sz val="10"/>
      <color indexed="10"/>
      <name val="Tahoma"/>
      <family val="2"/>
    </font>
    <font>
      <sz val="10"/>
      <name val="Tahoma"/>
      <family val="2"/>
    </font>
    <font>
      <sz val="10"/>
      <color indexed="8"/>
      <name val="Tahoma"/>
      <family val="2"/>
    </font>
    <font>
      <u val="single"/>
      <sz val="7.5"/>
      <color indexed="12"/>
      <name val="Helv"/>
      <family val="0"/>
    </font>
    <font>
      <b/>
      <sz val="11"/>
      <color indexed="10"/>
      <name val="Tahoma"/>
      <family val="2"/>
    </font>
    <font>
      <sz val="12"/>
      <color indexed="12"/>
      <name val="Times New Roman"/>
      <family val="1"/>
    </font>
    <font>
      <b/>
      <sz val="12"/>
      <color indexed="12"/>
      <name val="Times New Roman"/>
      <family val="1"/>
    </font>
    <font>
      <u val="single"/>
      <sz val="12"/>
      <color indexed="12"/>
      <name val="Times New Roman"/>
      <family val="1"/>
    </font>
    <font>
      <b/>
      <sz val="12"/>
      <color indexed="8"/>
      <name val="Times New Roman"/>
      <family val="1"/>
    </font>
    <font>
      <sz val="12"/>
      <color indexed="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19"/>
      <name val="Times New Roman"/>
      <family val="2"/>
    </font>
    <font>
      <b/>
      <sz val="12"/>
      <color indexed="63"/>
      <name val="Times New Roman"/>
      <family val="2"/>
    </font>
    <font>
      <b/>
      <sz val="18"/>
      <color indexed="62"/>
      <name val="Cambria"/>
      <family val="2"/>
    </font>
    <font>
      <b/>
      <sz val="12"/>
      <color indexed="53"/>
      <name val="Times New Roman"/>
      <family val="1"/>
    </font>
    <font>
      <sz val="10"/>
      <color indexed="8"/>
      <name val="Helv"/>
      <family val="0"/>
    </font>
    <font>
      <sz val="10"/>
      <color indexed="10"/>
      <name val="Helv"/>
      <family val="0"/>
    </font>
    <font>
      <sz val="10"/>
      <color indexed="8"/>
      <name val="Arial"/>
      <family val="0"/>
    </font>
    <font>
      <b/>
      <sz val="8"/>
      <name val="Helv"/>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31"/>
        <bgColor indexed="64"/>
      </patternFill>
    </fill>
    <fill>
      <patternFill patternType="solid">
        <fgColor indexed="29"/>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indexed="15"/>
        <bgColor indexed="64"/>
      </patternFill>
    </fill>
    <fill>
      <patternFill patternType="lightGray">
        <fgColor indexed="8"/>
        <bgColor indexed="24"/>
      </patternFill>
    </fill>
    <fill>
      <patternFill patternType="solid">
        <fgColor indexed="16"/>
        <bgColor indexed="64"/>
      </patternFill>
    </fill>
    <fill>
      <patternFill patternType="solid">
        <fgColor indexed="31"/>
        <bgColor indexed="64"/>
      </patternFill>
    </fill>
    <fill>
      <patternFill patternType="solid">
        <fgColor indexed="13"/>
        <bgColor indexed="64"/>
      </patternFill>
    </fill>
  </fills>
  <borders count="1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double">
        <color indexed="8"/>
      </right>
      <top>
        <color indexed="63"/>
      </top>
      <bottom style="double">
        <color indexed="8"/>
      </bottom>
    </border>
    <border>
      <left>
        <color indexed="63"/>
      </left>
      <right style="double">
        <color indexed="8"/>
      </right>
      <top>
        <color indexed="63"/>
      </top>
      <bottom>
        <color indexed="63"/>
      </bottom>
    </border>
    <border>
      <left>
        <color indexed="63"/>
      </left>
      <right>
        <color indexed="63"/>
      </right>
      <top>
        <color indexed="63"/>
      </top>
      <bottom style="medium">
        <color indexed="8"/>
      </bottom>
    </border>
    <border>
      <left style="double">
        <color indexed="8"/>
      </left>
      <right>
        <color indexed="63"/>
      </right>
      <top>
        <color indexed="63"/>
      </top>
      <bottom>
        <color indexed="63"/>
      </bottom>
    </border>
    <border>
      <left style="double">
        <color indexed="8"/>
      </left>
      <right>
        <color indexed="63"/>
      </right>
      <top>
        <color indexed="63"/>
      </top>
      <bottom style="medium">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thin">
        <color indexed="8"/>
      </bottom>
    </border>
    <border>
      <left style="double">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color indexed="63"/>
      </left>
      <right style="double">
        <color indexed="8"/>
      </right>
      <top>
        <color indexed="63"/>
      </top>
      <bottom style="medium">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thin">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right style="double"/>
      <top>
        <color indexed="63"/>
      </top>
      <bottom>
        <color indexed="63"/>
      </bottom>
    </border>
    <border>
      <left style="double"/>
      <right style="double"/>
      <top>
        <color indexed="63"/>
      </top>
      <bottom style="double"/>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double"/>
      <right style="double"/>
      <top style="double"/>
      <bottom>
        <color indexed="63"/>
      </bottom>
    </border>
    <border>
      <left style="thin"/>
      <right style="thin"/>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double">
        <color indexed="8"/>
      </left>
      <right>
        <color indexed="63"/>
      </right>
      <top>
        <color indexed="63"/>
      </top>
      <bottom style="double"/>
    </border>
    <border>
      <left>
        <color indexed="63"/>
      </left>
      <right>
        <color indexed="63"/>
      </right>
      <top>
        <color indexed="63"/>
      </top>
      <bottom style="medium"/>
    </border>
    <border>
      <left style="hair">
        <color indexed="12"/>
      </left>
      <right style="hair">
        <color indexed="12"/>
      </right>
      <top style="double">
        <color indexed="8"/>
      </top>
      <bottom style="hair">
        <color indexed="12"/>
      </bottom>
    </border>
    <border>
      <left style="hair">
        <color indexed="12"/>
      </left>
      <right style="double">
        <color indexed="8"/>
      </right>
      <top style="double">
        <color indexed="8"/>
      </top>
      <bottom style="hair">
        <color indexed="12"/>
      </bottom>
    </border>
    <border>
      <left style="hair">
        <color indexed="12"/>
      </left>
      <right style="hair">
        <color indexed="12"/>
      </right>
      <top style="hair">
        <color indexed="12"/>
      </top>
      <bottom style="hair">
        <color indexed="12"/>
      </bottom>
    </border>
    <border>
      <left style="hair">
        <color indexed="12"/>
      </left>
      <right style="double">
        <color indexed="8"/>
      </right>
      <top style="hair">
        <color indexed="12"/>
      </top>
      <bottom style="hair">
        <color indexed="12"/>
      </bottom>
    </border>
    <border>
      <left style="double">
        <color indexed="8"/>
      </left>
      <right style="hair">
        <color indexed="12"/>
      </right>
      <top style="hair">
        <color indexed="12"/>
      </top>
      <bottom style="double">
        <color indexed="8"/>
      </bottom>
    </border>
    <border>
      <left style="hair">
        <color indexed="12"/>
      </left>
      <right style="hair">
        <color indexed="12"/>
      </right>
      <top style="hair">
        <color indexed="12"/>
      </top>
      <bottom style="double">
        <color indexed="8"/>
      </bottom>
    </border>
    <border>
      <left style="hair">
        <color indexed="12"/>
      </left>
      <right style="double">
        <color indexed="8"/>
      </right>
      <top style="hair">
        <color indexed="12"/>
      </top>
      <bottom style="double">
        <color indexed="8"/>
      </bottom>
    </border>
    <border>
      <left style="double">
        <color indexed="8"/>
      </left>
      <right style="hair">
        <color indexed="12"/>
      </right>
      <top style="double">
        <color indexed="8"/>
      </top>
      <bottom>
        <color indexed="63"/>
      </bottom>
    </border>
    <border>
      <left style="double">
        <color indexed="8"/>
      </left>
      <right>
        <color indexed="63"/>
      </right>
      <top>
        <color indexed="63"/>
      </top>
      <bottom style="hair">
        <color indexed="12"/>
      </bottom>
    </border>
    <border>
      <left>
        <color indexed="63"/>
      </left>
      <right style="hair">
        <color indexed="12"/>
      </right>
      <top style="hair">
        <color indexed="12"/>
      </top>
      <bottom style="hair">
        <color indexed="12"/>
      </bottom>
    </border>
    <border>
      <left style="double">
        <color indexed="8"/>
      </left>
      <right style="double">
        <color indexed="8"/>
      </right>
      <top style="double">
        <color indexed="8"/>
      </top>
      <bottom style="hair">
        <color indexed="12"/>
      </bottom>
    </border>
    <border>
      <left style="double"/>
      <right style="double"/>
      <top style="hair">
        <color indexed="12"/>
      </top>
      <bottom style="hair">
        <color indexed="12"/>
      </bottom>
    </border>
    <border>
      <left style="double">
        <color indexed="8"/>
      </left>
      <right style="double">
        <color indexed="8"/>
      </right>
      <top style="hair">
        <color indexed="12"/>
      </top>
      <bottom style="double">
        <color indexed="8"/>
      </bottom>
    </border>
    <border>
      <left style="double">
        <color indexed="8"/>
      </left>
      <right style="double">
        <color indexed="8"/>
      </right>
      <top style="hair">
        <color indexed="12"/>
      </top>
      <bottom style="hair">
        <color indexed="12"/>
      </bottom>
    </border>
    <border>
      <left style="double">
        <color indexed="8"/>
      </left>
      <right style="hair">
        <color indexed="12"/>
      </right>
      <top style="double">
        <color indexed="8"/>
      </top>
      <bottom style="hair">
        <color indexed="12"/>
      </bottom>
    </border>
    <border>
      <left style="double">
        <color indexed="8"/>
      </left>
      <right style="hair">
        <color indexed="12"/>
      </right>
      <top style="hair">
        <color indexed="12"/>
      </top>
      <bottom style="hair">
        <color indexed="12"/>
      </bottom>
    </border>
    <border>
      <left style="double">
        <color indexed="8"/>
      </left>
      <right style="double">
        <color indexed="8"/>
      </right>
      <top style="double">
        <color indexed="8"/>
      </top>
      <bottom style="double">
        <color indexed="12"/>
      </bottom>
    </border>
    <border>
      <left style="double">
        <color indexed="8"/>
      </left>
      <right style="double">
        <color indexed="8"/>
      </right>
      <top style="double">
        <color indexed="12"/>
      </top>
      <bottom style="hair">
        <color indexed="12"/>
      </bottom>
    </border>
    <border>
      <left style="double">
        <color indexed="8"/>
      </left>
      <right style="double">
        <color indexed="8"/>
      </right>
      <top>
        <color indexed="63"/>
      </top>
      <bottom style="hair">
        <color indexed="12"/>
      </bottom>
    </border>
    <border>
      <left style="double">
        <color indexed="8"/>
      </left>
      <right style="double">
        <color indexed="8"/>
      </right>
      <top style="hair">
        <color indexed="12"/>
      </top>
      <bottom>
        <color indexed="63"/>
      </bottom>
    </border>
    <border>
      <left style="double">
        <color indexed="8"/>
      </left>
      <right style="hair">
        <color indexed="12"/>
      </right>
      <top style="hair">
        <color indexed="12"/>
      </top>
      <bottom style="double"/>
    </border>
    <border>
      <left style="hair">
        <color indexed="12"/>
      </left>
      <right style="double">
        <color indexed="8"/>
      </right>
      <top style="hair">
        <color indexed="12"/>
      </top>
      <bottom style="double"/>
    </border>
    <border>
      <left style="hair">
        <color indexed="12"/>
      </left>
      <right style="double"/>
      <top style="hair">
        <color indexed="12"/>
      </top>
      <bottom style="hair">
        <color indexed="12"/>
      </bottom>
    </border>
    <border>
      <left style="hair">
        <color indexed="12"/>
      </left>
      <right style="double"/>
      <top style="hair">
        <color indexed="12"/>
      </top>
      <bottom style="double"/>
    </border>
    <border>
      <left style="double"/>
      <right style="hair">
        <color indexed="12"/>
      </right>
      <top style="double"/>
      <bottom style="double"/>
    </border>
    <border>
      <left style="hair">
        <color indexed="12"/>
      </left>
      <right style="hair">
        <color indexed="12"/>
      </right>
      <top style="double"/>
      <bottom style="double"/>
    </border>
    <border>
      <left style="hair">
        <color indexed="12"/>
      </left>
      <right style="double"/>
      <top style="double"/>
      <bottom style="double"/>
    </border>
    <border>
      <left style="double">
        <color indexed="8"/>
      </left>
      <right style="hair">
        <color indexed="12"/>
      </right>
      <top style="double"/>
      <bottom style="hair">
        <color indexed="12"/>
      </bottom>
    </border>
    <border>
      <left style="hair">
        <color indexed="12"/>
      </left>
      <right style="hair">
        <color indexed="12"/>
      </right>
      <top style="double"/>
      <bottom style="hair">
        <color indexed="12"/>
      </bottom>
    </border>
    <border>
      <left style="hair">
        <color indexed="12"/>
      </left>
      <right style="double">
        <color indexed="8"/>
      </right>
      <top style="double"/>
      <bottom style="hair">
        <color indexed="12"/>
      </bottom>
    </border>
    <border>
      <left style="double"/>
      <right style="hair">
        <color indexed="12"/>
      </right>
      <top style="hair">
        <color indexed="12"/>
      </top>
      <bottom style="hair">
        <color indexed="12"/>
      </bottom>
    </border>
    <border>
      <left style="double"/>
      <right style="hair">
        <color indexed="12"/>
      </right>
      <top style="hair">
        <color indexed="12"/>
      </top>
      <bottom style="double"/>
    </border>
    <border>
      <left style="hair">
        <color indexed="12"/>
      </left>
      <right style="hair">
        <color indexed="12"/>
      </right>
      <top style="hair">
        <color indexed="12"/>
      </top>
      <bottom style="double"/>
    </border>
    <border>
      <left style="thin">
        <color indexed="8"/>
      </left>
      <right style="double">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right style="double"/>
      <top style="double"/>
      <bottom style="double"/>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double"/>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color indexed="63"/>
      </left>
      <right>
        <color indexed="63"/>
      </right>
      <top style="double"/>
      <bottom style="thin"/>
    </border>
    <border>
      <left style="medium"/>
      <right>
        <color indexed="63"/>
      </right>
      <top style="double"/>
      <bottom style="medium"/>
    </border>
    <border>
      <left>
        <color indexed="63"/>
      </left>
      <right style="medium"/>
      <top style="double"/>
      <bottom style="mediu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color indexed="63"/>
      </left>
      <right style="medium">
        <color indexed="8"/>
      </right>
      <top style="medium">
        <color indexed="8"/>
      </top>
      <bottom>
        <color indexed="63"/>
      </bottom>
    </border>
    <border>
      <left>
        <color indexed="63"/>
      </left>
      <right>
        <color indexed="63"/>
      </right>
      <top>
        <color indexed="63"/>
      </top>
      <bottom style="double"/>
    </border>
    <border>
      <left style="thin"/>
      <right>
        <color indexed="63"/>
      </right>
      <top style="thin"/>
      <bottom>
        <color indexed="63"/>
      </bottom>
    </border>
    <border>
      <left style="double"/>
      <right style="double"/>
      <top style="double"/>
      <bottom style="hair"/>
    </border>
    <border>
      <left>
        <color indexed="63"/>
      </left>
      <right>
        <color indexed="63"/>
      </right>
      <top style="thin"/>
      <bottom>
        <color indexed="63"/>
      </bottom>
    </border>
    <border>
      <left>
        <color indexed="63"/>
      </left>
      <right style="thin"/>
      <top style="thin"/>
      <bottom>
        <color indexed="63"/>
      </bottom>
    </border>
    <border>
      <left style="double"/>
      <right style="double"/>
      <top style="hair"/>
      <bottom style="hair"/>
    </border>
    <border>
      <left style="double"/>
      <right style="double"/>
      <top style="hair"/>
      <bottom style="double"/>
    </border>
    <border>
      <left style="double"/>
      <right style="double"/>
      <top style="double"/>
      <bottom style="hair">
        <color indexed="12"/>
      </bottom>
    </border>
    <border>
      <left style="double"/>
      <right style="double"/>
      <top style="hair">
        <color indexed="12"/>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style="double"/>
      <right>
        <color indexed="63"/>
      </right>
      <top style="double"/>
      <bottom style="double"/>
    </border>
  </borders>
  <cellStyleXfs count="7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15" fillId="16" borderId="1" applyNumberFormat="0" applyAlignment="0" applyProtection="0"/>
    <xf numFmtId="0" fontId="42" fillId="17"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3" fillId="0" borderId="0" applyNumberFormat="0" applyFill="0" applyBorder="0" applyAlignment="0" applyProtection="0"/>
    <xf numFmtId="0" fontId="44"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2" fillId="0" borderId="0" applyNumberFormat="0" applyFill="0" applyBorder="0" applyAlignment="0" applyProtection="0"/>
    <xf numFmtId="0" fontId="48" fillId="7" borderId="1" applyNumberFormat="0" applyAlignment="0" applyProtection="0"/>
    <xf numFmtId="0" fontId="38" fillId="0" borderId="6" applyNumberFormat="0" applyFill="0" applyAlignment="0" applyProtection="0"/>
    <xf numFmtId="0" fontId="49" fillId="7"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9" fillId="0" borderId="0">
      <alignment/>
      <protection/>
    </xf>
    <xf numFmtId="0" fontId="0" fillId="4" borderId="7" applyNumberFormat="0" applyFont="0" applyAlignment="0" applyProtection="0"/>
    <xf numFmtId="0" fontId="50" fillId="16" borderId="8"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51"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11">
    <xf numFmtId="164" fontId="0" fillId="0" borderId="0" xfId="0" applyAlignment="1">
      <alignment/>
    </xf>
    <xf numFmtId="164" fontId="0" fillId="0" borderId="0" xfId="0" applyNumberFormat="1" applyAlignment="1" applyProtection="1">
      <alignment/>
      <protection/>
    </xf>
    <xf numFmtId="166" fontId="0" fillId="0" borderId="0" xfId="0" applyNumberFormat="1" applyAlignment="1" applyProtection="1">
      <alignment/>
      <protection/>
    </xf>
    <xf numFmtId="164" fontId="0" fillId="0" borderId="0" xfId="0" applyNumberFormat="1" applyAlignment="1" applyProtection="1">
      <alignment horizontal="left"/>
      <protection/>
    </xf>
    <xf numFmtId="164" fontId="0" fillId="0" borderId="0" xfId="0" applyAlignment="1">
      <alignment horizontal="left"/>
    </xf>
    <xf numFmtId="164" fontId="5" fillId="0" borderId="0" xfId="0" applyNumberFormat="1" applyFont="1" applyAlignment="1" applyProtection="1">
      <alignment horizontal="left"/>
      <protection/>
    </xf>
    <xf numFmtId="164" fontId="5" fillId="0" borderId="0" xfId="0" applyNumberFormat="1" applyFont="1" applyAlignment="1" applyProtection="1">
      <alignment horizontal="center"/>
      <protection/>
    </xf>
    <xf numFmtId="164" fontId="0" fillId="0" borderId="10" xfId="0" applyNumberFormat="1" applyBorder="1" applyAlignment="1" applyProtection="1">
      <alignment/>
      <protection/>
    </xf>
    <xf numFmtId="164" fontId="0" fillId="0" borderId="11" xfId="0" applyNumberFormat="1" applyBorder="1" applyAlignment="1" applyProtection="1">
      <alignment/>
      <protection/>
    </xf>
    <xf numFmtId="164" fontId="0" fillId="0" borderId="12" xfId="0" applyNumberFormat="1" applyBorder="1" applyAlignment="1" applyProtection="1">
      <alignment/>
      <protection/>
    </xf>
    <xf numFmtId="7" fontId="6" fillId="0" borderId="0" xfId="0" applyNumberFormat="1" applyFont="1" applyAlignment="1" applyProtection="1">
      <alignment horizontal="right"/>
      <protection/>
    </xf>
    <xf numFmtId="166" fontId="5" fillId="0" borderId="0" xfId="0" applyNumberFormat="1" applyFont="1" applyAlignment="1" applyProtection="1">
      <alignment horizontal="center"/>
      <protection/>
    </xf>
    <xf numFmtId="166" fontId="0" fillId="0" borderId="12" xfId="0" applyNumberFormat="1" applyBorder="1" applyAlignment="1" applyProtection="1">
      <alignment/>
      <protection/>
    </xf>
    <xf numFmtId="164" fontId="0" fillId="0" borderId="13" xfId="0" applyNumberFormat="1" applyBorder="1" applyAlignment="1" applyProtection="1">
      <alignment horizontal="left"/>
      <protection/>
    </xf>
    <xf numFmtId="164" fontId="5" fillId="0" borderId="11" xfId="0" applyNumberFormat="1" applyFont="1" applyBorder="1" applyAlignment="1" applyProtection="1">
      <alignment horizontal="center"/>
      <protection/>
    </xf>
    <xf numFmtId="166" fontId="5" fillId="0" borderId="11" xfId="0" applyNumberFormat="1" applyFont="1" applyBorder="1" applyAlignment="1" applyProtection="1">
      <alignment horizontal="center"/>
      <protection/>
    </xf>
    <xf numFmtId="164" fontId="0" fillId="0" borderId="13" xfId="0" applyNumberFormat="1" applyBorder="1" applyAlignment="1" applyProtection="1">
      <alignment horizontal="right"/>
      <protection/>
    </xf>
    <xf numFmtId="164" fontId="0" fillId="0" borderId="13" xfId="0" applyNumberFormat="1" applyBorder="1" applyAlignment="1" applyProtection="1">
      <alignment/>
      <protection/>
    </xf>
    <xf numFmtId="164" fontId="0" fillId="0" borderId="14" xfId="0" applyNumberFormat="1" applyBorder="1" applyAlignment="1" applyProtection="1">
      <alignment horizontal="left"/>
      <protection/>
    </xf>
    <xf numFmtId="166" fontId="0" fillId="0" borderId="13" xfId="0" applyNumberFormat="1" applyBorder="1" applyAlignment="1" applyProtection="1">
      <alignment horizontal="left"/>
      <protection/>
    </xf>
    <xf numFmtId="164" fontId="0" fillId="0" borderId="15" xfId="0" applyNumberFormat="1" applyBorder="1" applyAlignment="1" applyProtection="1">
      <alignment horizontal="left"/>
      <protection/>
    </xf>
    <xf numFmtId="164" fontId="0" fillId="0" borderId="16" xfId="0" applyNumberFormat="1" applyBorder="1" applyAlignment="1" applyProtection="1">
      <alignment/>
      <protection/>
    </xf>
    <xf numFmtId="166" fontId="5" fillId="0" borderId="0" xfId="0" applyNumberFormat="1" applyFont="1" applyAlignment="1" applyProtection="1">
      <alignment/>
      <protection/>
    </xf>
    <xf numFmtId="164" fontId="7" fillId="0" borderId="0" xfId="0" applyNumberFormat="1" applyFont="1" applyAlignment="1" applyProtection="1">
      <alignment horizontal="left"/>
      <protection/>
    </xf>
    <xf numFmtId="7" fontId="5" fillId="18" borderId="17" xfId="0" applyNumberFormat="1" applyFont="1" applyFill="1" applyBorder="1" applyAlignment="1" applyProtection="1">
      <alignment/>
      <protection/>
    </xf>
    <xf numFmtId="164" fontId="0" fillId="19" borderId="18" xfId="0" applyNumberFormat="1" applyFill="1" applyBorder="1" applyAlignment="1" applyProtection="1">
      <alignment horizontal="centerContinuous"/>
      <protection/>
    </xf>
    <xf numFmtId="164" fontId="0" fillId="19" borderId="19" xfId="0" applyNumberFormat="1" applyFill="1" applyBorder="1" applyAlignment="1" applyProtection="1">
      <alignment horizontal="centerContinuous"/>
      <protection/>
    </xf>
    <xf numFmtId="166" fontId="0" fillId="19" borderId="19" xfId="0" applyNumberFormat="1" applyFill="1" applyBorder="1" applyAlignment="1" applyProtection="1">
      <alignment horizontal="centerContinuous"/>
      <protection/>
    </xf>
    <xf numFmtId="164" fontId="0" fillId="19" borderId="20" xfId="0" applyNumberFormat="1" applyFill="1" applyBorder="1" applyAlignment="1" applyProtection="1">
      <alignment horizontal="centerContinuous"/>
      <protection/>
    </xf>
    <xf numFmtId="166" fontId="5" fillId="18" borderId="11" xfId="0" applyNumberFormat="1" applyFont="1" applyFill="1" applyBorder="1" applyAlignment="1" applyProtection="1">
      <alignment/>
      <protection/>
    </xf>
    <xf numFmtId="166" fontId="5" fillId="18" borderId="21" xfId="0" applyNumberFormat="1" applyFont="1" applyFill="1" applyBorder="1" applyAlignment="1" applyProtection="1">
      <alignment/>
      <protection/>
    </xf>
    <xf numFmtId="166" fontId="5" fillId="18" borderId="22" xfId="0" applyNumberFormat="1" applyFont="1" applyFill="1" applyBorder="1" applyAlignment="1" applyProtection="1">
      <alignment/>
      <protection/>
    </xf>
    <xf numFmtId="164" fontId="0" fillId="18" borderId="22" xfId="0" applyNumberFormat="1" applyFill="1" applyBorder="1" applyAlignment="1" applyProtection="1">
      <alignment/>
      <protection/>
    </xf>
    <xf numFmtId="166" fontId="8" fillId="0" borderId="23" xfId="0" applyNumberFormat="1" applyFont="1" applyBorder="1" applyAlignment="1" applyProtection="1">
      <alignment/>
      <protection locked="0"/>
    </xf>
    <xf numFmtId="164" fontId="8" fillId="0" borderId="24" xfId="0" applyNumberFormat="1" applyFont="1" applyBorder="1" applyAlignment="1" applyProtection="1">
      <alignment/>
      <protection locked="0"/>
    </xf>
    <xf numFmtId="166" fontId="8" fillId="0" borderId="25" xfId="0" applyNumberFormat="1" applyFont="1" applyBorder="1" applyAlignment="1" applyProtection="1">
      <alignment/>
      <protection locked="0"/>
    </xf>
    <xf numFmtId="164" fontId="8" fillId="0" borderId="26" xfId="0" applyNumberFormat="1" applyFont="1" applyBorder="1" applyAlignment="1" applyProtection="1">
      <alignment/>
      <protection locked="0"/>
    </xf>
    <xf numFmtId="166" fontId="8" fillId="0" borderId="27" xfId="0" applyNumberFormat="1" applyFont="1" applyBorder="1" applyAlignment="1" applyProtection="1">
      <alignment/>
      <protection locked="0"/>
    </xf>
    <xf numFmtId="164" fontId="8" fillId="0" borderId="28" xfId="0" applyNumberFormat="1" applyFont="1" applyBorder="1" applyAlignment="1" applyProtection="1">
      <alignment/>
      <protection locked="0"/>
    </xf>
    <xf numFmtId="166" fontId="8" fillId="0" borderId="29" xfId="0" applyNumberFormat="1" applyFont="1" applyBorder="1" applyAlignment="1" applyProtection="1">
      <alignment/>
      <protection locked="0"/>
    </xf>
    <xf numFmtId="166" fontId="8" fillId="0" borderId="30" xfId="0" applyNumberFormat="1" applyFont="1" applyBorder="1" applyAlignment="1" applyProtection="1">
      <alignment/>
      <protection locked="0"/>
    </xf>
    <xf numFmtId="166" fontId="8" fillId="0" borderId="31" xfId="0" applyNumberFormat="1" applyFont="1" applyBorder="1" applyAlignment="1" applyProtection="1">
      <alignment/>
      <protection locked="0"/>
    </xf>
    <xf numFmtId="164" fontId="8" fillId="0" borderId="30" xfId="0" applyNumberFormat="1" applyFont="1" applyBorder="1" applyAlignment="1" applyProtection="1">
      <alignment/>
      <protection locked="0"/>
    </xf>
    <xf numFmtId="166" fontId="5" fillId="18" borderId="32" xfId="0" applyNumberFormat="1" applyFont="1" applyFill="1" applyBorder="1" applyAlignment="1" applyProtection="1">
      <alignment/>
      <protection/>
    </xf>
    <xf numFmtId="7" fontId="5" fillId="18" borderId="33" xfId="0" applyNumberFormat="1" applyFont="1" applyFill="1" applyBorder="1" applyAlignment="1" applyProtection="1">
      <alignment/>
      <protection/>
    </xf>
    <xf numFmtId="7" fontId="5" fillId="18" borderId="32" xfId="0" applyNumberFormat="1" applyFont="1" applyFill="1" applyBorder="1" applyAlignment="1" applyProtection="1">
      <alignment/>
      <protection/>
    </xf>
    <xf numFmtId="7" fontId="5" fillId="18" borderId="34" xfId="0" applyNumberFormat="1" applyFont="1" applyFill="1" applyBorder="1" applyAlignment="1" applyProtection="1">
      <alignment/>
      <protection/>
    </xf>
    <xf numFmtId="164" fontId="1" fillId="4" borderId="0" xfId="0" applyNumberFormat="1" applyFont="1" applyFill="1" applyAlignment="1" applyProtection="1">
      <alignment horizontal="centerContinuous"/>
      <protection/>
    </xf>
    <xf numFmtId="164" fontId="4" fillId="0" borderId="0" xfId="0" applyNumberFormat="1" applyFont="1" applyAlignment="1" applyProtection="1">
      <alignment horizontal="left"/>
      <protection/>
    </xf>
    <xf numFmtId="164" fontId="4" fillId="0" borderId="0" xfId="0" applyFont="1" applyAlignment="1">
      <alignment/>
    </xf>
    <xf numFmtId="164" fontId="1" fillId="0" borderId="0" xfId="0" applyNumberFormat="1" applyFont="1" applyAlignment="1" applyProtection="1">
      <alignment horizontal="left"/>
      <protection/>
    </xf>
    <xf numFmtId="164" fontId="1" fillId="0" borderId="0" xfId="0" applyNumberFormat="1" applyFont="1" applyAlignment="1" applyProtection="1">
      <alignment/>
      <protection/>
    </xf>
    <xf numFmtId="164" fontId="10" fillId="18" borderId="0" xfId="0" applyNumberFormat="1" applyFont="1" applyFill="1" applyAlignment="1" applyProtection="1">
      <alignment horizontal="centerContinuous"/>
      <protection/>
    </xf>
    <xf numFmtId="164" fontId="1" fillId="0" borderId="0" xfId="0" applyNumberFormat="1" applyFont="1" applyAlignment="1" applyProtection="1">
      <alignment horizontal="center"/>
      <protection/>
    </xf>
    <xf numFmtId="5" fontId="4" fillId="0" borderId="0" xfId="0" applyNumberFormat="1" applyFont="1" applyAlignment="1" applyProtection="1">
      <alignment/>
      <protection/>
    </xf>
    <xf numFmtId="7" fontId="4" fillId="0" borderId="0" xfId="0" applyNumberFormat="1" applyFont="1" applyAlignment="1" applyProtection="1">
      <alignment horizontal="left"/>
      <protection/>
    </xf>
    <xf numFmtId="7" fontId="4" fillId="0" borderId="0" xfId="0" applyNumberFormat="1" applyFont="1" applyAlignment="1" applyProtection="1">
      <alignment/>
      <protection/>
    </xf>
    <xf numFmtId="164" fontId="9" fillId="0" borderId="0" xfId="0" applyNumberFormat="1" applyFont="1" applyAlignment="1" applyProtection="1">
      <alignment/>
      <protection/>
    </xf>
    <xf numFmtId="164" fontId="1" fillId="0" borderId="0" xfId="0" applyNumberFormat="1" applyFont="1" applyAlignment="1" applyProtection="1">
      <alignment horizontal="right"/>
      <protection/>
    </xf>
    <xf numFmtId="164" fontId="10" fillId="0" borderId="0" xfId="0" applyNumberFormat="1" applyFont="1" applyAlignment="1" applyProtection="1">
      <alignment/>
      <protection/>
    </xf>
    <xf numFmtId="164" fontId="4" fillId="0" borderId="0" xfId="0" applyNumberFormat="1" applyFont="1" applyAlignment="1" applyProtection="1">
      <alignment/>
      <protection/>
    </xf>
    <xf numFmtId="164" fontId="1" fillId="0" borderId="16" xfId="0" applyNumberFormat="1" applyFont="1" applyBorder="1" applyAlignment="1" applyProtection="1">
      <alignment horizontal="left"/>
      <protection/>
    </xf>
    <xf numFmtId="164" fontId="10" fillId="0" borderId="0" xfId="0" applyNumberFormat="1" applyFont="1" applyAlignment="1" applyProtection="1">
      <alignment horizontal="left"/>
      <protection/>
    </xf>
    <xf numFmtId="5" fontId="1"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35" xfId="0" applyNumberFormat="1" applyFont="1" applyBorder="1" applyAlignment="1" applyProtection="1">
      <alignment horizontal="right"/>
      <protection/>
    </xf>
    <xf numFmtId="164" fontId="10" fillId="0" borderId="35" xfId="0" applyNumberFormat="1" applyFont="1" applyBorder="1" applyAlignment="1" applyProtection="1">
      <alignment horizontal="left"/>
      <protection/>
    </xf>
    <xf numFmtId="164" fontId="10" fillId="0" borderId="35" xfId="0" applyNumberFormat="1" applyFont="1" applyBorder="1" applyAlignment="1" applyProtection="1">
      <alignment/>
      <protection/>
    </xf>
    <xf numFmtId="164" fontId="12" fillId="0" borderId="32" xfId="0" applyNumberFormat="1" applyFont="1" applyBorder="1" applyAlignment="1" applyProtection="1">
      <alignment horizontal="left"/>
      <protection/>
    </xf>
    <xf numFmtId="164" fontId="9" fillId="0" borderId="36" xfId="0" applyNumberFormat="1" applyFont="1" applyBorder="1" applyAlignment="1" applyProtection="1">
      <alignment horizontal="center"/>
      <protection locked="0"/>
    </xf>
    <xf numFmtId="164" fontId="12" fillId="0" borderId="33" xfId="0" applyNumberFormat="1" applyFont="1" applyBorder="1" applyAlignment="1" applyProtection="1">
      <alignment horizontal="left"/>
      <protection/>
    </xf>
    <xf numFmtId="164" fontId="12" fillId="0" borderId="17" xfId="0" applyNumberFormat="1" applyFont="1" applyBorder="1" applyAlignment="1" applyProtection="1">
      <alignment horizontal="left"/>
      <protection/>
    </xf>
    <xf numFmtId="7" fontId="4" fillId="20" borderId="0" xfId="0" applyNumberFormat="1" applyFont="1" applyFill="1" applyAlignment="1" applyProtection="1">
      <alignment/>
      <protection/>
    </xf>
    <xf numFmtId="164" fontId="12" fillId="0" borderId="33" xfId="0" applyNumberFormat="1" applyFont="1" applyBorder="1" applyAlignment="1" applyProtection="1">
      <alignment/>
      <protection/>
    </xf>
    <xf numFmtId="5" fontId="4" fillId="20" borderId="0" xfId="0" applyNumberFormat="1" applyFont="1" applyFill="1" applyAlignment="1" applyProtection="1">
      <alignment/>
      <protection/>
    </xf>
    <xf numFmtId="164" fontId="9" fillId="0" borderId="30" xfId="0" applyNumberFormat="1" applyFont="1" applyBorder="1" applyAlignment="1" applyProtection="1">
      <alignment/>
      <protection locked="0"/>
    </xf>
    <xf numFmtId="5" fontId="4" fillId="0" borderId="12" xfId="0" applyNumberFormat="1" applyFont="1" applyBorder="1" applyAlignment="1" applyProtection="1">
      <alignment/>
      <protection/>
    </xf>
    <xf numFmtId="7" fontId="4" fillId="0" borderId="12" xfId="0" applyNumberFormat="1" applyFont="1" applyBorder="1" applyAlignment="1" applyProtection="1">
      <alignment/>
      <protection/>
    </xf>
    <xf numFmtId="164" fontId="10" fillId="19" borderId="0" xfId="0" applyNumberFormat="1" applyFont="1" applyFill="1" applyAlignment="1" applyProtection="1">
      <alignment horizontal="left"/>
      <protection/>
    </xf>
    <xf numFmtId="164" fontId="13" fillId="0" borderId="33" xfId="0" applyNumberFormat="1" applyFont="1" applyBorder="1" applyAlignment="1" applyProtection="1">
      <alignment/>
      <protection/>
    </xf>
    <xf numFmtId="5" fontId="9" fillId="0" borderId="31" xfId="0" applyNumberFormat="1" applyFont="1" applyBorder="1" applyAlignment="1" applyProtection="1">
      <alignment/>
      <protection locked="0"/>
    </xf>
    <xf numFmtId="164" fontId="10" fillId="0" borderId="0" xfId="0" applyNumberFormat="1" applyFont="1" applyAlignment="1" applyProtection="1" quotePrefix="1">
      <alignment horizontal="right"/>
      <protection/>
    </xf>
    <xf numFmtId="166" fontId="9" fillId="0" borderId="30" xfId="0" applyNumberFormat="1" applyFont="1" applyBorder="1" applyAlignment="1" applyProtection="1">
      <alignment/>
      <protection locked="0"/>
    </xf>
    <xf numFmtId="10" fontId="9" fillId="0" borderId="36" xfId="0" applyNumberFormat="1" applyFont="1" applyBorder="1" applyAlignment="1" applyProtection="1">
      <alignment/>
      <protection locked="0"/>
    </xf>
    <xf numFmtId="164" fontId="8" fillId="0" borderId="37" xfId="0" applyNumberFormat="1" applyFont="1" applyBorder="1" applyAlignment="1" applyProtection="1">
      <alignment horizontal="left"/>
      <protection locked="0"/>
    </xf>
    <xf numFmtId="164" fontId="8" fillId="0" borderId="38" xfId="0" applyNumberFormat="1" applyFont="1" applyBorder="1" applyAlignment="1" applyProtection="1">
      <alignment horizontal="left"/>
      <protection locked="0"/>
    </xf>
    <xf numFmtId="164" fontId="8" fillId="0" borderId="38" xfId="0" applyNumberFormat="1" applyFont="1" applyBorder="1" applyAlignment="1" applyProtection="1">
      <alignment/>
      <protection locked="0"/>
    </xf>
    <xf numFmtId="164" fontId="8" fillId="0" borderId="39" xfId="0" applyNumberFormat="1" applyFont="1" applyBorder="1" applyAlignment="1" applyProtection="1">
      <alignment/>
      <protection locked="0"/>
    </xf>
    <xf numFmtId="164" fontId="9" fillId="0" borderId="25" xfId="0" applyNumberFormat="1" applyFont="1" applyBorder="1" applyAlignment="1" applyProtection="1">
      <alignment/>
      <protection locked="0"/>
    </xf>
    <xf numFmtId="164" fontId="9" fillId="0" borderId="27" xfId="0" applyNumberFormat="1" applyFont="1" applyBorder="1" applyAlignment="1" applyProtection="1">
      <alignment/>
      <protection locked="0"/>
    </xf>
    <xf numFmtId="5" fontId="1" fillId="0" borderId="0" xfId="0" applyNumberFormat="1" applyFont="1" applyFill="1" applyAlignment="1" applyProtection="1">
      <alignment/>
      <protection/>
    </xf>
    <xf numFmtId="164" fontId="1" fillId="0" borderId="0" xfId="0" applyNumberFormat="1" applyFont="1" applyFill="1" applyAlignment="1" applyProtection="1">
      <alignment/>
      <protection/>
    </xf>
    <xf numFmtId="164" fontId="9" fillId="0" borderId="23" xfId="0" applyNumberFormat="1" applyFont="1" applyBorder="1" applyAlignment="1" applyProtection="1">
      <alignment/>
      <protection locked="0"/>
    </xf>
    <xf numFmtId="5" fontId="1" fillId="0" borderId="0" xfId="0" applyNumberFormat="1" applyFont="1" applyAlignment="1" applyProtection="1">
      <alignment horizontal="center"/>
      <protection/>
    </xf>
    <xf numFmtId="7" fontId="4" fillId="0" borderId="0" xfId="0" applyNumberFormat="1" applyFont="1" applyBorder="1" applyAlignment="1" applyProtection="1">
      <alignment/>
      <protection/>
    </xf>
    <xf numFmtId="164" fontId="12" fillId="0" borderId="0" xfId="0" applyNumberFormat="1" applyFont="1" applyBorder="1" applyAlignment="1" applyProtection="1">
      <alignment/>
      <protection/>
    </xf>
    <xf numFmtId="164" fontId="12" fillId="0" borderId="40" xfId="0" applyNumberFormat="1" applyFont="1" applyBorder="1" applyAlignment="1" applyProtection="1">
      <alignment horizontal="left"/>
      <protection/>
    </xf>
    <xf numFmtId="164" fontId="12" fillId="0" borderId="41" xfId="0" applyNumberFormat="1" applyFont="1" applyBorder="1" applyAlignment="1" applyProtection="1">
      <alignment horizontal="left"/>
      <protection/>
    </xf>
    <xf numFmtId="164" fontId="1" fillId="21" borderId="42" xfId="0" applyNumberFormat="1" applyFont="1" applyFill="1" applyBorder="1" applyAlignment="1" applyProtection="1">
      <alignment horizontal="center"/>
      <protection/>
    </xf>
    <xf numFmtId="164" fontId="19" fillId="0" borderId="0" xfId="0" applyNumberFormat="1" applyFont="1" applyAlignment="1" applyProtection="1">
      <alignment horizontal="left"/>
      <protection/>
    </xf>
    <xf numFmtId="7" fontId="1" fillId="0" borderId="13" xfId="0" applyNumberFormat="1" applyFont="1" applyFill="1" applyBorder="1" applyAlignment="1" applyProtection="1">
      <alignment/>
      <protection/>
    </xf>
    <xf numFmtId="5" fontId="1" fillId="0" borderId="13" xfId="0" applyNumberFormat="1" applyFont="1" applyFill="1" applyBorder="1" applyAlignment="1" applyProtection="1">
      <alignment/>
      <protection/>
    </xf>
    <xf numFmtId="164" fontId="4" fillId="22" borderId="43" xfId="0" applyNumberFormat="1" applyFont="1" applyFill="1" applyBorder="1" applyAlignment="1" applyProtection="1">
      <alignment/>
      <protection/>
    </xf>
    <xf numFmtId="164" fontId="4" fillId="22" borderId="44" xfId="0" applyNumberFormat="1" applyFont="1" applyFill="1" applyBorder="1" applyAlignment="1" applyProtection="1">
      <alignment/>
      <protection/>
    </xf>
    <xf numFmtId="164" fontId="4" fillId="23" borderId="0" xfId="0" applyNumberFormat="1" applyFont="1" applyFill="1" applyAlignment="1" applyProtection="1">
      <alignment/>
      <protection/>
    </xf>
    <xf numFmtId="7" fontId="4" fillId="23" borderId="0" xfId="0" applyNumberFormat="1" applyFont="1" applyFill="1" applyAlignment="1" applyProtection="1">
      <alignment/>
      <protection/>
    </xf>
    <xf numFmtId="166" fontId="1" fillId="0" borderId="0" xfId="0" applyNumberFormat="1" applyFont="1" applyAlignment="1" applyProtection="1">
      <alignment horizontal="center"/>
      <protection/>
    </xf>
    <xf numFmtId="164" fontId="12" fillId="7" borderId="0" xfId="0" applyNumberFormat="1" applyFont="1" applyFill="1" applyAlignment="1" applyProtection="1">
      <alignment horizontal="left"/>
      <protection/>
    </xf>
    <xf numFmtId="164" fontId="15" fillId="24" borderId="0" xfId="0" applyNumberFormat="1" applyFont="1" applyFill="1" applyAlignment="1" applyProtection="1">
      <alignment horizontal="left"/>
      <protection/>
    </xf>
    <xf numFmtId="164" fontId="9" fillId="7" borderId="0" xfId="0" applyNumberFormat="1" applyFont="1" applyFill="1" applyBorder="1" applyAlignment="1" applyProtection="1">
      <alignment/>
      <protection/>
    </xf>
    <xf numFmtId="165" fontId="9" fillId="25" borderId="41" xfId="0" applyNumberFormat="1" applyFont="1" applyFill="1" applyBorder="1" applyAlignment="1" applyProtection="1">
      <alignment/>
      <protection locked="0"/>
    </xf>
    <xf numFmtId="166" fontId="1" fillId="0" borderId="45" xfId="0" applyNumberFormat="1" applyFont="1" applyBorder="1" applyAlignment="1" applyProtection="1">
      <alignment/>
      <protection/>
    </xf>
    <xf numFmtId="164" fontId="10" fillId="0" borderId="0" xfId="0" applyNumberFormat="1" applyFont="1" applyFill="1" applyAlignment="1" applyProtection="1">
      <alignment/>
      <protection/>
    </xf>
    <xf numFmtId="164" fontId="1" fillId="0" borderId="0" xfId="0" applyFont="1" applyAlignment="1" applyProtection="1">
      <alignment/>
      <protection/>
    </xf>
    <xf numFmtId="164" fontId="21" fillId="0" borderId="0" xfId="0" applyFont="1" applyAlignment="1" applyProtection="1">
      <alignment/>
      <protection/>
    </xf>
    <xf numFmtId="164" fontId="0" fillId="0" borderId="0" xfId="0" applyAlignment="1" applyProtection="1">
      <alignment/>
      <protection/>
    </xf>
    <xf numFmtId="164" fontId="14" fillId="24" borderId="0" xfId="0" applyNumberFormat="1" applyFont="1" applyFill="1" applyAlignment="1" applyProtection="1">
      <alignment/>
      <protection/>
    </xf>
    <xf numFmtId="164" fontId="1" fillId="0" borderId="0" xfId="0" applyFont="1" applyAlignment="1" applyProtection="1">
      <alignment horizontal="left"/>
      <protection/>
    </xf>
    <xf numFmtId="166" fontId="1" fillId="26" borderId="46" xfId="0" applyNumberFormat="1" applyFont="1" applyFill="1" applyBorder="1" applyAlignment="1" applyProtection="1">
      <alignment horizontal="centerContinuous"/>
      <protection/>
    </xf>
    <xf numFmtId="166" fontId="1" fillId="26" borderId="47" xfId="0" applyNumberFormat="1" applyFont="1" applyFill="1" applyBorder="1" applyAlignment="1" applyProtection="1">
      <alignment horizontal="centerContinuous"/>
      <protection/>
    </xf>
    <xf numFmtId="166" fontId="9" fillId="26" borderId="47" xfId="0" applyNumberFormat="1" applyFont="1" applyFill="1" applyBorder="1" applyAlignment="1" applyProtection="1">
      <alignment horizontal="centerContinuous"/>
      <protection/>
    </xf>
    <xf numFmtId="166" fontId="1" fillId="26" borderId="48" xfId="0" applyNumberFormat="1" applyFont="1" applyFill="1" applyBorder="1" applyAlignment="1" applyProtection="1">
      <alignment horizontal="centerContinuous"/>
      <protection/>
    </xf>
    <xf numFmtId="166" fontId="1" fillId="0" borderId="45" xfId="0" applyNumberFormat="1" applyFont="1" applyBorder="1" applyAlignment="1" applyProtection="1">
      <alignment horizontal="left"/>
      <protection/>
    </xf>
    <xf numFmtId="166" fontId="1" fillId="0" borderId="49" xfId="0" applyNumberFormat="1" applyFont="1" applyBorder="1" applyAlignment="1" applyProtection="1">
      <alignment/>
      <protection/>
    </xf>
    <xf numFmtId="44" fontId="9" fillId="25" borderId="50" xfId="0" applyNumberFormat="1" applyFont="1" applyFill="1" applyBorder="1" applyAlignment="1" applyProtection="1">
      <alignment/>
      <protection locked="0"/>
    </xf>
    <xf numFmtId="44" fontId="9" fillId="25" borderId="40" xfId="0" applyNumberFormat="1" applyFont="1" applyFill="1" applyBorder="1" applyAlignment="1" applyProtection="1">
      <alignment/>
      <protection locked="0"/>
    </xf>
    <xf numFmtId="167" fontId="21" fillId="7" borderId="0" xfId="0" applyNumberFormat="1" applyFont="1" applyFill="1" applyAlignment="1" applyProtection="1">
      <alignment/>
      <protection/>
    </xf>
    <xf numFmtId="166" fontId="1" fillId="0" borderId="0" xfId="0" applyNumberFormat="1" applyFont="1" applyAlignment="1" applyProtection="1">
      <alignment horizontal="left"/>
      <protection/>
    </xf>
    <xf numFmtId="166" fontId="1" fillId="0" borderId="45" xfId="0" applyNumberFormat="1" applyFont="1" applyBorder="1" applyAlignment="1" applyProtection="1">
      <alignment horizontal="right"/>
      <protection/>
    </xf>
    <xf numFmtId="166" fontId="9" fillId="0" borderId="37" xfId="0" applyNumberFormat="1" applyFont="1" applyBorder="1" applyAlignment="1" applyProtection="1">
      <alignment/>
      <protection locked="0"/>
    </xf>
    <xf numFmtId="44" fontId="9" fillId="0" borderId="24" xfId="0" applyNumberFormat="1" applyFont="1" applyBorder="1" applyAlignment="1" applyProtection="1">
      <alignment/>
      <protection locked="0"/>
    </xf>
    <xf numFmtId="166" fontId="9" fillId="0" borderId="38" xfId="0" applyNumberFormat="1" applyFont="1" applyBorder="1" applyAlignment="1" applyProtection="1">
      <alignment horizontal="left"/>
      <protection locked="0"/>
    </xf>
    <xf numFmtId="44" fontId="9" fillId="0" borderId="26" xfId="0" applyNumberFormat="1" applyFont="1" applyBorder="1" applyAlignment="1" applyProtection="1">
      <alignment/>
      <protection locked="0"/>
    </xf>
    <xf numFmtId="166" fontId="9" fillId="0" borderId="38" xfId="0" applyNumberFormat="1" applyFont="1" applyBorder="1" applyAlignment="1" applyProtection="1">
      <alignment/>
      <protection locked="0"/>
    </xf>
    <xf numFmtId="166" fontId="9" fillId="0" borderId="39" xfId="0" applyNumberFormat="1" applyFont="1" applyBorder="1" applyAlignment="1" applyProtection="1">
      <alignment/>
      <protection locked="0"/>
    </xf>
    <xf numFmtId="44" fontId="9" fillId="0" borderId="28" xfId="0" applyNumberFormat="1" applyFont="1" applyBorder="1" applyAlignment="1" applyProtection="1">
      <alignment/>
      <protection locked="0"/>
    </xf>
    <xf numFmtId="166" fontId="1" fillId="0" borderId="0" xfId="0" applyNumberFormat="1" applyFont="1" applyAlignment="1" applyProtection="1">
      <alignment/>
      <protection/>
    </xf>
    <xf numFmtId="165" fontId="9" fillId="0" borderId="29" xfId="0" applyNumberFormat="1" applyFont="1" applyBorder="1" applyAlignment="1" applyProtection="1">
      <alignment/>
      <protection locked="0"/>
    </xf>
    <xf numFmtId="44" fontId="9" fillId="0" borderId="30" xfId="0" applyNumberFormat="1" applyFont="1" applyBorder="1" applyAlignment="1" applyProtection="1">
      <alignment/>
      <protection locked="0"/>
    </xf>
    <xf numFmtId="44" fontId="9" fillId="0" borderId="31" xfId="0" applyNumberFormat="1" applyFont="1" applyBorder="1" applyAlignment="1" applyProtection="1">
      <alignment/>
      <protection locked="0"/>
    </xf>
    <xf numFmtId="44" fontId="9" fillId="0" borderId="23" xfId="0" applyNumberFormat="1" applyFont="1" applyBorder="1" applyAlignment="1" applyProtection="1">
      <alignment/>
      <protection locked="0"/>
    </xf>
    <xf numFmtId="165" fontId="9" fillId="0" borderId="24" xfId="0" applyNumberFormat="1" applyFont="1" applyBorder="1" applyAlignment="1" applyProtection="1">
      <alignment/>
      <protection locked="0"/>
    </xf>
    <xf numFmtId="166" fontId="14" fillId="24" borderId="0" xfId="0" applyNumberFormat="1" applyFont="1" applyFill="1" applyAlignment="1" applyProtection="1">
      <alignment/>
      <protection/>
    </xf>
    <xf numFmtId="44" fontId="9" fillId="0" borderId="25" xfId="0" applyNumberFormat="1" applyFont="1" applyBorder="1" applyAlignment="1" applyProtection="1">
      <alignment/>
      <protection locked="0"/>
    </xf>
    <xf numFmtId="165" fontId="9" fillId="0" borderId="26" xfId="0" applyNumberFormat="1" applyFont="1" applyBorder="1" applyAlignment="1" applyProtection="1">
      <alignment/>
      <protection locked="0"/>
    </xf>
    <xf numFmtId="44" fontId="9" fillId="0" borderId="27" xfId="0" applyNumberFormat="1" applyFont="1" applyBorder="1" applyAlignment="1" applyProtection="1">
      <alignment/>
      <protection locked="0"/>
    </xf>
    <xf numFmtId="165" fontId="9" fillId="0" borderId="28" xfId="0" applyNumberFormat="1" applyFont="1" applyBorder="1" applyAlignment="1" applyProtection="1">
      <alignment/>
      <protection locked="0"/>
    </xf>
    <xf numFmtId="44" fontId="9" fillId="0" borderId="29" xfId="0" applyNumberFormat="1" applyFont="1" applyBorder="1" applyAlignment="1" applyProtection="1">
      <alignment/>
      <protection locked="0"/>
    </xf>
    <xf numFmtId="166" fontId="1" fillId="0" borderId="0" xfId="0" applyNumberFormat="1" applyFont="1" applyBorder="1" applyAlignment="1" applyProtection="1">
      <alignment horizontal="left"/>
      <protection/>
    </xf>
    <xf numFmtId="164" fontId="14" fillId="25" borderId="0" xfId="0" applyNumberFormat="1" applyFont="1" applyFill="1" applyAlignment="1" applyProtection="1">
      <alignment/>
      <protection/>
    </xf>
    <xf numFmtId="166" fontId="14" fillId="25" borderId="49" xfId="0" applyNumberFormat="1" applyFont="1" applyFill="1" applyBorder="1" applyAlignment="1" applyProtection="1">
      <alignment/>
      <protection/>
    </xf>
    <xf numFmtId="164" fontId="1" fillId="27" borderId="0" xfId="0" applyFont="1" applyFill="1" applyAlignment="1" applyProtection="1">
      <alignment/>
      <protection/>
    </xf>
    <xf numFmtId="166" fontId="1" fillId="27" borderId="49" xfId="0" applyNumberFormat="1" applyFont="1" applyFill="1" applyBorder="1" applyAlignment="1" applyProtection="1">
      <alignment/>
      <protection/>
    </xf>
    <xf numFmtId="164" fontId="1" fillId="0" borderId="45" xfId="0" applyNumberFormat="1" applyFont="1" applyBorder="1" applyAlignment="1" applyProtection="1">
      <alignment horizontal="left"/>
      <protection/>
    </xf>
    <xf numFmtId="166" fontId="14" fillId="24" borderId="32" xfId="0" applyNumberFormat="1" applyFont="1" applyFill="1" applyBorder="1" applyAlignment="1" applyProtection="1">
      <alignment/>
      <protection/>
    </xf>
    <xf numFmtId="167" fontId="1" fillId="7" borderId="51" xfId="0" applyNumberFormat="1" applyFont="1" applyFill="1" applyBorder="1" applyAlignment="1" applyProtection="1">
      <alignment/>
      <protection/>
    </xf>
    <xf numFmtId="7" fontId="14" fillId="24" borderId="33" xfId="0" applyNumberFormat="1" applyFont="1" applyFill="1" applyBorder="1" applyAlignment="1" applyProtection="1">
      <alignment/>
      <protection/>
    </xf>
    <xf numFmtId="7" fontId="14" fillId="24" borderId="17" xfId="0" applyNumberFormat="1" applyFont="1" applyFill="1" applyBorder="1" applyAlignment="1" applyProtection="1">
      <alignment/>
      <protection/>
    </xf>
    <xf numFmtId="164" fontId="1" fillId="0" borderId="45" xfId="0" applyNumberFormat="1" applyFont="1" applyBorder="1" applyAlignment="1" applyProtection="1">
      <alignment/>
      <protection/>
    </xf>
    <xf numFmtId="7" fontId="14" fillId="24" borderId="32" xfId="0" applyNumberFormat="1" applyFont="1" applyFill="1" applyBorder="1" applyAlignment="1" applyProtection="1">
      <alignment/>
      <protection/>
    </xf>
    <xf numFmtId="164" fontId="1" fillId="0" borderId="0" xfId="0" applyNumberFormat="1" applyFont="1" applyBorder="1" applyAlignment="1" applyProtection="1">
      <alignment/>
      <protection/>
    </xf>
    <xf numFmtId="7" fontId="14" fillId="25" borderId="44" xfId="0" applyNumberFormat="1" applyFont="1" applyFill="1" applyBorder="1" applyAlignment="1" applyProtection="1">
      <alignment/>
      <protection/>
    </xf>
    <xf numFmtId="167" fontId="21" fillId="7" borderId="33" xfId="0" applyNumberFormat="1" applyFont="1" applyFill="1" applyBorder="1" applyAlignment="1" applyProtection="1">
      <alignment/>
      <protection/>
    </xf>
    <xf numFmtId="164" fontId="1" fillId="0" borderId="52" xfId="0" applyNumberFormat="1" applyFont="1" applyBorder="1" applyAlignment="1" applyProtection="1">
      <alignment horizontal="left"/>
      <protection/>
    </xf>
    <xf numFmtId="164" fontId="1" fillId="0" borderId="12" xfId="0" applyNumberFormat="1" applyFont="1" applyBorder="1" applyAlignment="1" applyProtection="1">
      <alignment/>
      <protection/>
    </xf>
    <xf numFmtId="166" fontId="1" fillId="0" borderId="53" xfId="0" applyNumberFormat="1" applyFont="1" applyBorder="1" applyAlignment="1" applyProtection="1">
      <alignment/>
      <protection/>
    </xf>
    <xf numFmtId="164" fontId="1" fillId="0" borderId="0" xfId="0" applyFont="1" applyAlignment="1">
      <alignment/>
    </xf>
    <xf numFmtId="164" fontId="21" fillId="0" borderId="0" xfId="0" applyFont="1" applyAlignment="1">
      <alignment/>
    </xf>
    <xf numFmtId="164" fontId="21" fillId="0" borderId="0" xfId="0" applyFont="1" applyBorder="1" applyAlignment="1" applyProtection="1">
      <alignment/>
      <protection/>
    </xf>
    <xf numFmtId="164" fontId="1" fillId="0" borderId="0" xfId="0" applyFont="1" applyBorder="1" applyAlignment="1" applyProtection="1">
      <alignment/>
      <protection/>
    </xf>
    <xf numFmtId="164" fontId="21" fillId="0" borderId="12" xfId="0" applyFont="1" applyBorder="1" applyAlignment="1" applyProtection="1">
      <alignment/>
      <protection/>
    </xf>
    <xf numFmtId="7" fontId="14" fillId="24" borderId="54" xfId="0" applyNumberFormat="1" applyFont="1" applyFill="1" applyBorder="1" applyAlignment="1" applyProtection="1">
      <alignment/>
      <protection/>
    </xf>
    <xf numFmtId="164" fontId="1" fillId="0" borderId="12" xfId="0" applyFont="1" applyBorder="1" applyAlignment="1" applyProtection="1">
      <alignment/>
      <protection/>
    </xf>
    <xf numFmtId="166" fontId="5" fillId="20" borderId="30" xfId="0" applyNumberFormat="1" applyFont="1" applyFill="1" applyBorder="1" applyAlignment="1" applyProtection="1">
      <alignment/>
      <protection/>
    </xf>
    <xf numFmtId="44" fontId="8" fillId="0" borderId="29" xfId="0" applyNumberFormat="1" applyFont="1" applyFill="1" applyBorder="1" applyAlignment="1" applyProtection="1">
      <alignment/>
      <protection locked="0"/>
    </xf>
    <xf numFmtId="166" fontId="8" fillId="0" borderId="30" xfId="0" applyNumberFormat="1" applyFont="1" applyFill="1" applyBorder="1" applyAlignment="1" applyProtection="1">
      <alignment/>
      <protection locked="0"/>
    </xf>
    <xf numFmtId="165" fontId="8" fillId="0" borderId="30" xfId="0" applyNumberFormat="1" applyFont="1" applyFill="1" applyBorder="1" applyAlignment="1" applyProtection="1">
      <alignment/>
      <protection locked="0"/>
    </xf>
    <xf numFmtId="164" fontId="4" fillId="0" borderId="0" xfId="0" applyFont="1" applyAlignment="1" applyProtection="1">
      <alignment/>
      <protection/>
    </xf>
    <xf numFmtId="164" fontId="4" fillId="0" borderId="0" xfId="0" applyFont="1" applyFill="1" applyAlignment="1" applyProtection="1">
      <alignment/>
      <protection/>
    </xf>
    <xf numFmtId="5" fontId="1" fillId="20" borderId="22" xfId="0" applyNumberFormat="1" applyFont="1" applyFill="1" applyBorder="1" applyAlignment="1" applyProtection="1">
      <alignment/>
      <protection/>
    </xf>
    <xf numFmtId="5" fontId="9" fillId="20" borderId="30" xfId="0" applyNumberFormat="1" applyFont="1" applyFill="1" applyBorder="1" applyAlignment="1" applyProtection="1">
      <alignment/>
      <protection/>
    </xf>
    <xf numFmtId="5" fontId="1" fillId="0" borderId="16" xfId="0" applyNumberFormat="1" applyFont="1" applyFill="1" applyBorder="1" applyAlignment="1" applyProtection="1">
      <alignment/>
      <protection/>
    </xf>
    <xf numFmtId="164" fontId="19" fillId="0" borderId="0" xfId="0" applyFont="1" applyFill="1" applyAlignment="1" applyProtection="1">
      <alignment/>
      <protection/>
    </xf>
    <xf numFmtId="164" fontId="24" fillId="22" borderId="44" xfId="0" applyNumberFormat="1" applyFont="1" applyFill="1" applyBorder="1" applyAlignment="1" applyProtection="1">
      <alignment horizontal="left"/>
      <protection/>
    </xf>
    <xf numFmtId="164" fontId="24" fillId="23" borderId="0" xfId="0" applyNumberFormat="1" applyFont="1" applyFill="1" applyAlignment="1" applyProtection="1">
      <alignment horizontal="left"/>
      <protection/>
    </xf>
    <xf numFmtId="164" fontId="10" fillId="0" borderId="0" xfId="0" applyNumberFormat="1" applyFont="1" applyAlignment="1" applyProtection="1">
      <alignment horizontal="center"/>
      <protection/>
    </xf>
    <xf numFmtId="7" fontId="1" fillId="0" borderId="55" xfId="0" applyNumberFormat="1" applyFont="1" applyFill="1" applyBorder="1" applyAlignment="1" applyProtection="1">
      <alignment/>
      <protection/>
    </xf>
    <xf numFmtId="9" fontId="9" fillId="0" borderId="36" xfId="0" applyNumberFormat="1" applyFont="1" applyBorder="1" applyAlignment="1" applyProtection="1">
      <alignment horizontal="center"/>
      <protection locked="0"/>
    </xf>
    <xf numFmtId="164" fontId="15" fillId="0" borderId="0" xfId="0" applyNumberFormat="1" applyFont="1" applyAlignment="1" applyProtection="1">
      <alignment horizontal="left"/>
      <protection/>
    </xf>
    <xf numFmtId="164" fontId="1" fillId="0" borderId="0" xfId="0" applyFont="1" applyFill="1" applyAlignment="1" applyProtection="1">
      <alignment/>
      <protection/>
    </xf>
    <xf numFmtId="164" fontId="1" fillId="0" borderId="0" xfId="0" applyFont="1" applyAlignment="1" applyProtection="1">
      <alignment horizontal="center"/>
      <protection/>
    </xf>
    <xf numFmtId="164" fontId="1" fillId="28" borderId="0" xfId="0" applyNumberFormat="1" applyFont="1" applyFill="1" applyAlignment="1" applyProtection="1">
      <alignment/>
      <protection/>
    </xf>
    <xf numFmtId="164" fontId="1" fillId="18" borderId="0" xfId="0" applyNumberFormat="1" applyFont="1" applyFill="1" applyAlignment="1" applyProtection="1">
      <alignment/>
      <protection/>
    </xf>
    <xf numFmtId="165" fontId="1" fillId="0" borderId="0" xfId="0" applyNumberFormat="1" applyFont="1" applyAlignment="1" applyProtection="1">
      <alignment horizontal="center"/>
      <protection/>
    </xf>
    <xf numFmtId="164" fontId="1" fillId="0" borderId="0" xfId="0" applyFont="1" applyAlignment="1" applyProtection="1">
      <alignment horizontal="right"/>
      <protection/>
    </xf>
    <xf numFmtId="2" fontId="5" fillId="0" borderId="0" xfId="0" applyNumberFormat="1" applyFont="1" applyFill="1" applyAlignment="1" applyProtection="1">
      <alignment horizontal="center"/>
      <protection/>
    </xf>
    <xf numFmtId="164" fontId="1" fillId="7" borderId="0" xfId="0" applyFont="1" applyFill="1" applyAlignment="1" applyProtection="1">
      <alignment/>
      <protection/>
    </xf>
    <xf numFmtId="164" fontId="10" fillId="0" borderId="0" xfId="0" applyFont="1" applyBorder="1" applyAlignment="1" applyProtection="1">
      <alignment horizontal="center"/>
      <protection/>
    </xf>
    <xf numFmtId="164" fontId="10" fillId="0" borderId="0" xfId="0" applyFont="1" applyBorder="1" applyAlignment="1" applyProtection="1">
      <alignment horizontal="right"/>
      <protection/>
    </xf>
    <xf numFmtId="164" fontId="15" fillId="0" borderId="56" xfId="0" applyFont="1" applyBorder="1" applyAlignment="1">
      <alignment/>
    </xf>
    <xf numFmtId="164" fontId="10" fillId="0" borderId="56" xfId="0" applyFont="1" applyBorder="1" applyAlignment="1">
      <alignment/>
    </xf>
    <xf numFmtId="165" fontId="1" fillId="18" borderId="0" xfId="0" applyNumberFormat="1" applyFont="1" applyFill="1" applyAlignment="1" applyProtection="1">
      <alignment horizontal="center"/>
      <protection/>
    </xf>
    <xf numFmtId="5" fontId="1" fillId="0" borderId="13" xfId="0" applyNumberFormat="1" applyFont="1" applyFill="1" applyBorder="1" applyAlignment="1" applyProtection="1">
      <alignment/>
      <protection/>
    </xf>
    <xf numFmtId="5" fontId="9" fillId="0" borderId="57" xfId="0" applyNumberFormat="1" applyFont="1" applyBorder="1" applyAlignment="1" applyProtection="1">
      <alignment/>
      <protection locked="0"/>
    </xf>
    <xf numFmtId="164" fontId="9" fillId="0" borderId="57" xfId="0" applyNumberFormat="1" applyFont="1" applyBorder="1" applyAlignment="1" applyProtection="1">
      <alignment/>
      <protection locked="0"/>
    </xf>
    <xf numFmtId="5" fontId="9" fillId="0" borderId="58" xfId="0" applyNumberFormat="1" applyFont="1" applyBorder="1" applyAlignment="1" applyProtection="1">
      <alignment/>
      <protection locked="0"/>
    </xf>
    <xf numFmtId="164" fontId="9" fillId="25" borderId="59" xfId="0" applyNumberFormat="1" applyFont="1" applyFill="1" applyBorder="1" applyAlignment="1" applyProtection="1">
      <alignment/>
      <protection/>
    </xf>
    <xf numFmtId="5" fontId="9" fillId="25" borderId="60" xfId="0" applyNumberFormat="1" applyFont="1" applyFill="1" applyBorder="1" applyAlignment="1" applyProtection="1">
      <alignment/>
      <protection/>
    </xf>
    <xf numFmtId="164" fontId="9" fillId="0" borderId="61" xfId="0" applyNumberFormat="1" applyFont="1" applyBorder="1" applyAlignment="1" applyProtection="1">
      <alignment horizontal="left"/>
      <protection locked="0"/>
    </xf>
    <xf numFmtId="5" fontId="9" fillId="0" borderId="62" xfId="0" applyNumberFormat="1" applyFont="1" applyBorder="1" applyAlignment="1" applyProtection="1">
      <alignment/>
      <protection locked="0"/>
    </xf>
    <xf numFmtId="164" fontId="9" fillId="0" borderId="62" xfId="0" applyNumberFormat="1" applyFont="1" applyBorder="1" applyAlignment="1" applyProtection="1">
      <alignment/>
      <protection locked="0"/>
    </xf>
    <xf numFmtId="5" fontId="9" fillId="0" borderId="63" xfId="0" applyNumberFormat="1" applyFont="1" applyBorder="1" applyAlignment="1" applyProtection="1">
      <alignment/>
      <protection locked="0"/>
    </xf>
    <xf numFmtId="164" fontId="1" fillId="18" borderId="64" xfId="0" applyNumberFormat="1" applyFont="1" applyFill="1" applyBorder="1" applyAlignment="1" applyProtection="1">
      <alignment horizontal="left"/>
      <protection/>
    </xf>
    <xf numFmtId="164" fontId="1" fillId="18" borderId="65" xfId="0" applyNumberFormat="1" applyFont="1" applyFill="1" applyBorder="1" applyAlignment="1" applyProtection="1">
      <alignment horizontal="left"/>
      <protection/>
    </xf>
    <xf numFmtId="5" fontId="1" fillId="4" borderId="66" xfId="0" applyNumberFormat="1" applyFont="1" applyFill="1" applyBorder="1" applyAlignment="1" applyProtection="1">
      <alignment/>
      <protection/>
    </xf>
    <xf numFmtId="10" fontId="9" fillId="0" borderId="67" xfId="0" applyNumberFormat="1" applyFont="1" applyBorder="1" applyAlignment="1" applyProtection="1">
      <alignment/>
      <protection locked="0"/>
    </xf>
    <xf numFmtId="10" fontId="9" fillId="0" borderId="68" xfId="0" applyNumberFormat="1" applyFont="1" applyBorder="1" applyAlignment="1" applyProtection="1">
      <alignment/>
      <protection locked="0"/>
    </xf>
    <xf numFmtId="10" fontId="9" fillId="0" borderId="69" xfId="0" applyNumberFormat="1" applyFont="1" applyBorder="1" applyAlignment="1" applyProtection="1">
      <alignment/>
      <protection locked="0"/>
    </xf>
    <xf numFmtId="10" fontId="9" fillId="0" borderId="70" xfId="0" applyNumberFormat="1" applyFont="1" applyBorder="1" applyAlignment="1" applyProtection="1">
      <alignment/>
      <protection locked="0"/>
    </xf>
    <xf numFmtId="164" fontId="9" fillId="0" borderId="71" xfId="0" applyNumberFormat="1" applyFont="1" applyBorder="1" applyAlignment="1" applyProtection="1">
      <alignment horizontal="left"/>
      <protection locked="0"/>
    </xf>
    <xf numFmtId="165" fontId="9" fillId="0" borderId="57" xfId="0" applyNumberFormat="1" applyFont="1" applyBorder="1" applyAlignment="1" applyProtection="1">
      <alignment/>
      <protection locked="0"/>
    </xf>
    <xf numFmtId="164" fontId="9" fillId="0" borderId="72" xfId="0" applyNumberFormat="1" applyFont="1" applyBorder="1" applyAlignment="1" applyProtection="1">
      <alignment horizontal="left"/>
      <protection locked="0"/>
    </xf>
    <xf numFmtId="165" fontId="9" fillId="0" borderId="59" xfId="0" applyNumberFormat="1" applyFont="1" applyBorder="1" applyAlignment="1" applyProtection="1">
      <alignment/>
      <protection locked="0"/>
    </xf>
    <xf numFmtId="5" fontId="9" fillId="0" borderId="60" xfId="0" applyNumberFormat="1" applyFont="1" applyBorder="1" applyAlignment="1" applyProtection="1">
      <alignment/>
      <protection locked="0"/>
    </xf>
    <xf numFmtId="164" fontId="9" fillId="0" borderId="72" xfId="0" applyNumberFormat="1" applyFont="1" applyBorder="1" applyAlignment="1" applyProtection="1">
      <alignment/>
      <protection locked="0"/>
    </xf>
    <xf numFmtId="164" fontId="9" fillId="0" borderId="61" xfId="0" applyNumberFormat="1" applyFont="1" applyBorder="1" applyAlignment="1" applyProtection="1">
      <alignment/>
      <protection locked="0"/>
    </xf>
    <xf numFmtId="165" fontId="9" fillId="0" borderId="62" xfId="0" applyNumberFormat="1" applyFont="1" applyBorder="1" applyAlignment="1" applyProtection="1">
      <alignment/>
      <protection locked="0"/>
    </xf>
    <xf numFmtId="10" fontId="9" fillId="0" borderId="73" xfId="0" applyNumberFormat="1" applyFont="1" applyBorder="1" applyAlignment="1" applyProtection="1">
      <alignment/>
      <protection locked="0"/>
    </xf>
    <xf numFmtId="10" fontId="9" fillId="0" borderId="74" xfId="0" applyNumberFormat="1" applyFont="1" applyBorder="1" applyAlignment="1" applyProtection="1">
      <alignment/>
      <protection locked="0"/>
    </xf>
    <xf numFmtId="5" fontId="9" fillId="0" borderId="67" xfId="0" applyNumberFormat="1" applyFont="1" applyBorder="1" applyAlignment="1" applyProtection="1">
      <alignment/>
      <protection locked="0"/>
    </xf>
    <xf numFmtId="5" fontId="9" fillId="0" borderId="69" xfId="0" applyNumberFormat="1" applyFont="1" applyBorder="1" applyAlignment="1" applyProtection="1">
      <alignment/>
      <protection locked="0"/>
    </xf>
    <xf numFmtId="5" fontId="9" fillId="0" borderId="59" xfId="0" applyNumberFormat="1" applyFont="1" applyBorder="1" applyAlignment="1" applyProtection="1">
      <alignment/>
      <protection locked="0"/>
    </xf>
    <xf numFmtId="164" fontId="9" fillId="0" borderId="59" xfId="0" applyNumberFormat="1" applyFont="1" applyBorder="1" applyAlignment="1" applyProtection="1">
      <alignment/>
      <protection locked="0"/>
    </xf>
    <xf numFmtId="7" fontId="9" fillId="0" borderId="75" xfId="0" applyNumberFormat="1" applyFont="1" applyBorder="1" applyAlignment="1" applyProtection="1">
      <alignment/>
      <protection locked="0"/>
    </xf>
    <xf numFmtId="7" fontId="9" fillId="0" borderId="70" xfId="0" applyNumberFormat="1" applyFont="1" applyBorder="1" applyAlignment="1" applyProtection="1">
      <alignment/>
      <protection locked="0"/>
    </xf>
    <xf numFmtId="7" fontId="9" fillId="0" borderId="69" xfId="0" applyNumberFormat="1" applyFont="1" applyBorder="1" applyAlignment="1" applyProtection="1">
      <alignment/>
      <protection locked="0"/>
    </xf>
    <xf numFmtId="5" fontId="9" fillId="0" borderId="75" xfId="0" applyNumberFormat="1" applyFont="1" applyBorder="1" applyAlignment="1" applyProtection="1">
      <alignment/>
      <protection locked="0"/>
    </xf>
    <xf numFmtId="5" fontId="9" fillId="0" borderId="70" xfId="0" applyNumberFormat="1" applyFont="1" applyBorder="1" applyAlignment="1" applyProtection="1">
      <alignment/>
      <protection locked="0"/>
    </xf>
    <xf numFmtId="5" fontId="9" fillId="0" borderId="76" xfId="0" applyNumberFormat="1" applyFont="1" applyBorder="1" applyAlignment="1" applyProtection="1">
      <alignment/>
      <protection locked="0"/>
    </xf>
    <xf numFmtId="7" fontId="9" fillId="0" borderId="71" xfId="0" applyNumberFormat="1" applyFont="1" applyBorder="1" applyAlignment="1" applyProtection="1">
      <alignment/>
      <protection locked="0"/>
    </xf>
    <xf numFmtId="166" fontId="9" fillId="0" borderId="58" xfId="0" applyNumberFormat="1" applyFont="1" applyBorder="1" applyAlignment="1" applyProtection="1">
      <alignment/>
      <protection locked="0"/>
    </xf>
    <xf numFmtId="7" fontId="9" fillId="0" borderId="72" xfId="0" applyNumberFormat="1" applyFont="1" applyBorder="1" applyAlignment="1" applyProtection="1">
      <alignment/>
      <protection locked="0"/>
    </xf>
    <xf numFmtId="166" fontId="9" fillId="0" borderId="60" xfId="0" applyNumberFormat="1" applyFont="1" applyBorder="1" applyAlignment="1" applyProtection="1">
      <alignment/>
      <protection locked="0"/>
    </xf>
    <xf numFmtId="7" fontId="9" fillId="0" borderId="77" xfId="0" applyNumberFormat="1" applyFont="1" applyBorder="1" applyAlignment="1" applyProtection="1">
      <alignment/>
      <protection locked="0"/>
    </xf>
    <xf numFmtId="166" fontId="9" fillId="0" borderId="78" xfId="0" applyNumberFormat="1" applyFont="1" applyBorder="1" applyAlignment="1" applyProtection="1">
      <alignment/>
      <protection locked="0"/>
    </xf>
    <xf numFmtId="164" fontId="9" fillId="0" borderId="57" xfId="0" applyNumberFormat="1" applyFont="1" applyBorder="1" applyAlignment="1" applyProtection="1">
      <alignment horizontal="center"/>
      <protection locked="0"/>
    </xf>
    <xf numFmtId="166" fontId="9" fillId="0" borderId="57" xfId="0" applyNumberFormat="1" applyFont="1" applyBorder="1" applyAlignment="1" applyProtection="1">
      <alignment/>
      <protection locked="0"/>
    </xf>
    <xf numFmtId="7" fontId="9" fillId="0" borderId="58" xfId="0" applyNumberFormat="1" applyFont="1" applyBorder="1" applyAlignment="1" applyProtection="1">
      <alignment/>
      <protection locked="0"/>
    </xf>
    <xf numFmtId="164" fontId="9" fillId="0" borderId="59" xfId="0" applyNumberFormat="1" applyFont="1" applyBorder="1" applyAlignment="1" applyProtection="1">
      <alignment horizontal="center"/>
      <protection locked="0"/>
    </xf>
    <xf numFmtId="166" fontId="9" fillId="0" borderId="59" xfId="0" applyNumberFormat="1" applyFont="1" applyBorder="1" applyAlignment="1" applyProtection="1">
      <alignment/>
      <protection locked="0"/>
    </xf>
    <xf numFmtId="7" fontId="9" fillId="0" borderId="60" xfId="0" applyNumberFormat="1" applyFont="1" applyBorder="1" applyAlignment="1" applyProtection="1">
      <alignment/>
      <protection locked="0"/>
    </xf>
    <xf numFmtId="164" fontId="9" fillId="0" borderId="62" xfId="0" applyNumberFormat="1" applyFont="1" applyBorder="1" applyAlignment="1" applyProtection="1">
      <alignment horizontal="center"/>
      <protection locked="0"/>
    </xf>
    <xf numFmtId="166" fontId="9" fillId="0" borderId="62" xfId="0" applyNumberFormat="1" applyFont="1" applyBorder="1" applyAlignment="1" applyProtection="1">
      <alignment/>
      <protection locked="0"/>
    </xf>
    <xf numFmtId="7" fontId="9" fillId="0" borderId="63" xfId="0" applyNumberFormat="1" applyFont="1" applyBorder="1" applyAlignment="1" applyProtection="1">
      <alignment/>
      <protection locked="0"/>
    </xf>
    <xf numFmtId="164" fontId="9" fillId="0" borderId="70" xfId="0" applyNumberFormat="1" applyFont="1" applyBorder="1" applyAlignment="1" applyProtection="1">
      <alignment/>
      <protection locked="0"/>
    </xf>
    <xf numFmtId="164" fontId="9" fillId="0" borderId="67" xfId="0" applyNumberFormat="1" applyFont="1" applyBorder="1" applyAlignment="1" applyProtection="1">
      <alignment horizontal="center"/>
      <protection locked="0"/>
    </xf>
    <xf numFmtId="9" fontId="9" fillId="0" borderId="70" xfId="0" applyNumberFormat="1" applyFont="1" applyBorder="1" applyAlignment="1" applyProtection="1">
      <alignment horizontal="center"/>
      <protection locked="0"/>
    </xf>
    <xf numFmtId="5" fontId="9" fillId="0" borderId="69" xfId="0" applyNumberFormat="1" applyFont="1" applyBorder="1" applyAlignment="1" applyProtection="1">
      <alignment horizontal="center"/>
      <protection locked="0"/>
    </xf>
    <xf numFmtId="164" fontId="9" fillId="0" borderId="71" xfId="0" applyNumberFormat="1" applyFont="1" applyBorder="1" applyAlignment="1" applyProtection="1">
      <alignment horizontal="center"/>
      <protection locked="0"/>
    </xf>
    <xf numFmtId="7" fontId="9" fillId="0" borderId="58" xfId="0" applyNumberFormat="1" applyFont="1" applyBorder="1" applyAlignment="1" applyProtection="1">
      <alignment horizontal="center"/>
      <protection locked="0"/>
    </xf>
    <xf numFmtId="164" fontId="9" fillId="0" borderId="72" xfId="0" applyNumberFormat="1" applyFont="1" applyBorder="1" applyAlignment="1" applyProtection="1">
      <alignment horizontal="center"/>
      <protection locked="0"/>
    </xf>
    <xf numFmtId="7" fontId="9" fillId="0" borderId="60" xfId="0" applyNumberFormat="1" applyFont="1" applyBorder="1" applyAlignment="1" applyProtection="1">
      <alignment horizontal="center"/>
      <protection locked="0"/>
    </xf>
    <xf numFmtId="7" fontId="9" fillId="0" borderId="79" xfId="0" applyNumberFormat="1" applyFont="1" applyBorder="1" applyAlignment="1" applyProtection="1">
      <alignment horizontal="center"/>
      <protection locked="0"/>
    </xf>
    <xf numFmtId="7" fontId="9" fillId="0" borderId="80" xfId="0" applyNumberFormat="1" applyFont="1" applyBorder="1" applyAlignment="1" applyProtection="1">
      <alignment horizontal="center"/>
      <protection locked="0"/>
    </xf>
    <xf numFmtId="164" fontId="9" fillId="0" borderId="81" xfId="0" applyNumberFormat="1" applyFont="1" applyBorder="1" applyAlignment="1" applyProtection="1">
      <alignment horizontal="center"/>
      <protection locked="0"/>
    </xf>
    <xf numFmtId="164" fontId="9" fillId="0" borderId="82" xfId="0" applyNumberFormat="1" applyFont="1" applyBorder="1" applyAlignment="1" applyProtection="1">
      <alignment horizontal="center"/>
      <protection locked="0"/>
    </xf>
    <xf numFmtId="167" fontId="9" fillId="0" borderId="83" xfId="0" applyNumberFormat="1" applyFont="1" applyBorder="1" applyAlignment="1" applyProtection="1">
      <alignment horizontal="center"/>
      <protection locked="0"/>
    </xf>
    <xf numFmtId="164" fontId="9" fillId="0" borderId="84" xfId="0" applyNumberFormat="1" applyFont="1" applyBorder="1" applyAlignment="1" applyProtection="1">
      <alignment horizontal="center"/>
      <protection locked="0"/>
    </xf>
    <xf numFmtId="164" fontId="9" fillId="0" borderId="85" xfId="0" applyNumberFormat="1" applyFont="1" applyBorder="1" applyAlignment="1" applyProtection="1">
      <alignment horizontal="center"/>
      <protection locked="0"/>
    </xf>
    <xf numFmtId="7" fontId="9" fillId="0" borderId="86" xfId="0" applyNumberFormat="1" applyFont="1" applyBorder="1" applyAlignment="1" applyProtection="1">
      <alignment horizontal="center"/>
      <protection locked="0"/>
    </xf>
    <xf numFmtId="164" fontId="9" fillId="0" borderId="61" xfId="0" applyNumberFormat="1" applyFont="1" applyBorder="1" applyAlignment="1" applyProtection="1">
      <alignment horizontal="center"/>
      <protection locked="0"/>
    </xf>
    <xf numFmtId="7" fontId="9" fillId="0" borderId="63" xfId="0" applyNumberFormat="1" applyFont="1" applyBorder="1" applyAlignment="1" applyProtection="1">
      <alignment horizontal="center"/>
      <protection locked="0"/>
    </xf>
    <xf numFmtId="164" fontId="9" fillId="0" borderId="87" xfId="0" applyNumberFormat="1" applyFont="1" applyBorder="1" applyAlignment="1" applyProtection="1">
      <alignment horizontal="center"/>
      <protection locked="0"/>
    </xf>
    <xf numFmtId="164" fontId="9" fillId="0" borderId="88" xfId="0" applyFont="1" applyBorder="1" applyAlignment="1" applyProtection="1">
      <alignment horizontal="center"/>
      <protection locked="0"/>
    </xf>
    <xf numFmtId="164" fontId="9" fillId="0" borderId="89" xfId="0" applyFont="1" applyBorder="1" applyAlignment="1" applyProtection="1">
      <alignment horizontal="center"/>
      <protection locked="0"/>
    </xf>
    <xf numFmtId="164" fontId="12" fillId="0" borderId="90" xfId="0" applyNumberFormat="1" applyFont="1" applyBorder="1" applyAlignment="1" applyProtection="1">
      <alignment/>
      <protection/>
    </xf>
    <xf numFmtId="164" fontId="10" fillId="0" borderId="81" xfId="0" applyNumberFormat="1" applyFont="1" applyBorder="1" applyAlignment="1" applyProtection="1">
      <alignment horizontal="center"/>
      <protection locked="0"/>
    </xf>
    <xf numFmtId="164" fontId="35" fillId="0" borderId="82" xfId="0" applyNumberFormat="1" applyFont="1" applyBorder="1" applyAlignment="1" applyProtection="1">
      <alignment horizontal="center"/>
      <protection locked="0"/>
    </xf>
    <xf numFmtId="167" fontId="35" fillId="0" borderId="83" xfId="0" applyNumberFormat="1" applyFont="1" applyBorder="1" applyAlignment="1" applyProtection="1">
      <alignment horizontal="center"/>
      <protection locked="0"/>
    </xf>
    <xf numFmtId="164" fontId="10" fillId="29" borderId="0" xfId="0" applyNumberFormat="1" applyFont="1" applyFill="1" applyAlignment="1" applyProtection="1">
      <alignment horizontal="center"/>
      <protection/>
    </xf>
    <xf numFmtId="5" fontId="10" fillId="0" borderId="0" xfId="0" applyNumberFormat="1" applyFont="1" applyAlignment="1" applyProtection="1">
      <alignment horizontal="center"/>
      <protection/>
    </xf>
    <xf numFmtId="7" fontId="10" fillId="0" borderId="0" xfId="0" applyNumberFormat="1" applyFont="1" applyAlignment="1" applyProtection="1">
      <alignment horizontal="center"/>
      <protection/>
    </xf>
    <xf numFmtId="164" fontId="19" fillId="0" borderId="0" xfId="0" applyFont="1" applyAlignment="1">
      <alignment/>
    </xf>
    <xf numFmtId="164" fontId="10" fillId="0" borderId="0" xfId="0" applyFont="1" applyAlignment="1" applyProtection="1">
      <alignment/>
      <protection/>
    </xf>
    <xf numFmtId="0" fontId="19" fillId="0" borderId="0" xfId="61" applyFont="1" applyProtection="1">
      <alignment/>
      <protection/>
    </xf>
    <xf numFmtId="164" fontId="35" fillId="0" borderId="0" xfId="0" applyNumberFormat="1" applyFont="1" applyBorder="1" applyAlignment="1" applyProtection="1">
      <alignment horizontal="center"/>
      <protection locked="0"/>
    </xf>
    <xf numFmtId="164" fontId="19" fillId="0" borderId="0" xfId="0" applyFont="1" applyAlignment="1" applyProtection="1">
      <alignment/>
      <protection/>
    </xf>
    <xf numFmtId="5" fontId="35" fillId="0" borderId="0" xfId="0" applyNumberFormat="1" applyFont="1" applyBorder="1" applyAlignment="1" applyProtection="1">
      <alignment horizontal="center"/>
      <protection locked="0"/>
    </xf>
    <xf numFmtId="5" fontId="34" fillId="0" borderId="0" xfId="0" applyNumberFormat="1" applyFont="1" applyBorder="1" applyAlignment="1" applyProtection="1">
      <alignment horizontal="center"/>
      <protection locked="0"/>
    </xf>
    <xf numFmtId="37" fontId="10" fillId="0" borderId="0" xfId="0" applyNumberFormat="1" applyFont="1" applyAlignment="1" applyProtection="1">
      <alignment horizontal="center"/>
      <protection/>
    </xf>
    <xf numFmtId="164" fontId="10" fillId="18" borderId="0" xfId="0" applyNumberFormat="1" applyFont="1" applyFill="1" applyAlignment="1" applyProtection="1">
      <alignment/>
      <protection/>
    </xf>
    <xf numFmtId="164" fontId="10" fillId="0" borderId="0" xfId="0" applyFont="1" applyAlignment="1" applyProtection="1">
      <alignment horizontal="center"/>
      <protection/>
    </xf>
    <xf numFmtId="164" fontId="10" fillId="0" borderId="0" xfId="0" applyFont="1" applyAlignment="1" applyProtection="1">
      <alignment horizontal="right"/>
      <protection/>
    </xf>
    <xf numFmtId="164" fontId="10" fillId="0" borderId="0" xfId="0" applyFont="1" applyFill="1" applyAlignment="1" applyProtection="1">
      <alignment/>
      <protection/>
    </xf>
    <xf numFmtId="164" fontId="10" fillId="0" borderId="16" xfId="0" applyNumberFormat="1" applyFont="1" applyBorder="1" applyAlignment="1" applyProtection="1">
      <alignment horizontal="left"/>
      <protection/>
    </xf>
    <xf numFmtId="164" fontId="15" fillId="7" borderId="0" xfId="0" applyNumberFormat="1" applyFont="1" applyFill="1" applyAlignment="1" applyProtection="1">
      <alignment horizontal="left"/>
      <protection/>
    </xf>
    <xf numFmtId="164" fontId="10" fillId="7" borderId="0" xfId="0" applyFont="1" applyFill="1" applyAlignment="1" applyProtection="1">
      <alignment/>
      <protection/>
    </xf>
    <xf numFmtId="164" fontId="35" fillId="7" borderId="0" xfId="0" applyNumberFormat="1" applyFont="1" applyFill="1" applyBorder="1" applyAlignment="1" applyProtection="1">
      <alignment/>
      <protection/>
    </xf>
    <xf numFmtId="164" fontId="10" fillId="7" borderId="0" xfId="0" applyNumberFormat="1" applyFont="1" applyFill="1" applyAlignment="1" applyProtection="1">
      <alignment horizontal="center"/>
      <protection/>
    </xf>
    <xf numFmtId="5" fontId="10" fillId="7" borderId="0" xfId="0" applyNumberFormat="1" applyFont="1" applyFill="1" applyAlignment="1" applyProtection="1">
      <alignment horizontal="center"/>
      <protection/>
    </xf>
    <xf numFmtId="7" fontId="10" fillId="7" borderId="0" xfId="0" applyNumberFormat="1" applyFont="1" applyFill="1" applyAlignment="1" applyProtection="1">
      <alignment horizontal="center"/>
      <protection/>
    </xf>
    <xf numFmtId="164" fontId="35" fillId="0" borderId="84" xfId="0" applyNumberFormat="1" applyFont="1" applyBorder="1" applyAlignment="1" applyProtection="1">
      <alignment horizontal="center"/>
      <protection locked="0"/>
    </xf>
    <xf numFmtId="164" fontId="35" fillId="0" borderId="85" xfId="0" applyNumberFormat="1" applyFont="1" applyBorder="1" applyAlignment="1" applyProtection="1">
      <alignment horizontal="center"/>
      <protection locked="0"/>
    </xf>
    <xf numFmtId="7" fontId="35" fillId="0" borderId="86" xfId="0" applyNumberFormat="1" applyFont="1" applyBorder="1" applyAlignment="1" applyProtection="1">
      <alignment horizontal="center"/>
      <protection locked="0"/>
    </xf>
    <xf numFmtId="164" fontId="35" fillId="0" borderId="61" xfId="0" applyNumberFormat="1" applyFont="1" applyBorder="1" applyAlignment="1" applyProtection="1">
      <alignment horizontal="center"/>
      <protection locked="0"/>
    </xf>
    <xf numFmtId="164" fontId="35" fillId="0" borderId="62" xfId="0" applyNumberFormat="1" applyFont="1" applyBorder="1" applyAlignment="1" applyProtection="1">
      <alignment horizontal="center"/>
      <protection locked="0"/>
    </xf>
    <xf numFmtId="7" fontId="35" fillId="0" borderId="63" xfId="0" applyNumberFormat="1" applyFont="1" applyBorder="1" applyAlignment="1" applyProtection="1">
      <alignment horizontal="center"/>
      <protection locked="0"/>
    </xf>
    <xf numFmtId="164" fontId="10" fillId="0" borderId="0" xfId="0" applyFont="1" applyAlignment="1" applyProtection="1">
      <alignment horizontal="left"/>
      <protection/>
    </xf>
    <xf numFmtId="164" fontId="10" fillId="0" borderId="0" xfId="0" applyNumberFormat="1" applyFont="1" applyFill="1" applyAlignment="1" applyProtection="1">
      <alignment horizontal="right"/>
      <protection/>
    </xf>
    <xf numFmtId="164" fontId="19" fillId="0" borderId="91" xfId="0" applyNumberFormat="1" applyFont="1" applyBorder="1" applyAlignment="1" applyProtection="1">
      <alignment horizontal="left"/>
      <protection/>
    </xf>
    <xf numFmtId="164" fontId="19" fillId="0" borderId="92" xfId="0" applyNumberFormat="1" applyFont="1" applyBorder="1" applyAlignment="1" applyProtection="1">
      <alignment/>
      <protection/>
    </xf>
    <xf numFmtId="164" fontId="19" fillId="0" borderId="93" xfId="0" applyNumberFormat="1" applyFont="1" applyBorder="1" applyAlignment="1" applyProtection="1">
      <alignment/>
      <protection/>
    </xf>
    <xf numFmtId="164" fontId="19" fillId="0" borderId="94" xfId="0" applyNumberFormat="1" applyFont="1" applyBorder="1" applyAlignment="1" applyProtection="1">
      <alignment horizontal="left"/>
      <protection/>
    </xf>
    <xf numFmtId="164" fontId="19" fillId="0" borderId="42" xfId="0" applyNumberFormat="1" applyFont="1" applyBorder="1" applyAlignment="1" applyProtection="1">
      <alignment/>
      <protection/>
    </xf>
    <xf numFmtId="164" fontId="19" fillId="0" borderId="95" xfId="0" applyNumberFormat="1" applyFont="1" applyBorder="1" applyAlignment="1" applyProtection="1">
      <alignment horizontal="left"/>
      <protection/>
    </xf>
    <xf numFmtId="164" fontId="19" fillId="0" borderId="35" xfId="0" applyNumberFormat="1" applyFont="1" applyBorder="1" applyAlignment="1" applyProtection="1">
      <alignment/>
      <protection/>
    </xf>
    <xf numFmtId="164" fontId="19" fillId="0" borderId="96" xfId="0" applyNumberFormat="1" applyFont="1" applyBorder="1" applyAlignment="1" applyProtection="1">
      <alignment/>
      <protection/>
    </xf>
    <xf numFmtId="6" fontId="10" fillId="0" borderId="0" xfId="0" applyNumberFormat="1" applyFont="1" applyAlignment="1" applyProtection="1">
      <alignment horizontal="center"/>
      <protection/>
    </xf>
    <xf numFmtId="5" fontId="10" fillId="0" borderId="35" xfId="0" applyNumberFormat="1" applyFont="1" applyBorder="1" applyAlignment="1" applyProtection="1">
      <alignment horizontal="center"/>
      <protection/>
    </xf>
    <xf numFmtId="164" fontId="36" fillId="0" borderId="0" xfId="52" applyNumberFormat="1" applyFont="1" applyAlignment="1" applyProtection="1">
      <alignment/>
      <protection/>
    </xf>
    <xf numFmtId="0" fontId="10" fillId="0" borderId="0" xfId="59" applyFont="1" applyBorder="1" applyAlignment="1" applyProtection="1">
      <alignment horizontal="right"/>
      <protection/>
    </xf>
    <xf numFmtId="0" fontId="10" fillId="0" borderId="0" xfId="60" applyFont="1" applyBorder="1" applyAlignment="1" applyProtection="1">
      <alignment horizontal="left"/>
      <protection/>
    </xf>
    <xf numFmtId="0" fontId="19" fillId="0" borderId="0" xfId="57" applyFont="1" applyProtection="1">
      <alignment/>
      <protection/>
    </xf>
    <xf numFmtId="0" fontId="19" fillId="0" borderId="0" xfId="56" applyFont="1" applyProtection="1">
      <alignment/>
      <protection/>
    </xf>
    <xf numFmtId="0" fontId="52" fillId="0" borderId="0" xfId="0" applyNumberFormat="1" applyFont="1" applyAlignment="1" applyProtection="1">
      <alignment horizontal="center"/>
      <protection/>
    </xf>
    <xf numFmtId="0" fontId="19" fillId="0" borderId="0" xfId="0" applyNumberFormat="1" applyFont="1" applyAlignment="1" applyProtection="1" quotePrefix="1">
      <alignment/>
      <protection/>
    </xf>
    <xf numFmtId="3" fontId="10" fillId="0" borderId="0" xfId="0" applyNumberFormat="1" applyFont="1" applyAlignment="1" applyProtection="1">
      <alignment horizontal="center"/>
      <protection/>
    </xf>
    <xf numFmtId="0" fontId="19" fillId="0" borderId="0" xfId="0" applyNumberFormat="1" applyFont="1" applyAlignment="1" applyProtection="1">
      <alignment/>
      <protection/>
    </xf>
    <xf numFmtId="0" fontId="52" fillId="0" borderId="0" xfId="0" applyNumberFormat="1" applyFont="1" applyAlignment="1" applyProtection="1">
      <alignment horizontal="left"/>
      <protection/>
    </xf>
    <xf numFmtId="3" fontId="10" fillId="0" borderId="0" xfId="0" applyNumberFormat="1" applyFont="1" applyFill="1" applyAlignment="1" applyProtection="1">
      <alignment horizontal="center"/>
      <protection/>
    </xf>
    <xf numFmtId="0" fontId="10" fillId="0" borderId="0" xfId="0" applyNumberFormat="1" applyFont="1" applyAlignment="1" applyProtection="1">
      <alignment horizontal="center"/>
      <protection/>
    </xf>
    <xf numFmtId="3" fontId="10" fillId="0" borderId="0" xfId="65" applyNumberFormat="1" applyFont="1" applyFill="1" applyAlignment="1" applyProtection="1">
      <alignment horizontal="center"/>
      <protection/>
    </xf>
    <xf numFmtId="10" fontId="10" fillId="0" borderId="0" xfId="65" applyNumberFormat="1" applyFont="1" applyAlignment="1" applyProtection="1">
      <alignment horizontal="center"/>
      <protection/>
    </xf>
    <xf numFmtId="0" fontId="19" fillId="0" borderId="0" xfId="0" applyNumberFormat="1" applyFont="1" applyAlignment="1" applyProtection="1">
      <alignment/>
      <protection/>
    </xf>
    <xf numFmtId="0" fontId="10" fillId="0" borderId="0" xfId="0" applyNumberFormat="1" applyFont="1" applyBorder="1" applyAlignment="1" applyProtection="1">
      <alignment/>
      <protection/>
    </xf>
    <xf numFmtId="0" fontId="19" fillId="0" borderId="97" xfId="0" applyNumberFormat="1" applyFont="1" applyBorder="1" applyAlignment="1" applyProtection="1">
      <alignment horizontal="center"/>
      <protection/>
    </xf>
    <xf numFmtId="0" fontId="19" fillId="0" borderId="97" xfId="0" applyNumberFormat="1" applyFont="1" applyFill="1" applyBorder="1" applyAlignment="1" applyProtection="1">
      <alignment horizontal="center"/>
      <protection/>
    </xf>
    <xf numFmtId="10" fontId="19" fillId="0" borderId="0" xfId="0" applyNumberFormat="1" applyFont="1" applyAlignment="1" applyProtection="1">
      <alignment/>
      <protection/>
    </xf>
    <xf numFmtId="0" fontId="19" fillId="0" borderId="0" xfId="0" applyNumberFormat="1" applyFont="1" applyBorder="1" applyAlignment="1" applyProtection="1">
      <alignment/>
      <protection/>
    </xf>
    <xf numFmtId="0" fontId="19" fillId="0" borderId="0" xfId="0" applyNumberFormat="1" applyFont="1" applyBorder="1" applyAlignment="1" applyProtection="1">
      <alignment horizontal="center"/>
      <protection/>
    </xf>
    <xf numFmtId="0" fontId="34" fillId="0" borderId="0" xfId="0" applyNumberFormat="1" applyFont="1" applyBorder="1" applyAlignment="1" applyProtection="1">
      <alignment horizontal="center"/>
      <protection locked="0"/>
    </xf>
    <xf numFmtId="167" fontId="19" fillId="0" borderId="0" xfId="0" applyNumberFormat="1" applyFont="1" applyBorder="1" applyAlignment="1" applyProtection="1">
      <alignment horizontal="center"/>
      <protection/>
    </xf>
    <xf numFmtId="0" fontId="10" fillId="0" borderId="0" xfId="0" applyNumberFormat="1" applyFont="1" applyBorder="1" applyAlignment="1" applyProtection="1">
      <alignment horizontal="center"/>
      <protection/>
    </xf>
    <xf numFmtId="3" fontId="10" fillId="0" borderId="0" xfId="0" applyNumberFormat="1" applyFont="1" applyBorder="1" applyAlignment="1" applyProtection="1">
      <alignment horizontal="center"/>
      <protection/>
    </xf>
    <xf numFmtId="0" fontId="19" fillId="0" borderId="0" xfId="0" applyNumberFormat="1" applyFont="1" applyFill="1" applyBorder="1" applyAlignment="1" applyProtection="1">
      <alignment horizontal="right"/>
      <protection/>
    </xf>
    <xf numFmtId="0" fontId="10" fillId="0" borderId="0" xfId="0" applyNumberFormat="1" applyFont="1" applyBorder="1" applyAlignment="1" applyProtection="1">
      <alignment horizontal="right"/>
      <protection/>
    </xf>
    <xf numFmtId="1" fontId="10" fillId="0" borderId="0" xfId="0" applyNumberFormat="1" applyFont="1" applyAlignment="1" applyProtection="1">
      <alignment horizontal="center"/>
      <protection/>
    </xf>
    <xf numFmtId="1" fontId="10" fillId="0" borderId="35" xfId="0" applyNumberFormat="1" applyFont="1" applyBorder="1" applyAlignment="1" applyProtection="1">
      <alignment horizontal="center"/>
      <protection/>
    </xf>
    <xf numFmtId="0" fontId="19" fillId="0" borderId="0" xfId="0" applyNumberFormat="1" applyFont="1" applyFill="1" applyBorder="1" applyAlignment="1" applyProtection="1">
      <alignment horizontal="left"/>
      <protection/>
    </xf>
    <xf numFmtId="167" fontId="19" fillId="0" borderId="98" xfId="0" applyNumberFormat="1" applyFont="1" applyBorder="1" applyAlignment="1" applyProtection="1">
      <alignment horizontal="center"/>
      <protection/>
    </xf>
    <xf numFmtId="165" fontId="10" fillId="0" borderId="0" xfId="0" applyNumberFormat="1" applyFont="1" applyFill="1" applyAlignment="1" applyProtection="1">
      <alignment horizontal="center"/>
      <protection/>
    </xf>
    <xf numFmtId="164" fontId="10" fillId="0" borderId="98" xfId="0" applyNumberFormat="1" applyFont="1" applyBorder="1" applyAlignment="1" applyProtection="1">
      <alignment horizontal="left"/>
      <protection/>
    </xf>
    <xf numFmtId="164" fontId="10" fillId="0" borderId="98" xfId="0" applyNumberFormat="1" applyFont="1" applyBorder="1" applyAlignment="1" applyProtection="1">
      <alignment horizontal="center"/>
      <protection/>
    </xf>
    <xf numFmtId="37" fontId="10" fillId="0" borderId="99" xfId="0" applyNumberFormat="1" applyFont="1" applyBorder="1" applyAlignment="1" applyProtection="1">
      <alignment horizontal="center"/>
      <protection/>
    </xf>
    <xf numFmtId="37" fontId="10" fillId="0" borderId="51" xfId="0" applyNumberFormat="1" applyFont="1" applyBorder="1" applyAlignment="1" applyProtection="1">
      <alignment horizontal="center"/>
      <protection/>
    </xf>
    <xf numFmtId="5" fontId="10" fillId="0" borderId="0" xfId="0" applyNumberFormat="1" applyFont="1" applyFill="1" applyAlignment="1" applyProtection="1">
      <alignment horizontal="center"/>
      <protection/>
    </xf>
    <xf numFmtId="37" fontId="10" fillId="0" borderId="51" xfId="0" applyNumberFormat="1" applyFont="1" applyFill="1" applyBorder="1" applyAlignment="1" applyProtection="1">
      <alignment horizontal="center"/>
      <protection/>
    </xf>
    <xf numFmtId="37" fontId="10" fillId="0" borderId="100" xfId="0" applyNumberFormat="1" applyFont="1" applyFill="1" applyBorder="1" applyAlignment="1" applyProtection="1">
      <alignment horizontal="center"/>
      <protection/>
    </xf>
    <xf numFmtId="7" fontId="10" fillId="0" borderId="0" xfId="0" applyNumberFormat="1" applyFont="1" applyFill="1" applyAlignment="1" applyProtection="1">
      <alignment horizontal="center"/>
      <protection/>
    </xf>
    <xf numFmtId="5" fontId="10" fillId="0" borderId="101" xfId="0" applyNumberFormat="1" applyFont="1" applyBorder="1" applyAlignment="1" applyProtection="1">
      <alignment horizontal="center"/>
      <protection/>
    </xf>
    <xf numFmtId="164" fontId="19" fillId="0" borderId="98" xfId="0" applyFont="1" applyBorder="1" applyAlignment="1">
      <alignment/>
    </xf>
    <xf numFmtId="164" fontId="10" fillId="0" borderId="0" xfId="0" applyFont="1" applyBorder="1" applyAlignment="1" applyProtection="1">
      <alignment horizontal="left"/>
      <protection/>
    </xf>
    <xf numFmtId="2" fontId="10" fillId="0" borderId="0" xfId="0" applyNumberFormat="1" applyFont="1" applyFill="1" applyAlignment="1" applyProtection="1">
      <alignment horizontal="center"/>
      <protection/>
    </xf>
    <xf numFmtId="164" fontId="19" fillId="0" borderId="0" xfId="0" applyFont="1" applyAlignment="1" applyProtection="1">
      <alignment horizontal="left"/>
      <protection/>
    </xf>
    <xf numFmtId="164" fontId="19" fillId="0" borderId="0" xfId="0" applyNumberFormat="1" applyFont="1" applyAlignment="1" applyProtection="1">
      <alignment/>
      <protection/>
    </xf>
    <xf numFmtId="164" fontId="19" fillId="22" borderId="43" xfId="0" applyNumberFormat="1" applyFont="1" applyFill="1" applyBorder="1" applyAlignment="1" applyProtection="1">
      <alignment/>
      <protection/>
    </xf>
    <xf numFmtId="164" fontId="19" fillId="22" borderId="44" xfId="0" applyNumberFormat="1" applyFont="1" applyFill="1" applyBorder="1" applyAlignment="1" applyProtection="1">
      <alignment/>
      <protection/>
    </xf>
    <xf numFmtId="164" fontId="15" fillId="22" borderId="44" xfId="0" applyNumberFormat="1" applyFont="1" applyFill="1" applyBorder="1" applyAlignment="1" applyProtection="1">
      <alignment horizontal="left"/>
      <protection/>
    </xf>
    <xf numFmtId="164" fontId="15" fillId="0" borderId="42" xfId="0" applyNumberFormat="1" applyFont="1" applyBorder="1" applyAlignment="1" applyProtection="1">
      <alignment horizontal="left"/>
      <protection/>
    </xf>
    <xf numFmtId="164" fontId="35" fillId="0" borderId="71" xfId="0" applyNumberFormat="1" applyFont="1" applyBorder="1" applyAlignment="1" applyProtection="1">
      <alignment horizontal="left"/>
      <protection locked="0"/>
    </xf>
    <xf numFmtId="164" fontId="35" fillId="0" borderId="57" xfId="0" applyNumberFormat="1" applyFont="1" applyBorder="1" applyAlignment="1" applyProtection="1">
      <alignment horizontal="center"/>
      <protection locked="0"/>
    </xf>
    <xf numFmtId="166" fontId="35" fillId="0" borderId="57" xfId="0" applyNumberFormat="1" applyFont="1" applyBorder="1" applyAlignment="1" applyProtection="1">
      <alignment/>
      <protection locked="0"/>
    </xf>
    <xf numFmtId="7" fontId="35" fillId="0" borderId="58" xfId="0" applyNumberFormat="1" applyFont="1" applyBorder="1" applyAlignment="1" applyProtection="1">
      <alignment/>
      <protection locked="0"/>
    </xf>
    <xf numFmtId="5" fontId="19" fillId="0" borderId="0" xfId="0" applyNumberFormat="1" applyFont="1" applyAlignment="1" applyProtection="1">
      <alignment/>
      <protection/>
    </xf>
    <xf numFmtId="7" fontId="19" fillId="0" borderId="0" xfId="0" applyNumberFormat="1" applyFont="1" applyAlignment="1" applyProtection="1">
      <alignment/>
      <protection/>
    </xf>
    <xf numFmtId="10" fontId="35" fillId="0" borderId="67" xfId="0" applyNumberFormat="1" applyFont="1" applyBorder="1" applyAlignment="1" applyProtection="1">
      <alignment/>
      <protection locked="0"/>
    </xf>
    <xf numFmtId="164" fontId="10" fillId="21" borderId="42" xfId="0" applyNumberFormat="1" applyFont="1" applyFill="1" applyBorder="1" applyAlignment="1" applyProtection="1">
      <alignment horizontal="center"/>
      <protection/>
    </xf>
    <xf numFmtId="164" fontId="35" fillId="0" borderId="72" xfId="0" applyNumberFormat="1" applyFont="1" applyBorder="1" applyAlignment="1" applyProtection="1">
      <alignment horizontal="left"/>
      <protection locked="0"/>
    </xf>
    <xf numFmtId="164" fontId="35" fillId="0" borderId="59" xfId="0" applyNumberFormat="1" applyFont="1" applyBorder="1" applyAlignment="1" applyProtection="1">
      <alignment horizontal="center"/>
      <protection locked="0"/>
    </xf>
    <xf numFmtId="166" fontId="35" fillId="0" borderId="59" xfId="0" applyNumberFormat="1" applyFont="1" applyBorder="1" applyAlignment="1" applyProtection="1">
      <alignment/>
      <protection locked="0"/>
    </xf>
    <xf numFmtId="7" fontId="35" fillId="0" borderId="60" xfId="0" applyNumberFormat="1" applyFont="1" applyBorder="1" applyAlignment="1" applyProtection="1">
      <alignment/>
      <protection locked="0"/>
    </xf>
    <xf numFmtId="10" fontId="35" fillId="0" borderId="70" xfId="0" applyNumberFormat="1" applyFont="1" applyBorder="1" applyAlignment="1" applyProtection="1">
      <alignment/>
      <protection locked="0"/>
    </xf>
    <xf numFmtId="164" fontId="35" fillId="0" borderId="59" xfId="0" applyNumberFormat="1" applyFont="1" applyBorder="1" applyAlignment="1" applyProtection="1">
      <alignment/>
      <protection locked="0"/>
    </xf>
    <xf numFmtId="164" fontId="35" fillId="0" borderId="61" xfId="0" applyNumberFormat="1" applyFont="1" applyBorder="1" applyAlignment="1" applyProtection="1">
      <alignment horizontal="left"/>
      <protection locked="0"/>
    </xf>
    <xf numFmtId="166" fontId="35" fillId="0" borderId="62" xfId="0" applyNumberFormat="1" applyFont="1" applyBorder="1" applyAlignment="1" applyProtection="1">
      <alignment/>
      <protection locked="0"/>
    </xf>
    <xf numFmtId="7" fontId="35" fillId="0" borderId="63" xfId="0" applyNumberFormat="1" applyFont="1" applyBorder="1" applyAlignment="1" applyProtection="1">
      <alignment/>
      <protection locked="0"/>
    </xf>
    <xf numFmtId="10" fontId="35" fillId="0" borderId="69" xfId="0" applyNumberFormat="1" applyFont="1" applyBorder="1" applyAlignment="1" applyProtection="1">
      <alignment/>
      <protection locked="0"/>
    </xf>
    <xf numFmtId="164" fontId="15" fillId="0" borderId="0" xfId="0" applyNumberFormat="1" applyFont="1" applyBorder="1" applyAlignment="1" applyProtection="1">
      <alignment horizontal="left"/>
      <protection/>
    </xf>
    <xf numFmtId="7" fontId="19" fillId="0" borderId="0" xfId="0" applyNumberFormat="1" applyFont="1" applyBorder="1" applyAlignment="1" applyProtection="1">
      <alignment/>
      <protection/>
    </xf>
    <xf numFmtId="5" fontId="35" fillId="0" borderId="67" xfId="0" applyNumberFormat="1" applyFont="1" applyBorder="1" applyAlignment="1" applyProtection="1">
      <alignment/>
      <protection locked="0"/>
    </xf>
    <xf numFmtId="5" fontId="35" fillId="0" borderId="70" xfId="0" applyNumberFormat="1" applyFont="1" applyBorder="1" applyAlignment="1" applyProtection="1">
      <alignment/>
      <protection locked="0"/>
    </xf>
    <xf numFmtId="5" fontId="35" fillId="0" borderId="76" xfId="0" applyNumberFormat="1" applyFont="1" applyBorder="1" applyAlignment="1" applyProtection="1">
      <alignment/>
      <protection locked="0"/>
    </xf>
    <xf numFmtId="7" fontId="35" fillId="0" borderId="71" xfId="0" applyNumberFormat="1" applyFont="1" applyBorder="1" applyAlignment="1" applyProtection="1">
      <alignment/>
      <protection locked="0"/>
    </xf>
    <xf numFmtId="166" fontId="35" fillId="0" borderId="58" xfId="0" applyNumberFormat="1" applyFont="1" applyBorder="1" applyAlignment="1" applyProtection="1">
      <alignment/>
      <protection locked="0"/>
    </xf>
    <xf numFmtId="7" fontId="10" fillId="0" borderId="13" xfId="0" applyNumberFormat="1" applyFont="1" applyFill="1" applyBorder="1" applyAlignment="1" applyProtection="1">
      <alignment/>
      <protection/>
    </xf>
    <xf numFmtId="7" fontId="35" fillId="0" borderId="72" xfId="0" applyNumberFormat="1" applyFont="1" applyBorder="1" applyAlignment="1" applyProtection="1">
      <alignment/>
      <protection locked="0"/>
    </xf>
    <xf numFmtId="166" fontId="35" fillId="0" borderId="60" xfId="0" applyNumberFormat="1" applyFont="1" applyBorder="1" applyAlignment="1" applyProtection="1">
      <alignment/>
      <protection locked="0"/>
    </xf>
    <xf numFmtId="7" fontId="35" fillId="0" borderId="77" xfId="0" applyNumberFormat="1" applyFont="1" applyBorder="1" applyAlignment="1" applyProtection="1">
      <alignment/>
      <protection locked="0"/>
    </xf>
    <xf numFmtId="166" fontId="35" fillId="0" borderId="78" xfId="0" applyNumberFormat="1" applyFont="1" applyBorder="1" applyAlignment="1" applyProtection="1">
      <alignment/>
      <protection locked="0"/>
    </xf>
    <xf numFmtId="7" fontId="10" fillId="0" borderId="55" xfId="0" applyNumberFormat="1" applyFont="1" applyFill="1" applyBorder="1" applyAlignment="1" applyProtection="1">
      <alignment/>
      <protection/>
    </xf>
    <xf numFmtId="5" fontId="35" fillId="0" borderId="75" xfId="0" applyNumberFormat="1" applyFont="1" applyBorder="1" applyAlignment="1" applyProtection="1">
      <alignment/>
      <protection locked="0"/>
    </xf>
    <xf numFmtId="7" fontId="35" fillId="0" borderId="75" xfId="0" applyNumberFormat="1" applyFont="1" applyBorder="1" applyAlignment="1" applyProtection="1">
      <alignment/>
      <protection locked="0"/>
    </xf>
    <xf numFmtId="7" fontId="35" fillId="0" borderId="70" xfId="0" applyNumberFormat="1" applyFont="1" applyBorder="1" applyAlignment="1" applyProtection="1">
      <alignment/>
      <protection locked="0"/>
    </xf>
    <xf numFmtId="164" fontId="15" fillId="0" borderId="42" xfId="0" applyNumberFormat="1" applyFont="1" applyBorder="1" applyAlignment="1" applyProtection="1">
      <alignment/>
      <protection/>
    </xf>
    <xf numFmtId="7" fontId="35" fillId="0" borderId="69" xfId="0" applyNumberFormat="1" applyFont="1" applyBorder="1" applyAlignment="1" applyProtection="1">
      <alignment/>
      <protection locked="0"/>
    </xf>
    <xf numFmtId="164" fontId="35" fillId="0" borderId="70" xfId="0" applyNumberFormat="1" applyFont="1" applyBorder="1" applyAlignment="1" applyProtection="1">
      <alignment/>
      <protection locked="0"/>
    </xf>
    <xf numFmtId="5" fontId="19" fillId="0" borderId="12" xfId="0" applyNumberFormat="1" applyFont="1" applyBorder="1" applyAlignment="1" applyProtection="1">
      <alignment/>
      <protection/>
    </xf>
    <xf numFmtId="7" fontId="19" fillId="0" borderId="12" xfId="0" applyNumberFormat="1" applyFont="1" applyBorder="1" applyAlignment="1" applyProtection="1">
      <alignment/>
      <protection/>
    </xf>
    <xf numFmtId="10" fontId="35" fillId="0" borderId="36" xfId="0" applyNumberFormat="1" applyFont="1" applyBorder="1" applyAlignment="1" applyProtection="1">
      <alignment/>
      <protection locked="0"/>
    </xf>
    <xf numFmtId="164" fontId="10" fillId="19" borderId="0" xfId="0" applyNumberFormat="1" applyFont="1" applyFill="1" applyAlignment="1" applyProtection="1">
      <alignment/>
      <protection/>
    </xf>
    <xf numFmtId="164" fontId="19" fillId="19" borderId="0" xfId="0" applyNumberFormat="1" applyFont="1" applyFill="1" applyAlignment="1" applyProtection="1">
      <alignment/>
      <protection/>
    </xf>
    <xf numFmtId="5" fontId="10" fillId="19" borderId="0" xfId="0" applyNumberFormat="1" applyFont="1" applyFill="1" applyAlignment="1" applyProtection="1">
      <alignment/>
      <protection/>
    </xf>
    <xf numFmtId="7" fontId="10" fillId="19" borderId="0" xfId="0" applyNumberFormat="1" applyFont="1" applyFill="1" applyAlignment="1" applyProtection="1">
      <alignment/>
      <protection/>
    </xf>
    <xf numFmtId="164" fontId="19" fillId="30" borderId="0" xfId="0" applyFont="1" applyFill="1" applyAlignment="1" applyProtection="1">
      <alignment/>
      <protection/>
    </xf>
    <xf numFmtId="5" fontId="10" fillId="0" borderId="0" xfId="0" applyNumberFormat="1" applyFont="1" applyAlignment="1" applyProtection="1">
      <alignment/>
      <protection/>
    </xf>
    <xf numFmtId="7" fontId="10" fillId="0" borderId="0" xfId="0" applyNumberFormat="1" applyFont="1" applyAlignment="1" applyProtection="1">
      <alignment/>
      <protection/>
    </xf>
    <xf numFmtId="164" fontId="19" fillId="0" borderId="32" xfId="0" applyNumberFormat="1" applyFont="1" applyBorder="1" applyAlignment="1" applyProtection="1">
      <alignment horizontal="center"/>
      <protection/>
    </xf>
    <xf numFmtId="164" fontId="19" fillId="0" borderId="33" xfId="0" applyNumberFormat="1" applyFont="1" applyBorder="1" applyAlignment="1" applyProtection="1">
      <alignment horizontal="center"/>
      <protection/>
    </xf>
    <xf numFmtId="7" fontId="10" fillId="7" borderId="17" xfId="0" applyNumberFormat="1" applyFont="1" applyFill="1" applyBorder="1" applyAlignment="1" applyProtection="1">
      <alignment/>
      <protection/>
    </xf>
    <xf numFmtId="164" fontId="19" fillId="23" borderId="0" xfId="0" applyNumberFormat="1" applyFont="1" applyFill="1" applyAlignment="1" applyProtection="1">
      <alignment/>
      <protection/>
    </xf>
    <xf numFmtId="164" fontId="10" fillId="23" borderId="0" xfId="0" applyNumberFormat="1" applyFont="1" applyFill="1" applyAlignment="1" applyProtection="1">
      <alignment/>
      <protection/>
    </xf>
    <xf numFmtId="164" fontId="15" fillId="23" borderId="0" xfId="0" applyNumberFormat="1" applyFont="1" applyFill="1" applyAlignment="1" applyProtection="1">
      <alignment horizontal="left"/>
      <protection/>
    </xf>
    <xf numFmtId="7" fontId="19" fillId="23" borderId="0" xfId="0" applyNumberFormat="1" applyFont="1" applyFill="1" applyAlignment="1" applyProtection="1">
      <alignment/>
      <protection/>
    </xf>
    <xf numFmtId="5" fontId="35" fillId="0" borderId="57" xfId="0" applyNumberFormat="1" applyFont="1" applyBorder="1" applyAlignment="1" applyProtection="1">
      <alignment/>
      <protection locked="0"/>
    </xf>
    <xf numFmtId="164" fontId="35" fillId="0" borderId="57" xfId="0" applyNumberFormat="1" applyFont="1" applyBorder="1" applyAlignment="1" applyProtection="1">
      <alignment/>
      <protection locked="0"/>
    </xf>
    <xf numFmtId="5" fontId="35" fillId="0" borderId="58" xfId="0" applyNumberFormat="1" applyFont="1" applyBorder="1" applyAlignment="1" applyProtection="1">
      <alignment/>
      <protection locked="0"/>
    </xf>
    <xf numFmtId="5" fontId="10" fillId="0" borderId="13" xfId="0" applyNumberFormat="1" applyFont="1" applyFill="1" applyBorder="1" applyAlignment="1" applyProtection="1">
      <alignment/>
      <protection/>
    </xf>
    <xf numFmtId="164" fontId="15" fillId="0" borderId="11" xfId="0" applyNumberFormat="1" applyFont="1" applyBorder="1" applyAlignment="1" applyProtection="1">
      <alignment horizontal="left"/>
      <protection/>
    </xf>
    <xf numFmtId="5" fontId="35" fillId="0" borderId="59" xfId="0" applyNumberFormat="1" applyFont="1" applyBorder="1" applyAlignment="1" applyProtection="1">
      <alignment/>
      <protection locked="0"/>
    </xf>
    <xf numFmtId="5" fontId="35" fillId="0" borderId="60" xfId="0" applyNumberFormat="1" applyFont="1" applyBorder="1" applyAlignment="1" applyProtection="1">
      <alignment/>
      <protection locked="0"/>
    </xf>
    <xf numFmtId="164" fontId="38" fillId="0" borderId="11" xfId="0" applyNumberFormat="1" applyFont="1" applyBorder="1" applyAlignment="1" applyProtection="1">
      <alignment/>
      <protection/>
    </xf>
    <xf numFmtId="5" fontId="35" fillId="0" borderId="62" xfId="0" applyNumberFormat="1" applyFont="1" applyBorder="1" applyAlignment="1" applyProtection="1">
      <alignment/>
      <protection locked="0"/>
    </xf>
    <xf numFmtId="164" fontId="35" fillId="0" borderId="62" xfId="0" applyNumberFormat="1" applyFont="1" applyBorder="1" applyAlignment="1" applyProtection="1">
      <alignment/>
      <protection locked="0"/>
    </xf>
    <xf numFmtId="5" fontId="35" fillId="0" borderId="63" xfId="0" applyNumberFormat="1" applyFont="1" applyBorder="1" applyAlignment="1" applyProtection="1">
      <alignment/>
      <protection locked="0"/>
    </xf>
    <xf numFmtId="5" fontId="10" fillId="0" borderId="0" xfId="0" applyNumberFormat="1" applyFont="1" applyFill="1" applyAlignment="1" applyProtection="1">
      <alignment/>
      <protection/>
    </xf>
    <xf numFmtId="5" fontId="10" fillId="0" borderId="16" xfId="0" applyNumberFormat="1" applyFont="1" applyFill="1" applyBorder="1" applyAlignment="1" applyProtection="1">
      <alignment/>
      <protection/>
    </xf>
    <xf numFmtId="5" fontId="35" fillId="0" borderId="69" xfId="0" applyNumberFormat="1" applyFont="1" applyBorder="1" applyAlignment="1" applyProtection="1">
      <alignment/>
      <protection locked="0"/>
    </xf>
    <xf numFmtId="7" fontId="19" fillId="0" borderId="0" xfId="0" applyNumberFormat="1" applyFont="1" applyAlignment="1" applyProtection="1">
      <alignment horizontal="left"/>
      <protection/>
    </xf>
    <xf numFmtId="165" fontId="35" fillId="0" borderId="57" xfId="0" applyNumberFormat="1" applyFont="1" applyBorder="1" applyAlignment="1" applyProtection="1">
      <alignment/>
      <protection locked="0"/>
    </xf>
    <xf numFmtId="10" fontId="35" fillId="0" borderId="73" xfId="0" applyNumberFormat="1" applyFont="1" applyBorder="1" applyAlignment="1" applyProtection="1">
      <alignment/>
      <protection locked="0"/>
    </xf>
    <xf numFmtId="165" fontId="35" fillId="0" borderId="59" xfId="0" applyNumberFormat="1" applyFont="1" applyBorder="1" applyAlignment="1" applyProtection="1">
      <alignment/>
      <protection locked="0"/>
    </xf>
    <xf numFmtId="10" fontId="35" fillId="0" borderId="74" xfId="0" applyNumberFormat="1" applyFont="1" applyBorder="1" applyAlignment="1" applyProtection="1">
      <alignment/>
      <protection locked="0"/>
    </xf>
    <xf numFmtId="164" fontId="35" fillId="0" borderId="72" xfId="0" applyNumberFormat="1" applyFont="1" applyBorder="1" applyAlignment="1" applyProtection="1">
      <alignment/>
      <protection locked="0"/>
    </xf>
    <xf numFmtId="164" fontId="35" fillId="0" borderId="61" xfId="0" applyNumberFormat="1" applyFont="1" applyBorder="1" applyAlignment="1" applyProtection="1">
      <alignment/>
      <protection locked="0"/>
    </xf>
    <xf numFmtId="165" fontId="35" fillId="0" borderId="62" xfId="0" applyNumberFormat="1" applyFont="1" applyBorder="1" applyAlignment="1" applyProtection="1">
      <alignment/>
      <protection locked="0"/>
    </xf>
    <xf numFmtId="164" fontId="15" fillId="0" borderId="0" xfId="0" applyNumberFormat="1" applyFont="1" applyBorder="1" applyAlignment="1" applyProtection="1">
      <alignment/>
      <protection/>
    </xf>
    <xf numFmtId="5" fontId="35" fillId="0" borderId="31" xfId="0" applyNumberFormat="1" applyFont="1" applyBorder="1" applyAlignment="1" applyProtection="1">
      <alignment/>
      <protection locked="0"/>
    </xf>
    <xf numFmtId="164" fontId="10" fillId="18" borderId="64" xfId="0" applyNumberFormat="1" applyFont="1" applyFill="1" applyBorder="1" applyAlignment="1" applyProtection="1">
      <alignment horizontal="left"/>
      <protection/>
    </xf>
    <xf numFmtId="5" fontId="10" fillId="0" borderId="57" xfId="0" applyNumberFormat="1" applyFont="1" applyBorder="1" applyAlignment="1" applyProtection="1">
      <alignment/>
      <protection locked="0"/>
    </xf>
    <xf numFmtId="5" fontId="10" fillId="0" borderId="58" xfId="0" applyNumberFormat="1" applyFont="1" applyBorder="1" applyAlignment="1" applyProtection="1">
      <alignment/>
      <protection locked="0"/>
    </xf>
    <xf numFmtId="5" fontId="10" fillId="0" borderId="13" xfId="0" applyNumberFormat="1" applyFont="1" applyFill="1" applyBorder="1" applyAlignment="1" applyProtection="1">
      <alignment/>
      <protection/>
    </xf>
    <xf numFmtId="164" fontId="10" fillId="18" borderId="65" xfId="0" applyNumberFormat="1" applyFont="1" applyFill="1" applyBorder="1" applyAlignment="1" applyProtection="1">
      <alignment horizontal="left"/>
      <protection/>
    </xf>
    <xf numFmtId="5" fontId="10" fillId="4" borderId="66" xfId="0" applyNumberFormat="1" applyFont="1" applyFill="1" applyBorder="1" applyAlignment="1" applyProtection="1">
      <alignment/>
      <protection/>
    </xf>
    <xf numFmtId="164" fontId="35" fillId="25" borderId="59" xfId="0" applyNumberFormat="1" applyFont="1" applyFill="1" applyBorder="1" applyAlignment="1" applyProtection="1">
      <alignment/>
      <protection/>
    </xf>
    <xf numFmtId="5" fontId="35" fillId="25" borderId="60" xfId="0" applyNumberFormat="1" applyFont="1" applyFill="1" applyBorder="1" applyAlignment="1" applyProtection="1">
      <alignment/>
      <protection/>
    </xf>
    <xf numFmtId="10" fontId="35" fillId="0" borderId="68" xfId="0" applyNumberFormat="1" applyFont="1" applyBorder="1" applyAlignment="1" applyProtection="1">
      <alignment/>
      <protection locked="0"/>
    </xf>
    <xf numFmtId="164" fontId="10" fillId="16" borderId="0" xfId="0" applyNumberFormat="1" applyFont="1" applyFill="1" applyAlignment="1" applyProtection="1">
      <alignment/>
      <protection/>
    </xf>
    <xf numFmtId="164" fontId="15" fillId="4" borderId="0" xfId="0" applyNumberFormat="1" applyFont="1" applyFill="1" applyAlignment="1" applyProtection="1">
      <alignment horizontal="left"/>
      <protection/>
    </xf>
    <xf numFmtId="164" fontId="15" fillId="4" borderId="0" xfId="0" applyNumberFormat="1" applyFont="1" applyFill="1" applyAlignment="1" applyProtection="1">
      <alignment/>
      <protection/>
    </xf>
    <xf numFmtId="164" fontId="38" fillId="4" borderId="0" xfId="0" applyFont="1" applyFill="1" applyAlignment="1" applyProtection="1">
      <alignment/>
      <protection/>
    </xf>
    <xf numFmtId="5" fontId="15" fillId="4" borderId="0" xfId="0" applyNumberFormat="1" applyFont="1" applyFill="1" applyAlignment="1" applyProtection="1">
      <alignment/>
      <protection/>
    </xf>
    <xf numFmtId="7" fontId="15" fillId="4" borderId="0" xfId="0" applyNumberFormat="1" applyFont="1" applyFill="1" applyAlignment="1" applyProtection="1">
      <alignment/>
      <protection/>
    </xf>
    <xf numFmtId="5" fontId="10" fillId="0" borderId="0" xfId="0" applyNumberFormat="1" applyFont="1" applyAlignment="1" applyProtection="1">
      <alignment horizontal="right"/>
      <protection/>
    </xf>
    <xf numFmtId="7" fontId="10" fillId="0" borderId="0" xfId="0" applyNumberFormat="1" applyFont="1" applyAlignment="1" applyProtection="1">
      <alignment horizontal="right"/>
      <protection/>
    </xf>
    <xf numFmtId="7" fontId="10" fillId="18" borderId="102" xfId="0" applyNumberFormat="1" applyFont="1" applyFill="1" applyBorder="1" applyAlignment="1" applyProtection="1">
      <alignment horizontal="center"/>
      <protection/>
    </xf>
    <xf numFmtId="7" fontId="10" fillId="18" borderId="103" xfId="0" applyNumberFormat="1" applyFont="1" applyFill="1" applyBorder="1" applyAlignment="1" applyProtection="1">
      <alignment horizontal="center"/>
      <protection/>
    </xf>
    <xf numFmtId="7" fontId="10" fillId="0" borderId="0" xfId="0" applyNumberFormat="1" applyFont="1" applyFill="1" applyBorder="1" applyAlignment="1" applyProtection="1">
      <alignment horizontal="center"/>
      <protection/>
    </xf>
    <xf numFmtId="164" fontId="10" fillId="0" borderId="0" xfId="0" applyNumberFormat="1" applyFont="1" applyBorder="1" applyAlignment="1" applyProtection="1">
      <alignment/>
      <protection/>
    </xf>
    <xf numFmtId="164" fontId="10" fillId="0" borderId="0" xfId="0" applyFont="1" applyAlignment="1" applyProtection="1">
      <alignment horizontal="center" wrapText="1"/>
      <protection/>
    </xf>
    <xf numFmtId="164" fontId="19" fillId="0" borderId="0" xfId="0" applyFont="1" applyBorder="1" applyAlignment="1" applyProtection="1">
      <alignment/>
      <protection/>
    </xf>
    <xf numFmtId="10" fontId="10" fillId="18" borderId="0" xfId="0" applyNumberFormat="1" applyFont="1" applyFill="1" applyBorder="1" applyAlignment="1" applyProtection="1">
      <alignment horizontal="center"/>
      <protection/>
    </xf>
    <xf numFmtId="10" fontId="19" fillId="0" borderId="0" xfId="0" applyNumberFormat="1" applyFont="1" applyAlignment="1" applyProtection="1">
      <alignment horizontal="center"/>
      <protection/>
    </xf>
    <xf numFmtId="7" fontId="10" fillId="0" borderId="17" xfId="0" applyNumberFormat="1" applyFont="1" applyBorder="1" applyAlignment="1" applyProtection="1">
      <alignment horizontal="center"/>
      <protection/>
    </xf>
    <xf numFmtId="2" fontId="10" fillId="0" borderId="17" xfId="0" applyNumberFormat="1" applyFont="1" applyBorder="1" applyAlignment="1" applyProtection="1">
      <alignment horizontal="center"/>
      <protection/>
    </xf>
    <xf numFmtId="164" fontId="10" fillId="2" borderId="0" xfId="0" applyFont="1" applyFill="1" applyAlignment="1" applyProtection="1">
      <alignment horizontal="left"/>
      <protection/>
    </xf>
    <xf numFmtId="164" fontId="10" fillId="0" borderId="0" xfId="0" applyFont="1" applyFill="1" applyAlignment="1" applyProtection="1">
      <alignment horizontal="left"/>
      <protection/>
    </xf>
    <xf numFmtId="164" fontId="19" fillId="0" borderId="0" xfId="0" applyFont="1" applyFill="1" applyAlignment="1">
      <alignment/>
    </xf>
    <xf numFmtId="168" fontId="10" fillId="0" borderId="0" xfId="0" applyNumberFormat="1" applyFont="1" applyAlignment="1" applyProtection="1">
      <alignment horizontal="center"/>
      <protection/>
    </xf>
    <xf numFmtId="164" fontId="35" fillId="0" borderId="104" xfId="0" applyFont="1" applyBorder="1" applyAlignment="1" applyProtection="1">
      <alignment horizontal="center"/>
      <protection locked="0"/>
    </xf>
    <xf numFmtId="168" fontId="35" fillId="0" borderId="104" xfId="0" applyNumberFormat="1" applyFont="1" applyBorder="1" applyAlignment="1" applyProtection="1">
      <alignment horizontal="center"/>
      <protection locked="0"/>
    </xf>
    <xf numFmtId="164" fontId="10" fillId="0" borderId="0" xfId="0" applyFont="1" applyAlignment="1">
      <alignment/>
    </xf>
    <xf numFmtId="164" fontId="15" fillId="0" borderId="0" xfId="0" applyFont="1" applyAlignment="1">
      <alignment/>
    </xf>
    <xf numFmtId="168" fontId="10" fillId="0" borderId="0" xfId="0" applyNumberFormat="1" applyFont="1" applyAlignment="1" applyProtection="1">
      <alignment horizontal="right"/>
      <protection/>
    </xf>
    <xf numFmtId="164" fontId="10" fillId="0" borderId="0" xfId="0" applyNumberFormat="1" applyFont="1" applyFill="1" applyAlignment="1" applyProtection="1">
      <alignment horizontal="left"/>
      <protection/>
    </xf>
    <xf numFmtId="164" fontId="19" fillId="0" borderId="0" xfId="0" applyFont="1" applyBorder="1" applyAlignment="1">
      <alignment/>
    </xf>
    <xf numFmtId="164" fontId="19" fillId="0" borderId="0" xfId="0" applyNumberFormat="1" applyFont="1" applyBorder="1" applyAlignment="1" applyProtection="1">
      <alignment horizontal="left"/>
      <protection/>
    </xf>
    <xf numFmtId="164" fontId="15" fillId="0" borderId="99" xfId="0" applyFont="1" applyBorder="1" applyAlignment="1" applyProtection="1">
      <alignment horizontal="center"/>
      <protection/>
    </xf>
    <xf numFmtId="164" fontId="10" fillId="0" borderId="51" xfId="0" applyFont="1" applyBorder="1" applyAlignment="1" applyProtection="1">
      <alignment horizontal="center"/>
      <protection/>
    </xf>
    <xf numFmtId="164" fontId="19" fillId="0" borderId="0" xfId="0" applyFont="1" applyBorder="1" applyAlignment="1">
      <alignment horizontal="center"/>
    </xf>
    <xf numFmtId="164" fontId="19" fillId="0" borderId="0" xfId="0" applyFont="1" applyBorder="1" applyAlignment="1" applyProtection="1">
      <alignment horizontal="center"/>
      <protection/>
    </xf>
    <xf numFmtId="164" fontId="10" fillId="0" borderId="101" xfId="0" applyFont="1" applyBorder="1" applyAlignment="1" applyProtection="1">
      <alignment horizontal="center"/>
      <protection/>
    </xf>
    <xf numFmtId="164" fontId="10" fillId="0" borderId="100" xfId="0" applyFont="1" applyBorder="1" applyAlignment="1" applyProtection="1">
      <alignment horizontal="center"/>
      <protection/>
    </xf>
    <xf numFmtId="5" fontId="10" fillId="0" borderId="0" xfId="0" applyNumberFormat="1" applyFont="1" applyBorder="1" applyAlignment="1" applyProtection="1">
      <alignment horizontal="center"/>
      <protection/>
    </xf>
    <xf numFmtId="164" fontId="10" fillId="0" borderId="0" xfId="0" applyFont="1" applyBorder="1" applyAlignment="1">
      <alignment/>
    </xf>
    <xf numFmtId="164" fontId="10" fillId="0" borderId="56" xfId="0" applyFont="1" applyBorder="1" applyAlignment="1" applyProtection="1">
      <alignment/>
      <protection/>
    </xf>
    <xf numFmtId="164" fontId="19" fillId="0" borderId="56" xfId="0" applyFont="1" applyBorder="1" applyAlignment="1" applyProtection="1">
      <alignment/>
      <protection/>
    </xf>
    <xf numFmtId="164" fontId="19" fillId="0" borderId="105" xfId="0" applyFont="1" applyBorder="1" applyAlignment="1" applyProtection="1">
      <alignment/>
      <protection/>
    </xf>
    <xf numFmtId="164" fontId="10" fillId="0" borderId="106" xfId="0" applyFont="1" applyBorder="1" applyAlignment="1">
      <alignment horizontal="center"/>
    </xf>
    <xf numFmtId="164" fontId="10" fillId="0" borderId="105" xfId="0" applyNumberFormat="1" applyFont="1" applyBorder="1" applyAlignment="1" applyProtection="1">
      <alignment horizontal="center"/>
      <protection/>
    </xf>
    <xf numFmtId="10" fontId="10" fillId="24" borderId="107" xfId="0" applyNumberFormat="1" applyFont="1" applyFill="1" applyBorder="1" applyAlignment="1" applyProtection="1">
      <alignment horizontal="center"/>
      <protection/>
    </xf>
    <xf numFmtId="10" fontId="10" fillId="24" borderId="108" xfId="0" applyNumberFormat="1" applyFont="1" applyFill="1" applyBorder="1" applyAlignment="1" applyProtection="1">
      <alignment horizontal="center"/>
      <protection/>
    </xf>
    <xf numFmtId="5" fontId="10" fillId="0" borderId="109" xfId="0" applyNumberFormat="1" applyFont="1" applyBorder="1" applyAlignment="1" applyProtection="1">
      <alignment horizontal="center"/>
      <protection/>
    </xf>
    <xf numFmtId="167" fontId="10" fillId="0" borderId="109" xfId="0" applyNumberFormat="1" applyFont="1" applyBorder="1" applyAlignment="1" applyProtection="1">
      <alignment horizontal="center"/>
      <protection/>
    </xf>
    <xf numFmtId="5" fontId="10" fillId="0" borderId="51" xfId="0" applyNumberFormat="1" applyFont="1" applyBorder="1" applyAlignment="1" applyProtection="1">
      <alignment horizontal="center"/>
      <protection/>
    </xf>
    <xf numFmtId="167" fontId="10" fillId="0" borderId="51" xfId="0" applyNumberFormat="1" applyFont="1" applyBorder="1" applyAlignment="1" applyProtection="1">
      <alignment horizontal="center"/>
      <protection/>
    </xf>
    <xf numFmtId="168" fontId="10" fillId="0" borderId="51" xfId="44" applyNumberFormat="1" applyFont="1" applyBorder="1" applyAlignment="1" applyProtection="1">
      <alignment horizontal="center"/>
      <protection/>
    </xf>
    <xf numFmtId="168" fontId="10" fillId="0" borderId="51" xfId="0" applyNumberFormat="1" applyFont="1" applyBorder="1" applyAlignment="1" applyProtection="1">
      <alignment horizontal="center"/>
      <protection/>
    </xf>
    <xf numFmtId="5" fontId="10" fillId="0" borderId="0" xfId="0" applyNumberFormat="1" applyFont="1" applyBorder="1" applyAlignment="1">
      <alignment horizontal="center"/>
    </xf>
    <xf numFmtId="164" fontId="10" fillId="0" borderId="0" xfId="0" applyFont="1" applyBorder="1" applyAlignment="1" applyProtection="1">
      <alignment/>
      <protection/>
    </xf>
    <xf numFmtId="5" fontId="10" fillId="0" borderId="110" xfId="0" applyNumberFormat="1" applyFont="1" applyBorder="1" applyAlignment="1" applyProtection="1">
      <alignment horizontal="center"/>
      <protection/>
    </xf>
    <xf numFmtId="167" fontId="10" fillId="0" borderId="110" xfId="0" applyNumberFormat="1" applyFont="1" applyBorder="1" applyAlignment="1" applyProtection="1">
      <alignment horizontal="center"/>
      <protection/>
    </xf>
    <xf numFmtId="168" fontId="10" fillId="0" borderId="110" xfId="0" applyNumberFormat="1" applyFont="1" applyBorder="1" applyAlignment="1" applyProtection="1">
      <alignment horizontal="center"/>
      <protection/>
    </xf>
    <xf numFmtId="5" fontId="10" fillId="0" borderId="111" xfId="0" applyNumberFormat="1" applyFont="1" applyBorder="1" applyAlignment="1" applyProtection="1">
      <alignment horizontal="center"/>
      <protection/>
    </xf>
    <xf numFmtId="167" fontId="10" fillId="0" borderId="112" xfId="0" applyNumberFormat="1" applyFont="1" applyBorder="1" applyAlignment="1" applyProtection="1">
      <alignment horizontal="center"/>
      <protection/>
    </xf>
    <xf numFmtId="168" fontId="10" fillId="0" borderId="113" xfId="0" applyNumberFormat="1" applyFont="1" applyBorder="1" applyAlignment="1" applyProtection="1">
      <alignment horizontal="center"/>
      <protection/>
    </xf>
    <xf numFmtId="5" fontId="10" fillId="0" borderId="114" xfId="0" applyNumberFormat="1" applyFont="1" applyBorder="1" applyAlignment="1" applyProtection="1">
      <alignment horizontal="center"/>
      <protection/>
    </xf>
    <xf numFmtId="7" fontId="10" fillId="0" borderId="115" xfId="0" applyNumberFormat="1" applyFont="1" applyBorder="1" applyAlignment="1" applyProtection="1">
      <alignment horizontal="center"/>
      <protection/>
    </xf>
    <xf numFmtId="5" fontId="10" fillId="0" borderId="116" xfId="0" applyNumberFormat="1" applyFont="1" applyBorder="1" applyAlignment="1" applyProtection="1">
      <alignment horizontal="center"/>
      <protection/>
    </xf>
    <xf numFmtId="7" fontId="10" fillId="0" borderId="117" xfId="0" applyNumberFormat="1" applyFont="1" applyBorder="1" applyAlignment="1" applyProtection="1">
      <alignment horizontal="center"/>
      <protection/>
    </xf>
    <xf numFmtId="168" fontId="10" fillId="0" borderId="110" xfId="44" applyNumberFormat="1" applyFont="1" applyBorder="1" applyAlignment="1" applyProtection="1">
      <alignment horizontal="center"/>
      <protection/>
    </xf>
    <xf numFmtId="5" fontId="10" fillId="0" borderId="118" xfId="0" applyNumberFormat="1" applyFont="1" applyBorder="1" applyAlignment="1" applyProtection="1">
      <alignment horizontal="center"/>
      <protection/>
    </xf>
    <xf numFmtId="167" fontId="10" fillId="0" borderId="119" xfId="0" applyNumberFormat="1" applyFont="1" applyFill="1" applyBorder="1" applyAlignment="1" applyProtection="1">
      <alignment horizontal="center"/>
      <protection/>
    </xf>
    <xf numFmtId="168" fontId="10" fillId="0" borderId="116" xfId="0" applyNumberFormat="1" applyFont="1" applyBorder="1" applyAlignment="1" applyProtection="1">
      <alignment horizontal="center"/>
      <protection/>
    </xf>
    <xf numFmtId="168" fontId="10" fillId="0" borderId="117" xfId="0" applyNumberFormat="1" applyFont="1" applyBorder="1" applyAlignment="1" applyProtection="1">
      <alignment horizontal="center"/>
      <protection/>
    </xf>
    <xf numFmtId="5" fontId="10" fillId="0" borderId="111" xfId="0" applyNumberFormat="1" applyFont="1" applyFill="1" applyBorder="1" applyAlignment="1" applyProtection="1">
      <alignment horizontal="center"/>
      <protection/>
    </xf>
    <xf numFmtId="167" fontId="10" fillId="0" borderId="120" xfId="0" applyNumberFormat="1" applyFont="1" applyFill="1" applyBorder="1" applyAlignment="1" applyProtection="1">
      <alignment horizontal="center"/>
      <protection/>
    </xf>
    <xf numFmtId="10" fontId="10" fillId="0" borderId="121" xfId="0" applyNumberFormat="1" applyFont="1" applyBorder="1" applyAlignment="1" applyProtection="1">
      <alignment horizontal="center"/>
      <protection/>
    </xf>
    <xf numFmtId="10" fontId="10" fillId="0" borderId="122" xfId="0" applyNumberFormat="1" applyFont="1" applyBorder="1" applyAlignment="1" applyProtection="1">
      <alignment horizontal="center"/>
      <protection/>
    </xf>
    <xf numFmtId="164" fontId="19" fillId="0" borderId="0" xfId="0" applyFont="1" applyFill="1" applyBorder="1" applyAlignment="1" applyProtection="1">
      <alignment/>
      <protection/>
    </xf>
    <xf numFmtId="5" fontId="10" fillId="0" borderId="114" xfId="0" applyNumberFormat="1" applyFont="1" applyFill="1" applyBorder="1" applyAlignment="1" applyProtection="1">
      <alignment horizontal="center"/>
      <protection/>
    </xf>
    <xf numFmtId="167" fontId="10" fillId="0" borderId="0" xfId="0" applyNumberFormat="1" applyFont="1" applyFill="1" applyBorder="1" applyAlignment="1" applyProtection="1">
      <alignment horizontal="center"/>
      <protection/>
    </xf>
    <xf numFmtId="10" fontId="10" fillId="0" borderId="0" xfId="0" applyNumberFormat="1" applyFont="1" applyBorder="1" applyAlignment="1" applyProtection="1">
      <alignment horizontal="center"/>
      <protection/>
    </xf>
    <xf numFmtId="5" fontId="10" fillId="0" borderId="0" xfId="0" applyNumberFormat="1" applyFont="1" applyFill="1" applyBorder="1" applyAlignment="1" applyProtection="1">
      <alignment horizontal="center"/>
      <protection/>
    </xf>
    <xf numFmtId="164" fontId="10" fillId="0" borderId="0" xfId="0" applyNumberFormat="1" applyFont="1" applyFill="1" applyBorder="1" applyAlignment="1" applyProtection="1">
      <alignment horizontal="left"/>
      <protection/>
    </xf>
    <xf numFmtId="5" fontId="10" fillId="0" borderId="51" xfId="0" applyNumberFormat="1" applyFont="1" applyFill="1" applyBorder="1" applyAlignment="1" applyProtection="1">
      <alignment horizontal="center"/>
      <protection/>
    </xf>
    <xf numFmtId="167" fontId="10" fillId="0" borderId="51" xfId="0" applyNumberFormat="1" applyFont="1" applyFill="1" applyBorder="1" applyAlignment="1" applyProtection="1">
      <alignment horizontal="center"/>
      <protection/>
    </xf>
    <xf numFmtId="5" fontId="10" fillId="0" borderId="110" xfId="0" applyNumberFormat="1" applyFont="1" applyFill="1" applyBorder="1" applyAlignment="1" applyProtection="1">
      <alignment horizontal="center"/>
      <protection/>
    </xf>
    <xf numFmtId="167" fontId="10" fillId="0" borderId="110" xfId="0" applyNumberFormat="1" applyFont="1" applyFill="1" applyBorder="1" applyAlignment="1" applyProtection="1">
      <alignment horizontal="center"/>
      <protection/>
    </xf>
    <xf numFmtId="5" fontId="10" fillId="0" borderId="123" xfId="0" applyNumberFormat="1" applyFont="1" applyBorder="1" applyAlignment="1" applyProtection="1">
      <alignment horizontal="center"/>
      <protection/>
    </xf>
    <xf numFmtId="7" fontId="10" fillId="0" borderId="123" xfId="0" applyNumberFormat="1" applyFont="1" applyBorder="1" applyAlignment="1" applyProtection="1">
      <alignment horizontal="center"/>
      <protection/>
    </xf>
    <xf numFmtId="168" fontId="10" fillId="0" borderId="123" xfId="0" applyNumberFormat="1" applyFont="1" applyBorder="1" applyAlignment="1">
      <alignment horizontal="center"/>
    </xf>
    <xf numFmtId="168" fontId="10" fillId="0" borderId="124" xfId="0" applyNumberFormat="1" applyFont="1" applyBorder="1" applyAlignment="1">
      <alignment horizontal="center"/>
    </xf>
    <xf numFmtId="7" fontId="10" fillId="0" borderId="51" xfId="0" applyNumberFormat="1" applyFont="1" applyBorder="1" applyAlignment="1" applyProtection="1">
      <alignment horizontal="center"/>
      <protection/>
    </xf>
    <xf numFmtId="168" fontId="10" fillId="0" borderId="51" xfId="0" applyNumberFormat="1" applyFont="1" applyBorder="1" applyAlignment="1">
      <alignment horizontal="center"/>
    </xf>
    <xf numFmtId="7" fontId="10" fillId="0" borderId="110" xfId="0" applyNumberFormat="1" applyFont="1" applyBorder="1" applyAlignment="1" applyProtection="1">
      <alignment horizontal="center"/>
      <protection/>
    </xf>
    <xf numFmtId="168" fontId="10" fillId="0" borderId="110" xfId="0" applyNumberFormat="1" applyFont="1" applyBorder="1" applyAlignment="1">
      <alignment horizontal="center"/>
    </xf>
    <xf numFmtId="168" fontId="10" fillId="0" borderId="0" xfId="0" applyNumberFormat="1" applyFont="1" applyAlignment="1">
      <alignment horizontal="center"/>
    </xf>
    <xf numFmtId="168" fontId="10" fillId="0" borderId="115" xfId="0" applyNumberFormat="1" applyFont="1" applyBorder="1" applyAlignment="1">
      <alignment horizontal="center"/>
    </xf>
    <xf numFmtId="168" fontId="10" fillId="0" borderId="115" xfId="0" applyNumberFormat="1" applyFont="1" applyBorder="1" applyAlignment="1" applyProtection="1">
      <alignment horizontal="center"/>
      <protection/>
    </xf>
    <xf numFmtId="5" fontId="10" fillId="0" borderId="125" xfId="0" applyNumberFormat="1" applyFont="1" applyBorder="1" applyAlignment="1" applyProtection="1">
      <alignment horizontal="center"/>
      <protection/>
    </xf>
    <xf numFmtId="7" fontId="10" fillId="0" borderId="101" xfId="0" applyNumberFormat="1" applyFont="1" applyBorder="1" applyAlignment="1" applyProtection="1">
      <alignment horizontal="center"/>
      <protection/>
    </xf>
    <xf numFmtId="168" fontId="10" fillId="0" borderId="125" xfId="0" applyNumberFormat="1" applyFont="1" applyBorder="1" applyAlignment="1" applyProtection="1">
      <alignment horizontal="center"/>
      <protection/>
    </xf>
    <xf numFmtId="168" fontId="10" fillId="0" borderId="101" xfId="0" applyNumberFormat="1" applyFont="1" applyBorder="1" applyAlignment="1" applyProtection="1">
      <alignment horizontal="center"/>
      <protection/>
    </xf>
    <xf numFmtId="7" fontId="10" fillId="0" borderId="0" xfId="0" applyNumberFormat="1" applyFont="1" applyBorder="1" applyAlignment="1" applyProtection="1">
      <alignment horizontal="center"/>
      <protection/>
    </xf>
    <xf numFmtId="168" fontId="10" fillId="0" borderId="0" xfId="0" applyNumberFormat="1" applyFont="1" applyBorder="1" applyAlignment="1" applyProtection="1">
      <alignment horizontal="center"/>
      <protection/>
    </xf>
    <xf numFmtId="168" fontId="19" fillId="0" borderId="0" xfId="0" applyNumberFormat="1" applyFont="1" applyAlignment="1">
      <alignment/>
    </xf>
    <xf numFmtId="168" fontId="19" fillId="0" borderId="0" xfId="0" applyNumberFormat="1" applyFont="1" applyAlignment="1" applyProtection="1">
      <alignment/>
      <protection/>
    </xf>
    <xf numFmtId="164" fontId="10" fillId="0" borderId="49" xfId="0" applyNumberFormat="1" applyFont="1" applyBorder="1" applyAlignment="1" applyProtection="1">
      <alignment horizontal="center"/>
      <protection/>
    </xf>
    <xf numFmtId="164" fontId="10" fillId="0" borderId="53" xfId="0" applyNumberFormat="1" applyFont="1" applyBorder="1" applyAlignment="1" applyProtection="1">
      <alignment horizontal="center"/>
      <protection/>
    </xf>
    <xf numFmtId="164" fontId="10" fillId="0" borderId="12" xfId="0" applyNumberFormat="1" applyFont="1" applyBorder="1" applyAlignment="1" applyProtection="1">
      <alignment horizontal="center"/>
      <protection/>
    </xf>
    <xf numFmtId="10" fontId="10" fillId="0" borderId="126" xfId="0" applyNumberFormat="1" applyFont="1" applyBorder="1" applyAlignment="1" applyProtection="1">
      <alignment horizontal="center"/>
      <protection/>
    </xf>
    <xf numFmtId="10" fontId="10" fillId="0" borderId="0" xfId="0" applyNumberFormat="1" applyFont="1" applyAlignment="1" applyProtection="1">
      <alignment horizontal="center"/>
      <protection/>
    </xf>
    <xf numFmtId="166" fontId="10" fillId="0" borderId="49" xfId="0" applyNumberFormat="1" applyFont="1" applyBorder="1" applyAlignment="1" applyProtection="1">
      <alignment horizontal="center"/>
      <protection/>
    </xf>
    <xf numFmtId="166" fontId="10" fillId="0" borderId="0" xfId="0" applyNumberFormat="1" applyFont="1" applyAlignment="1" applyProtection="1">
      <alignment horizontal="center"/>
      <protection/>
    </xf>
    <xf numFmtId="7" fontId="10" fillId="0" borderId="49" xfId="0" applyNumberFormat="1" applyFont="1" applyBorder="1" applyAlignment="1" applyProtection="1">
      <alignment horizontal="center"/>
      <protection/>
    </xf>
    <xf numFmtId="164" fontId="10" fillId="0" borderId="12" xfId="0" applyNumberFormat="1" applyFont="1" applyBorder="1" applyAlignment="1" applyProtection="1">
      <alignment horizontal="left"/>
      <protection/>
    </xf>
    <xf numFmtId="164" fontId="19" fillId="0" borderId="12" xfId="0" applyNumberFormat="1" applyFont="1" applyBorder="1" applyAlignment="1" applyProtection="1">
      <alignment/>
      <protection/>
    </xf>
    <xf numFmtId="166" fontId="10" fillId="18" borderId="47" xfId="0" applyNumberFormat="1" applyFont="1" applyFill="1" applyBorder="1" applyAlignment="1" applyProtection="1">
      <alignment/>
      <protection/>
    </xf>
    <xf numFmtId="164" fontId="19" fillId="0" borderId="0" xfId="0" applyFont="1" applyAlignment="1" applyProtection="1">
      <alignment horizontal="centerContinuous"/>
      <protection/>
    </xf>
    <xf numFmtId="164" fontId="10" fillId="0" borderId="0" xfId="0" applyNumberFormat="1" applyFont="1" applyAlignment="1" applyProtection="1">
      <alignment horizontal="centerContinuous"/>
      <protection/>
    </xf>
    <xf numFmtId="164" fontId="19" fillId="0" borderId="0" xfId="0" applyNumberFormat="1" applyFont="1" applyAlignment="1" applyProtection="1">
      <alignment horizontal="centerContinuous"/>
      <protection/>
    </xf>
    <xf numFmtId="164" fontId="19" fillId="0" borderId="98" xfId="0" applyFont="1" applyBorder="1" applyAlignment="1" applyProtection="1">
      <alignment horizontal="centerContinuous"/>
      <protection/>
    </xf>
    <xf numFmtId="164" fontId="10" fillId="0" borderId="98" xfId="0" applyNumberFormat="1" applyFont="1" applyBorder="1" applyAlignment="1" applyProtection="1">
      <alignment horizontal="centerContinuous"/>
      <protection/>
    </xf>
    <xf numFmtId="7" fontId="10" fillId="18" borderId="47" xfId="0" applyNumberFormat="1" applyFont="1" applyFill="1" applyBorder="1" applyAlignment="1" applyProtection="1">
      <alignment/>
      <protection/>
    </xf>
    <xf numFmtId="7" fontId="10" fillId="0" borderId="0" xfId="0" applyNumberFormat="1" applyFont="1" applyFill="1" applyAlignment="1" applyProtection="1">
      <alignment/>
      <protection/>
    </xf>
    <xf numFmtId="164" fontId="19" fillId="0" borderId="42" xfId="0" applyNumberFormat="1" applyFont="1" applyBorder="1" applyAlignment="1" applyProtection="1">
      <alignment horizontal="left"/>
      <protection/>
    </xf>
    <xf numFmtId="7" fontId="19" fillId="0" borderId="42" xfId="0" applyNumberFormat="1" applyFont="1" applyBorder="1" applyAlignment="1" applyProtection="1">
      <alignment horizontal="center"/>
      <protection/>
    </xf>
    <xf numFmtId="7" fontId="10" fillId="18" borderId="0" xfId="0" applyNumberFormat="1" applyFont="1" applyFill="1" applyAlignment="1" applyProtection="1">
      <alignment/>
      <protection/>
    </xf>
    <xf numFmtId="164" fontId="19" fillId="0" borderId="42" xfId="0" applyNumberFormat="1" applyFont="1" applyBorder="1" applyAlignment="1" applyProtection="1">
      <alignment horizontal="center"/>
      <protection/>
    </xf>
    <xf numFmtId="10" fontId="19" fillId="0" borderId="42" xfId="0" applyNumberFormat="1" applyFont="1" applyBorder="1" applyAlignment="1" applyProtection="1">
      <alignment horizontal="center"/>
      <protection/>
    </xf>
    <xf numFmtId="166" fontId="10" fillId="0" borderId="53" xfId="0" applyNumberFormat="1" applyFont="1" applyBorder="1" applyAlignment="1" applyProtection="1">
      <alignment horizontal="center"/>
      <protection/>
    </xf>
    <xf numFmtId="7" fontId="10" fillId="0" borderId="12" xfId="0" applyNumberFormat="1" applyFont="1" applyBorder="1" applyAlignment="1" applyProtection="1">
      <alignment/>
      <protection/>
    </xf>
    <xf numFmtId="164" fontId="19" fillId="0" borderId="98" xfId="0" applyNumberFormat="1" applyFont="1" applyBorder="1" applyAlignment="1" applyProtection="1">
      <alignment horizontal="centerContinuous"/>
      <protection/>
    </xf>
    <xf numFmtId="7" fontId="19" fillId="0" borderId="42" xfId="0" applyNumberFormat="1" applyFont="1" applyBorder="1" applyAlignment="1" applyProtection="1">
      <alignment horizontal="left"/>
      <protection/>
    </xf>
    <xf numFmtId="9" fontId="10" fillId="0" borderId="49" xfId="0" applyNumberFormat="1" applyFont="1" applyBorder="1" applyAlignment="1" applyProtection="1">
      <alignment horizontal="center"/>
      <protection/>
    </xf>
    <xf numFmtId="166" fontId="19" fillId="0" borderId="42" xfId="0" applyNumberFormat="1" applyFont="1" applyBorder="1" applyAlignment="1" applyProtection="1">
      <alignment horizontal="center"/>
      <protection/>
    </xf>
    <xf numFmtId="9" fontId="10" fillId="0" borderId="53" xfId="0" applyNumberFormat="1" applyFont="1" applyBorder="1" applyAlignment="1" applyProtection="1">
      <alignment horizontal="center"/>
      <protection/>
    </xf>
    <xf numFmtId="164" fontId="19" fillId="0" borderId="98" xfId="0" applyFont="1" applyBorder="1" applyAlignment="1" applyProtection="1">
      <alignment/>
      <protection/>
    </xf>
    <xf numFmtId="164" fontId="19" fillId="2" borderId="0" xfId="0" applyFont="1" applyFill="1" applyAlignment="1" applyProtection="1">
      <alignment/>
      <protection/>
    </xf>
    <xf numFmtId="164" fontId="10" fillId="21" borderId="0" xfId="0" applyFont="1" applyFill="1" applyAlignment="1" applyProtection="1">
      <alignment horizontal="center"/>
      <protection/>
    </xf>
    <xf numFmtId="10" fontId="35" fillId="0" borderId="104" xfId="0" applyNumberFormat="1" applyFont="1" applyBorder="1" applyAlignment="1" applyProtection="1">
      <alignment/>
      <protection locked="0"/>
    </xf>
    <xf numFmtId="164" fontId="10" fillId="0" borderId="98" xfId="0" applyNumberFormat="1" applyFont="1" applyBorder="1" applyAlignment="1" applyProtection="1">
      <alignment/>
      <protection/>
    </xf>
    <xf numFmtId="164" fontId="10" fillId="0" borderId="98" xfId="0" applyNumberFormat="1" applyFont="1" applyBorder="1" applyAlignment="1" applyProtection="1">
      <alignment horizontal="right"/>
      <protection/>
    </xf>
    <xf numFmtId="10" fontId="10" fillId="0" borderId="98" xfId="0" applyNumberFormat="1" applyFont="1" applyBorder="1" applyAlignment="1" applyProtection="1">
      <alignment/>
      <protection/>
    </xf>
    <xf numFmtId="168" fontId="10" fillId="0" borderId="0" xfId="0" applyNumberFormat="1" applyFont="1" applyAlignment="1" applyProtection="1">
      <alignment/>
      <protection/>
    </xf>
    <xf numFmtId="164" fontId="37" fillId="0" borderId="0" xfId="0" applyNumberFormat="1" applyFont="1" applyAlignment="1" applyProtection="1">
      <alignment/>
      <protection/>
    </xf>
    <xf numFmtId="168" fontId="10" fillId="0" borderId="127" xfId="0" applyNumberFormat="1" applyFont="1" applyBorder="1" applyAlignment="1" applyProtection="1">
      <alignment/>
      <protection/>
    </xf>
    <xf numFmtId="164" fontId="10" fillId="0" borderId="97" xfId="0" applyFont="1" applyBorder="1" applyAlignment="1" applyProtection="1">
      <alignment horizontal="center" wrapText="1"/>
      <protection/>
    </xf>
    <xf numFmtId="164" fontId="10" fillId="0" borderId="99" xfId="0" applyFont="1" applyBorder="1" applyAlignment="1" applyProtection="1">
      <alignment horizontal="center" wrapText="1"/>
      <protection/>
    </xf>
    <xf numFmtId="7" fontId="10" fillId="0" borderId="128" xfId="0" applyNumberFormat="1" applyFont="1" applyBorder="1" applyAlignment="1" applyProtection="1">
      <alignment horizontal="center"/>
      <protection/>
    </xf>
    <xf numFmtId="167" fontId="35" fillId="0" borderId="129" xfId="0" applyNumberFormat="1" applyFont="1" applyBorder="1" applyAlignment="1" applyProtection="1">
      <alignment horizontal="center"/>
      <protection locked="0"/>
    </xf>
    <xf numFmtId="169" fontId="10" fillId="0" borderId="130" xfId="0" applyNumberFormat="1" applyFont="1" applyBorder="1" applyAlignment="1" applyProtection="1">
      <alignment horizontal="center"/>
      <protection/>
    </xf>
    <xf numFmtId="168" fontId="10" fillId="0" borderId="130" xfId="0" applyNumberFormat="1" applyFont="1" applyBorder="1" applyAlignment="1" applyProtection="1">
      <alignment horizontal="center"/>
      <protection/>
    </xf>
    <xf numFmtId="168" fontId="10" fillId="0" borderId="131" xfId="0" applyNumberFormat="1" applyFont="1" applyBorder="1" applyAlignment="1" applyProtection="1">
      <alignment horizontal="center"/>
      <protection/>
    </xf>
    <xf numFmtId="7" fontId="10" fillId="0" borderId="114" xfId="0" applyNumberFormat="1" applyFont="1" applyBorder="1" applyAlignment="1" applyProtection="1">
      <alignment horizontal="center"/>
      <protection/>
    </xf>
    <xf numFmtId="167" fontId="35" fillId="0" borderId="132" xfId="0" applyNumberFormat="1" applyFont="1" applyBorder="1" applyAlignment="1" applyProtection="1">
      <alignment horizontal="center"/>
      <protection locked="0"/>
    </xf>
    <xf numFmtId="169" fontId="10" fillId="0" borderId="0" xfId="0" applyNumberFormat="1" applyFont="1" applyBorder="1" applyAlignment="1" applyProtection="1">
      <alignment horizontal="center"/>
      <protection/>
    </xf>
    <xf numFmtId="7" fontId="10" fillId="0" borderId="125" xfId="0" applyNumberFormat="1" applyFont="1" applyBorder="1" applyAlignment="1" applyProtection="1">
      <alignment horizontal="center"/>
      <protection/>
    </xf>
    <xf numFmtId="167" fontId="35" fillId="0" borderId="133" xfId="0" applyNumberFormat="1" applyFont="1" applyBorder="1" applyAlignment="1" applyProtection="1">
      <alignment horizontal="center"/>
      <protection locked="0"/>
    </xf>
    <xf numFmtId="169" fontId="10" fillId="0" borderId="98" xfId="0" applyNumberFormat="1" applyFont="1" applyBorder="1" applyAlignment="1" applyProtection="1">
      <alignment horizontal="center"/>
      <protection/>
    </xf>
    <xf numFmtId="168" fontId="10" fillId="0" borderId="98" xfId="0" applyNumberFormat="1" applyFont="1" applyBorder="1" applyAlignment="1" applyProtection="1">
      <alignment horizontal="center"/>
      <protection/>
    </xf>
    <xf numFmtId="167" fontId="35" fillId="0" borderId="0" xfId="0" applyNumberFormat="1" applyFont="1" applyBorder="1" applyAlignment="1" applyProtection="1">
      <alignment horizontal="center"/>
      <protection/>
    </xf>
    <xf numFmtId="2" fontId="10" fillId="0" borderId="0" xfId="0" applyNumberFormat="1" applyFont="1" applyBorder="1" applyAlignment="1" applyProtection="1">
      <alignment horizontal="right"/>
      <protection/>
    </xf>
    <xf numFmtId="168" fontId="10" fillId="0" borderId="100" xfId="0" applyNumberFormat="1" applyFont="1" applyBorder="1" applyAlignment="1" applyProtection="1">
      <alignment horizontal="center"/>
      <protection/>
    </xf>
    <xf numFmtId="168" fontId="10" fillId="29" borderId="100" xfId="0" applyNumberFormat="1" applyFont="1" applyFill="1" applyBorder="1" applyAlignment="1" applyProtection="1">
      <alignment horizontal="center"/>
      <protection/>
    </xf>
    <xf numFmtId="168" fontId="10" fillId="0" borderId="97" xfId="0" applyNumberFormat="1" applyFont="1" applyBorder="1" applyAlignment="1" applyProtection="1">
      <alignment horizontal="center"/>
      <protection/>
    </xf>
    <xf numFmtId="164" fontId="10" fillId="0" borderId="0" xfId="0" applyFont="1" applyAlignment="1">
      <alignment horizontal="right"/>
    </xf>
    <xf numFmtId="169" fontId="10" fillId="0" borderId="97" xfId="0" applyNumberFormat="1" applyFont="1" applyBorder="1" applyAlignment="1" applyProtection="1">
      <alignment horizontal="center"/>
      <protection/>
    </xf>
    <xf numFmtId="164" fontId="10" fillId="0" borderId="128" xfId="0" applyFont="1" applyBorder="1" applyAlignment="1" applyProtection="1">
      <alignment horizontal="center"/>
      <protection/>
    </xf>
    <xf numFmtId="164" fontId="35" fillId="0" borderId="134" xfId="0" applyFont="1" applyBorder="1" applyAlignment="1" applyProtection="1">
      <alignment horizontal="center"/>
      <protection locked="0"/>
    </xf>
    <xf numFmtId="164" fontId="10" fillId="0" borderId="114" xfId="0" applyFont="1" applyBorder="1" applyAlignment="1" applyProtection="1">
      <alignment horizontal="center"/>
      <protection/>
    </xf>
    <xf numFmtId="164" fontId="35" fillId="0" borderId="68" xfId="0" applyFont="1" applyBorder="1" applyAlignment="1" applyProtection="1">
      <alignment horizontal="center"/>
      <protection locked="0"/>
    </xf>
    <xf numFmtId="164" fontId="10" fillId="0" borderId="114" xfId="0" applyNumberFormat="1" applyFont="1" applyBorder="1" applyAlignment="1" applyProtection="1">
      <alignment horizontal="center"/>
      <protection locked="0"/>
    </xf>
    <xf numFmtId="164" fontId="10" fillId="0" borderId="125" xfId="0" applyNumberFormat="1" applyFont="1" applyBorder="1" applyAlignment="1" applyProtection="1">
      <alignment horizontal="center"/>
      <protection locked="0"/>
    </xf>
    <xf numFmtId="164" fontId="35" fillId="0" borderId="135" xfId="0" applyFont="1" applyBorder="1" applyAlignment="1" applyProtection="1">
      <alignment horizontal="center"/>
      <protection locked="0"/>
    </xf>
    <xf numFmtId="2" fontId="10" fillId="0" borderId="0" xfId="0" applyNumberFormat="1" applyFont="1" applyBorder="1" applyAlignment="1" applyProtection="1">
      <alignment horizontal="center"/>
      <protection/>
    </xf>
    <xf numFmtId="164" fontId="10" fillId="29" borderId="0" xfId="0" applyFont="1" applyFill="1" applyAlignment="1" applyProtection="1">
      <alignment/>
      <protection/>
    </xf>
    <xf numFmtId="164" fontId="10" fillId="0" borderId="97" xfId="0" applyFont="1" applyBorder="1" applyAlignment="1" applyProtection="1">
      <alignment horizontal="center"/>
      <protection/>
    </xf>
    <xf numFmtId="168" fontId="10" fillId="0" borderId="128" xfId="0" applyNumberFormat="1" applyFont="1" applyBorder="1" applyAlignment="1" applyProtection="1">
      <alignment horizontal="center"/>
      <protection/>
    </xf>
    <xf numFmtId="168" fontId="10" fillId="0" borderId="114" xfId="0" applyNumberFormat="1" applyFont="1" applyBorder="1" applyAlignment="1" applyProtection="1">
      <alignment horizontal="center"/>
      <protection/>
    </xf>
    <xf numFmtId="168" fontId="10" fillId="0" borderId="97" xfId="0" applyNumberFormat="1" applyFont="1" applyFill="1" applyBorder="1" applyAlignment="1" applyProtection="1">
      <alignment horizontal="center"/>
      <protection/>
    </xf>
    <xf numFmtId="164" fontId="10" fillId="0" borderId="0" xfId="0" applyNumberFormat="1" applyFont="1" applyFill="1" applyAlignment="1" applyProtection="1">
      <alignment horizontal="centerContinuous"/>
      <protection/>
    </xf>
    <xf numFmtId="164" fontId="19" fillId="0" borderId="0" xfId="0" applyNumberFormat="1" applyFont="1" applyBorder="1" applyAlignment="1" applyProtection="1">
      <alignment/>
      <protection/>
    </xf>
    <xf numFmtId="0" fontId="19" fillId="0" borderId="99" xfId="0" applyNumberFormat="1" applyFont="1" applyBorder="1" applyAlignment="1" applyProtection="1">
      <alignment horizontal="center"/>
      <protection/>
    </xf>
    <xf numFmtId="167" fontId="34" fillId="0" borderId="136" xfId="0" applyNumberFormat="1" applyFont="1" applyBorder="1" applyAlignment="1" applyProtection="1">
      <alignment horizontal="center"/>
      <protection locked="0"/>
    </xf>
    <xf numFmtId="167" fontId="34" fillId="0" borderId="137" xfId="0" applyNumberFormat="1" applyFont="1" applyBorder="1" applyAlignment="1" applyProtection="1">
      <alignment horizontal="center"/>
      <protection locked="0"/>
    </xf>
    <xf numFmtId="0" fontId="34" fillId="0" borderId="127" xfId="0" applyNumberFormat="1" applyFont="1" applyBorder="1" applyAlignment="1" applyProtection="1">
      <alignment horizontal="center"/>
      <protection locked="0"/>
    </xf>
    <xf numFmtId="167" fontId="34" fillId="0" borderId="138" xfId="0" applyNumberFormat="1" applyFont="1" applyBorder="1" applyAlignment="1" applyProtection="1">
      <alignment horizontal="center"/>
      <protection locked="0"/>
    </xf>
    <xf numFmtId="0" fontId="34" fillId="0" borderId="139" xfId="0" applyNumberFormat="1" applyFont="1" applyBorder="1" applyAlignment="1" applyProtection="1">
      <alignment horizontal="center"/>
      <protection locked="0"/>
    </xf>
    <xf numFmtId="0" fontId="34" fillId="0" borderId="140" xfId="0" applyNumberFormat="1" applyFont="1" applyBorder="1" applyAlignment="1" applyProtection="1">
      <alignment horizontal="center"/>
      <protection locked="0"/>
    </xf>
    <xf numFmtId="0" fontId="19" fillId="0" borderId="127" xfId="0" applyNumberFormat="1" applyFont="1" applyBorder="1" applyAlignment="1" applyProtection="1">
      <alignment/>
      <protection/>
    </xf>
    <xf numFmtId="0" fontId="19" fillId="0" borderId="127" xfId="0" applyNumberFormat="1" applyFont="1" applyBorder="1" applyAlignment="1" applyProtection="1">
      <alignment horizontal="center"/>
      <protection/>
    </xf>
    <xf numFmtId="0" fontId="34" fillId="0" borderId="140" xfId="0" applyNumberFormat="1" applyFont="1" applyBorder="1" applyAlignment="1" applyProtection="1">
      <alignment/>
      <protection locked="0"/>
    </xf>
    <xf numFmtId="0" fontId="34" fillId="0" borderId="141" xfId="0" applyNumberFormat="1" applyFont="1" applyBorder="1" applyAlignment="1" applyProtection="1">
      <alignment/>
      <protection locked="0"/>
    </xf>
    <xf numFmtId="0" fontId="34" fillId="0" borderId="142" xfId="0" applyNumberFormat="1" applyFont="1" applyBorder="1" applyAlignment="1" applyProtection="1">
      <alignment horizontal="center"/>
      <protection locked="0"/>
    </xf>
    <xf numFmtId="168" fontId="34" fillId="0" borderId="50" xfId="0" applyNumberFormat="1" applyFont="1" applyBorder="1" applyAlignment="1" applyProtection="1">
      <alignment horizontal="center"/>
      <protection locked="0"/>
    </xf>
    <xf numFmtId="5" fontId="34" fillId="0" borderId="41" xfId="0" applyNumberFormat="1" applyFont="1" applyBorder="1" applyAlignment="1" applyProtection="1">
      <alignment horizontal="center"/>
      <protection locked="0"/>
    </xf>
    <xf numFmtId="0" fontId="34" fillId="0" borderId="50" xfId="0" applyNumberFormat="1" applyFont="1" applyBorder="1" applyAlignment="1" applyProtection="1">
      <alignment horizontal="center"/>
      <protection locked="0"/>
    </xf>
    <xf numFmtId="3" fontId="34" fillId="0" borderId="40" xfId="0" applyNumberFormat="1" applyFont="1" applyBorder="1" applyAlignment="1" applyProtection="1">
      <alignment horizontal="center"/>
      <protection locked="0"/>
    </xf>
    <xf numFmtId="3" fontId="34" fillId="0" borderId="41" xfId="0" applyNumberFormat="1" applyFont="1" applyBorder="1" applyAlignment="1" applyProtection="1">
      <alignment horizontal="center"/>
      <protection locked="0"/>
    </xf>
    <xf numFmtId="10" fontId="34" fillId="0" borderId="104" xfId="65" applyNumberFormat="1" applyFont="1" applyBorder="1" applyAlignment="1" applyProtection="1">
      <alignment horizontal="center"/>
      <protection locked="0"/>
    </xf>
    <xf numFmtId="164" fontId="34" fillId="0" borderId="50" xfId="0" applyNumberFormat="1" applyFont="1" applyBorder="1" applyAlignment="1" applyProtection="1">
      <alignment horizontal="center"/>
      <protection locked="0"/>
    </xf>
    <xf numFmtId="173" fontId="34" fillId="0" borderId="41" xfId="65" applyNumberFormat="1" applyFont="1" applyBorder="1" applyAlignment="1" applyProtection="1">
      <alignment horizontal="center"/>
      <protection locked="0"/>
    </xf>
    <xf numFmtId="0" fontId="34" fillId="0" borderId="104" xfId="59" applyFont="1" applyBorder="1" applyAlignment="1" applyProtection="1">
      <alignment horizontal="center"/>
      <protection locked="0"/>
    </xf>
    <xf numFmtId="164" fontId="10" fillId="31" borderId="0" xfId="0" applyNumberFormat="1" applyFont="1" applyFill="1" applyAlignment="1" applyProtection="1">
      <alignment horizontal="left"/>
      <protection/>
    </xf>
    <xf numFmtId="164" fontId="19" fillId="31" borderId="0" xfId="0" applyFont="1" applyFill="1" applyAlignment="1">
      <alignment/>
    </xf>
    <xf numFmtId="164" fontId="10" fillId="31" borderId="0" xfId="0" applyFont="1" applyFill="1" applyAlignment="1" applyProtection="1">
      <alignment/>
      <protection/>
    </xf>
    <xf numFmtId="0" fontId="19" fillId="31" borderId="0" xfId="61" applyFont="1" applyFill="1" applyProtection="1">
      <alignment/>
      <protection/>
    </xf>
    <xf numFmtId="164" fontId="10" fillId="0" borderId="0" xfId="0" applyNumberFormat="1" applyFont="1" applyBorder="1" applyAlignment="1" applyProtection="1">
      <alignment horizontal="center"/>
      <protection/>
    </xf>
    <xf numFmtId="164" fontId="35" fillId="0" borderId="63" xfId="0" applyNumberFormat="1" applyFont="1" applyBorder="1" applyAlignment="1" applyProtection="1">
      <alignment horizontal="left"/>
      <protection locked="0"/>
    </xf>
    <xf numFmtId="164" fontId="10" fillId="22" borderId="98" xfId="0" applyNumberFormat="1" applyFont="1" applyFill="1" applyBorder="1" applyAlignment="1" applyProtection="1">
      <alignment horizontal="center" wrapText="1"/>
      <protection/>
    </xf>
    <xf numFmtId="164" fontId="10" fillId="21" borderId="11" xfId="0" applyNumberFormat="1" applyFont="1" applyFill="1" applyBorder="1" applyAlignment="1" applyProtection="1">
      <alignment horizontal="center" vertical="center" wrapText="1"/>
      <protection/>
    </xf>
    <xf numFmtId="164" fontId="10" fillId="0" borderId="32" xfId="0" applyNumberFormat="1" applyFont="1" applyBorder="1" applyAlignment="1" applyProtection="1">
      <alignment horizontal="center" wrapText="1"/>
      <protection/>
    </xf>
    <xf numFmtId="164" fontId="10" fillId="0" borderId="33" xfId="0" applyNumberFormat="1" applyFont="1" applyBorder="1" applyAlignment="1" applyProtection="1">
      <alignment horizontal="center" wrapText="1"/>
      <protection/>
    </xf>
    <xf numFmtId="164" fontId="10" fillId="0" borderId="17" xfId="0" applyNumberFormat="1" applyFont="1" applyBorder="1" applyAlignment="1" applyProtection="1">
      <alignment horizontal="center" wrapText="1"/>
      <protection/>
    </xf>
    <xf numFmtId="164" fontId="35" fillId="0" borderId="72" xfId="0" applyNumberFormat="1" applyFont="1" applyBorder="1" applyAlignment="1" applyProtection="1">
      <alignment horizontal="left"/>
      <protection locked="0"/>
    </xf>
    <xf numFmtId="164" fontId="35" fillId="0" borderId="60" xfId="0" applyNumberFormat="1" applyFont="1" applyBorder="1" applyAlignment="1" applyProtection="1">
      <alignment horizontal="left"/>
      <protection locked="0"/>
    </xf>
    <xf numFmtId="164" fontId="10" fillId="0" borderId="12" xfId="0" applyNumberFormat="1" applyFont="1" applyBorder="1" applyAlignment="1" applyProtection="1">
      <alignment horizontal="center"/>
      <protection/>
    </xf>
    <xf numFmtId="164" fontId="10" fillId="0" borderId="0" xfId="0" applyFont="1" applyAlignment="1" applyProtection="1">
      <alignment horizontal="center"/>
      <protection/>
    </xf>
    <xf numFmtId="164" fontId="10" fillId="0" borderId="0" xfId="0" applyFont="1" applyBorder="1" applyAlignment="1" applyProtection="1">
      <alignment horizontal="left"/>
      <protection/>
    </xf>
    <xf numFmtId="164" fontId="10" fillId="0" borderId="0" xfId="0" applyNumberFormat="1" applyFont="1" applyAlignment="1" applyProtection="1">
      <alignment horizontal="left"/>
      <protection/>
    </xf>
    <xf numFmtId="164" fontId="10" fillId="0" borderId="115" xfId="0" applyNumberFormat="1" applyFont="1" applyBorder="1" applyAlignment="1" applyProtection="1">
      <alignment horizontal="left"/>
      <protection/>
    </xf>
    <xf numFmtId="164" fontId="10" fillId="21" borderId="0" xfId="0" applyFont="1" applyFill="1" applyBorder="1" applyAlignment="1" applyProtection="1">
      <alignment horizontal="center"/>
      <protection/>
    </xf>
    <xf numFmtId="164" fontId="10" fillId="21" borderId="115" xfId="0" applyFont="1" applyFill="1" applyBorder="1" applyAlignment="1" applyProtection="1">
      <alignment horizontal="center"/>
      <protection/>
    </xf>
    <xf numFmtId="164" fontId="10" fillId="0" borderId="0" xfId="0" applyFont="1" applyAlignment="1" applyProtection="1">
      <alignment/>
      <protection/>
    </xf>
    <xf numFmtId="164" fontId="10" fillId="0" borderId="115" xfId="0" applyFont="1" applyBorder="1" applyAlignment="1" applyProtection="1">
      <alignment/>
      <protection/>
    </xf>
    <xf numFmtId="164" fontId="10" fillId="2" borderId="0" xfId="0" applyNumberFormat="1" applyFont="1" applyFill="1" applyAlignment="1" applyProtection="1">
      <alignment horizontal="center"/>
      <protection/>
    </xf>
    <xf numFmtId="164" fontId="10" fillId="2" borderId="128" xfId="0" applyNumberFormat="1" applyFont="1" applyFill="1" applyBorder="1" applyAlignment="1" applyProtection="1">
      <alignment horizontal="center"/>
      <protection/>
    </xf>
    <xf numFmtId="164" fontId="10" fillId="2" borderId="131" xfId="0" applyNumberFormat="1" applyFont="1" applyFill="1" applyBorder="1" applyAlignment="1" applyProtection="1">
      <alignment horizontal="center"/>
      <protection/>
    </xf>
    <xf numFmtId="164" fontId="10" fillId="0" borderId="98" xfId="0" applyNumberFormat="1" applyFont="1" applyBorder="1" applyAlignment="1" applyProtection="1">
      <alignment horizontal="center"/>
      <protection/>
    </xf>
    <xf numFmtId="164" fontId="10" fillId="21" borderId="0" xfId="0" applyNumberFormat="1" applyFont="1" applyFill="1" applyAlignment="1" applyProtection="1">
      <alignment horizontal="center"/>
      <protection/>
    </xf>
    <xf numFmtId="164" fontId="19" fillId="22" borderId="0" xfId="0" applyFont="1" applyFill="1" applyAlignment="1" applyProtection="1">
      <alignment/>
      <protection/>
    </xf>
    <xf numFmtId="164" fontId="15" fillId="0" borderId="0" xfId="0" applyNumberFormat="1" applyFont="1" applyAlignment="1" applyProtection="1">
      <alignment horizontal="left"/>
      <protection/>
    </xf>
    <xf numFmtId="164" fontId="15" fillId="0" borderId="137" xfId="0" applyNumberFormat="1" applyFont="1" applyBorder="1" applyAlignment="1" applyProtection="1">
      <alignment horizontal="left"/>
      <protection/>
    </xf>
    <xf numFmtId="164" fontId="35" fillId="0" borderId="71" xfId="0" applyNumberFormat="1" applyFont="1" applyBorder="1" applyAlignment="1" applyProtection="1">
      <alignment horizontal="left"/>
      <protection locked="0"/>
    </xf>
    <xf numFmtId="164" fontId="35" fillId="0" borderId="57" xfId="0" applyNumberFormat="1" applyFont="1" applyBorder="1" applyAlignment="1" applyProtection="1">
      <alignment horizontal="left"/>
      <protection locked="0"/>
    </xf>
    <xf numFmtId="164" fontId="35" fillId="0" borderId="58" xfId="0" applyNumberFormat="1" applyFont="1" applyBorder="1" applyAlignment="1" applyProtection="1">
      <alignment horizontal="left"/>
      <protection locked="0"/>
    </xf>
    <xf numFmtId="164" fontId="35" fillId="0" borderId="61" xfId="0" applyNumberFormat="1" applyFont="1" applyBorder="1" applyAlignment="1" applyProtection="1">
      <alignment horizontal="left"/>
      <protection locked="0"/>
    </xf>
    <xf numFmtId="164" fontId="35" fillId="0" borderId="62" xfId="0" applyNumberFormat="1" applyFont="1" applyBorder="1" applyAlignment="1" applyProtection="1">
      <alignment horizontal="left"/>
      <protection locked="0"/>
    </xf>
    <xf numFmtId="164" fontId="10" fillId="22" borderId="0" xfId="0" applyFont="1" applyFill="1" applyBorder="1" applyAlignment="1" applyProtection="1">
      <alignment horizontal="center" wrapText="1"/>
      <protection/>
    </xf>
    <xf numFmtId="164" fontId="10" fillId="22" borderId="115" xfId="0" applyFont="1" applyFill="1" applyBorder="1" applyAlignment="1" applyProtection="1">
      <alignment horizontal="center" wrapText="1"/>
      <protection/>
    </xf>
    <xf numFmtId="164" fontId="10" fillId="22" borderId="98" xfId="0" applyFont="1" applyFill="1" applyBorder="1" applyAlignment="1" applyProtection="1">
      <alignment horizontal="center" wrapText="1"/>
      <protection/>
    </xf>
    <xf numFmtId="164" fontId="10" fillId="22" borderId="101" xfId="0" applyFont="1" applyFill="1" applyBorder="1" applyAlignment="1" applyProtection="1">
      <alignment horizontal="center" wrapText="1"/>
      <protection/>
    </xf>
    <xf numFmtId="166" fontId="10" fillId="27" borderId="52" xfId="0" applyNumberFormat="1" applyFont="1" applyFill="1" applyBorder="1" applyAlignment="1" applyProtection="1">
      <alignment horizontal="center"/>
      <protection/>
    </xf>
    <xf numFmtId="166" fontId="10" fillId="27" borderId="12" xfId="0" applyNumberFormat="1" applyFont="1" applyFill="1" applyBorder="1" applyAlignment="1" applyProtection="1">
      <alignment horizontal="center"/>
      <protection/>
    </xf>
    <xf numFmtId="164" fontId="9" fillId="0" borderId="0" xfId="0" applyFont="1" applyAlignment="1" applyProtection="1">
      <alignment horizontal="center"/>
      <protection/>
    </xf>
    <xf numFmtId="166" fontId="1" fillId="0" borderId="45" xfId="0" applyNumberFormat="1" applyFont="1" applyBorder="1" applyAlignment="1" applyProtection="1">
      <alignment horizontal="left"/>
      <protection/>
    </xf>
    <xf numFmtId="166" fontId="1" fillId="0" borderId="137" xfId="0" applyNumberFormat="1" applyFont="1" applyBorder="1" applyAlignment="1" applyProtection="1">
      <alignment horizontal="left"/>
      <protection/>
    </xf>
    <xf numFmtId="164" fontId="1" fillId="0" borderId="0" xfId="0" applyNumberFormat="1" applyFont="1" applyAlignment="1" applyProtection="1">
      <alignment horizontal="left"/>
      <protection/>
    </xf>
    <xf numFmtId="164" fontId="1" fillId="0" borderId="0" xfId="0" applyNumberFormat="1" applyFont="1" applyBorder="1" applyAlignment="1" applyProtection="1">
      <alignment horizontal="left"/>
      <protection/>
    </xf>
    <xf numFmtId="164" fontId="12" fillId="0" borderId="0" xfId="0" applyNumberFormat="1" applyFont="1" applyAlignment="1" applyProtection="1">
      <alignment horizontal="left"/>
      <protection/>
    </xf>
    <xf numFmtId="164" fontId="12" fillId="0" borderId="137" xfId="0" applyNumberFormat="1" applyFont="1" applyBorder="1" applyAlignment="1" applyProtection="1">
      <alignment horizontal="left"/>
      <protection/>
    </xf>
    <xf numFmtId="164" fontId="9" fillId="0" borderId="71" xfId="0" applyNumberFormat="1" applyFont="1" applyBorder="1" applyAlignment="1" applyProtection="1">
      <alignment horizontal="left"/>
      <protection locked="0"/>
    </xf>
    <xf numFmtId="164" fontId="9" fillId="0" borderId="57" xfId="0" applyNumberFormat="1" applyFont="1" applyBorder="1" applyAlignment="1" applyProtection="1">
      <alignment horizontal="left"/>
      <protection locked="0"/>
    </xf>
    <xf numFmtId="164" fontId="9" fillId="0" borderId="58" xfId="0" applyNumberFormat="1" applyFont="1" applyBorder="1" applyAlignment="1" applyProtection="1">
      <alignment horizontal="left"/>
      <protection locked="0"/>
    </xf>
    <xf numFmtId="164" fontId="11" fillId="21" borderId="11" xfId="0" applyNumberFormat="1" applyFont="1" applyFill="1" applyBorder="1" applyAlignment="1" applyProtection="1">
      <alignment horizontal="center" vertical="center" wrapText="1"/>
      <protection/>
    </xf>
    <xf numFmtId="164" fontId="9" fillId="0" borderId="61" xfId="0" applyNumberFormat="1" applyFont="1" applyBorder="1" applyAlignment="1" applyProtection="1">
      <alignment horizontal="left"/>
      <protection locked="0"/>
    </xf>
    <xf numFmtId="164" fontId="9" fillId="0" borderId="62" xfId="0" applyNumberFormat="1" applyFont="1" applyBorder="1" applyAlignment="1" applyProtection="1">
      <alignment horizontal="left"/>
      <protection locked="0"/>
    </xf>
    <xf numFmtId="164" fontId="9" fillId="0" borderId="63" xfId="0" applyNumberFormat="1" applyFont="1" applyBorder="1" applyAlignment="1" applyProtection="1">
      <alignment horizontal="left"/>
      <protection locked="0"/>
    </xf>
    <xf numFmtId="164" fontId="9" fillId="0" borderId="72" xfId="0" applyNumberFormat="1" applyFont="1" applyBorder="1" applyAlignment="1" applyProtection="1">
      <alignment horizontal="left"/>
      <protection locked="0"/>
    </xf>
    <xf numFmtId="164" fontId="9" fillId="0" borderId="60" xfId="0" applyNumberFormat="1" applyFont="1" applyBorder="1" applyAlignment="1" applyProtection="1">
      <alignment horizontal="lef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rmal_Sheet" xfId="61"/>
    <cellStyle name="Note" xfId="62"/>
    <cellStyle name="Output" xfId="63"/>
    <cellStyle name="Percent" xfId="64"/>
    <cellStyle name="Percent 2" xfId="65"/>
    <cellStyle name="Percent 3" xfId="66"/>
    <cellStyle name="Percent 4" xfId="67"/>
    <cellStyle name="Percent 5" xfId="68"/>
    <cellStyle name="Percent 6"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225</xdr:row>
      <xdr:rowOff>381000</xdr:rowOff>
    </xdr:from>
    <xdr:to>
      <xdr:col>9</xdr:col>
      <xdr:colOff>866775</xdr:colOff>
      <xdr:row>228</xdr:row>
      <xdr:rowOff>85725</xdr:rowOff>
    </xdr:to>
    <xdr:sp>
      <xdr:nvSpPr>
        <xdr:cNvPr id="1" name="Text Box 20"/>
        <xdr:cNvSpPr txBox="1">
          <a:spLocks noChangeArrowheads="1"/>
        </xdr:cNvSpPr>
      </xdr:nvSpPr>
      <xdr:spPr>
        <a:xfrm>
          <a:off x="7715250" y="46405800"/>
          <a:ext cx="2495550" cy="1104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Helv"/>
              <a:ea typeface="Helv"/>
              <a:cs typeface="Helv"/>
            </a:rPr>
            <a:t>Weighted averages are based on the calves that are actually sold.  Replacement heifers are not included in this calculation.</a:t>
          </a:r>
        </a:p>
      </xdr:txBody>
    </xdr:sp>
    <xdr:clientData/>
  </xdr:twoCellAnchor>
  <xdr:twoCellAnchor>
    <xdr:from>
      <xdr:col>3</xdr:col>
      <xdr:colOff>0</xdr:colOff>
      <xdr:row>345</xdr:row>
      <xdr:rowOff>200025</xdr:rowOff>
    </xdr:from>
    <xdr:to>
      <xdr:col>4</xdr:col>
      <xdr:colOff>504825</xdr:colOff>
      <xdr:row>347</xdr:row>
      <xdr:rowOff>47625</xdr:rowOff>
    </xdr:to>
    <xdr:sp>
      <xdr:nvSpPr>
        <xdr:cNvPr id="2" name="Line 26"/>
        <xdr:cNvSpPr>
          <a:spLocks/>
        </xdr:cNvSpPr>
      </xdr:nvSpPr>
      <xdr:spPr>
        <a:xfrm>
          <a:off x="4086225" y="71685150"/>
          <a:ext cx="129540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3</xdr:col>
      <xdr:colOff>38100</xdr:colOff>
      <xdr:row>346</xdr:row>
      <xdr:rowOff>28575</xdr:rowOff>
    </xdr:from>
    <xdr:to>
      <xdr:col>3</xdr:col>
      <xdr:colOff>323850</xdr:colOff>
      <xdr:row>347</xdr:row>
      <xdr:rowOff>95250</xdr:rowOff>
    </xdr:to>
    <xdr:sp>
      <xdr:nvSpPr>
        <xdr:cNvPr id="3" name="Line 27"/>
        <xdr:cNvSpPr>
          <a:spLocks/>
        </xdr:cNvSpPr>
      </xdr:nvSpPr>
      <xdr:spPr>
        <a:xfrm>
          <a:off x="4124325" y="71732775"/>
          <a:ext cx="2857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0</xdr:col>
      <xdr:colOff>180975</xdr:colOff>
      <xdr:row>67</xdr:row>
      <xdr:rowOff>142875</xdr:rowOff>
    </xdr:from>
    <xdr:to>
      <xdr:col>7</xdr:col>
      <xdr:colOff>762000</xdr:colOff>
      <xdr:row>81</xdr:row>
      <xdr:rowOff>9525</xdr:rowOff>
    </xdr:to>
    <xdr:sp>
      <xdr:nvSpPr>
        <xdr:cNvPr id="4" name="Text Box 45"/>
        <xdr:cNvSpPr txBox="1">
          <a:spLocks noChangeArrowheads="1"/>
        </xdr:cNvSpPr>
      </xdr:nvSpPr>
      <xdr:spPr>
        <a:xfrm>
          <a:off x="180975" y="13982700"/>
          <a:ext cx="8096250" cy="2667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Helv"/>
              <a:ea typeface="Helv"/>
              <a:cs typeface="Helv"/>
            </a:rPr>
            <a:t>This template can be used to estimate the costs of production and break-even prices for 1) Commercial Cow Calf operations (owned or leased), 2) a feeders/backgrounding enterprise, or 3) a yearling/stocker enterprise.  Each of these enterprises can be evaluated independent of the others, or you can start with the cow-calf enterprise and follow through each phase or production cycle to get to the desired end point.  The "Feeders" page tab allows for both short and long term backgrounding and analysis of finished slaughter cattle, however not all at the same time.  You may have to run the Feeders page info for each scenario desired if going to a finished slaughter weight through retained ownership.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This template can be used for analysis of cost share or cash leasing but if that is not your objective, simply ignore the columns and other information related to leases.  
</a:t>
          </a:r>
          <a:r>
            <a:rPr lang="en-US" cap="none" sz="1000" b="0" i="0" u="none" baseline="0">
              <a:solidFill>
                <a:srgbClr val="000000"/>
              </a:solidFill>
              <a:latin typeface="Helv"/>
              <a:ea typeface="Helv"/>
              <a:cs typeface="Helv"/>
            </a:rPr>
            <a:t>
</a:t>
          </a:r>
          <a:r>
            <a:rPr lang="en-US" cap="none" sz="1000" b="0" i="0" u="none" baseline="0">
              <a:solidFill>
                <a:srgbClr val="FF0000"/>
              </a:solidFill>
              <a:latin typeface="Helv"/>
              <a:ea typeface="Helv"/>
              <a:cs typeface="Helv"/>
            </a:rPr>
            <a:t>Please read</a:t>
          </a:r>
          <a:r>
            <a:rPr lang="en-US" cap="none" sz="1000" b="0" i="0" u="none" baseline="0">
              <a:solidFill>
                <a:srgbClr val="000000"/>
              </a:solidFill>
              <a:latin typeface="Helv"/>
              <a:ea typeface="Helv"/>
              <a:cs typeface="Helv"/>
            </a:rPr>
            <a:t> the notes and helps included throughout this template to make sure you understand what number is to be entered or how to interpret a result.  These notes and helps are indicated by a small red triangle in the upper right corner of a cell.  Simple place your cursor on top of the cell to view the help message or note attached to that cell.</a:t>
          </a:r>
        </a:p>
      </xdr:txBody>
    </xdr:sp>
    <xdr:clientData/>
  </xdr:twoCellAnchor>
  <xdr:twoCellAnchor>
    <xdr:from>
      <xdr:col>0</xdr:col>
      <xdr:colOff>152400</xdr:colOff>
      <xdr:row>279</xdr:row>
      <xdr:rowOff>142875</xdr:rowOff>
    </xdr:from>
    <xdr:to>
      <xdr:col>3</xdr:col>
      <xdr:colOff>657225</xdr:colOff>
      <xdr:row>285</xdr:row>
      <xdr:rowOff>28575</xdr:rowOff>
    </xdr:to>
    <xdr:sp>
      <xdr:nvSpPr>
        <xdr:cNvPr id="5" name="Text Box 68"/>
        <xdr:cNvSpPr txBox="1">
          <a:spLocks noChangeArrowheads="1"/>
        </xdr:cNvSpPr>
      </xdr:nvSpPr>
      <xdr:spPr>
        <a:xfrm>
          <a:off x="152400" y="58264425"/>
          <a:ext cx="4591050" cy="1095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Helv"/>
              <a:ea typeface="Helv"/>
              <a:cs typeface="Helv"/>
            </a:rPr>
            <a:t>The tables at right show break-even amounts necessary from the primary crop of this enterprise (calves).  Break-evens are calculated both excluding and including revenue from other sources such as cull income from cows or bulls.  Break-evens excluding non-calf revenue make the calf bear the responsibility of supporting the entire enterprise. </a:t>
          </a:r>
        </a:p>
      </xdr:txBody>
    </xdr:sp>
    <xdr:clientData/>
  </xdr:twoCellAnchor>
  <xdr:twoCellAnchor>
    <xdr:from>
      <xdr:col>0</xdr:col>
      <xdr:colOff>171450</xdr:colOff>
      <xdr:row>298</xdr:row>
      <xdr:rowOff>66675</xdr:rowOff>
    </xdr:from>
    <xdr:to>
      <xdr:col>2</xdr:col>
      <xdr:colOff>428625</xdr:colOff>
      <xdr:row>300</xdr:row>
      <xdr:rowOff>57150</xdr:rowOff>
    </xdr:to>
    <xdr:sp>
      <xdr:nvSpPr>
        <xdr:cNvPr id="6" name="Text Box 81"/>
        <xdr:cNvSpPr txBox="1">
          <a:spLocks noChangeArrowheads="1"/>
        </xdr:cNvSpPr>
      </xdr:nvSpPr>
      <xdr:spPr>
        <a:xfrm>
          <a:off x="171450" y="62026800"/>
          <a:ext cx="333375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Helv"/>
              <a:ea typeface="Helv"/>
              <a:cs typeface="Helv"/>
            </a:rPr>
            <a:t>The next four tables are Net Income calculations, not breakeven calculations.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95250</xdr:rowOff>
    </xdr:from>
    <xdr:to>
      <xdr:col>4</xdr:col>
      <xdr:colOff>209550</xdr:colOff>
      <xdr:row>9</xdr:row>
      <xdr:rowOff>57150</xdr:rowOff>
    </xdr:to>
    <xdr:sp>
      <xdr:nvSpPr>
        <xdr:cNvPr id="1" name="Text Box 1"/>
        <xdr:cNvSpPr txBox="1">
          <a:spLocks noChangeArrowheads="1"/>
        </xdr:cNvSpPr>
      </xdr:nvSpPr>
      <xdr:spPr>
        <a:xfrm>
          <a:off x="19050" y="257175"/>
          <a:ext cx="5610225" cy="1257300"/>
        </a:xfrm>
        <a:prstGeom prst="rect">
          <a:avLst/>
        </a:prstGeom>
        <a:solidFill>
          <a:srgbClr val="FFFFFF"/>
        </a:solidFill>
        <a:ln w="1270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rPr>
            <a:t>This worksheet can be used to analyze retained ownership for feeding at home, or feeding away from home.  If feeding away from home, the expenses you incur may come in different forms ($ per pound of feed plus lot charges, or dollars per pound of gain).  This spreadsheet will handle all these situations.  Simply enter the information relavent to the situation you want to anlayze.  Make sure all other numbers not relating to a particular situatioin are set to zero so expenses are not overstated.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28575</xdr:rowOff>
    </xdr:from>
    <xdr:to>
      <xdr:col>7</xdr:col>
      <xdr:colOff>561975</xdr:colOff>
      <xdr:row>12</xdr:row>
      <xdr:rowOff>104775</xdr:rowOff>
    </xdr:to>
    <xdr:sp>
      <xdr:nvSpPr>
        <xdr:cNvPr id="1" name="Text Box 9"/>
        <xdr:cNvSpPr txBox="1">
          <a:spLocks noChangeArrowheads="1"/>
        </xdr:cNvSpPr>
      </xdr:nvSpPr>
      <xdr:spPr>
        <a:xfrm>
          <a:off x="2609850" y="352425"/>
          <a:ext cx="2486025" cy="1695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Helv"/>
              <a:ea typeface="Helv"/>
              <a:cs typeface="Helv"/>
            </a:rPr>
            <a:t>If these macros do not work properly the first time, go to File, then Page Setup and make sure that you check the Fit to 1 pages wide and 1 pages tall option.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To test the macro with minimal paper use select the print stockers only button.  It should print only one sheet of paper.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L444"/>
  <sheetViews>
    <sheetView showGridLines="0" tabSelected="1" zoomScale="82" zoomScaleNormal="82" zoomScalePageLayoutView="0" workbookViewId="0" topLeftCell="A1">
      <selection activeCell="A1" sqref="A1"/>
    </sheetView>
  </sheetViews>
  <sheetFormatPr defaultColWidth="9.140625" defaultRowHeight="12.75"/>
  <cols>
    <col min="1" max="1" width="13.7109375" style="282" customWidth="1"/>
    <col min="2" max="2" width="32.421875" style="282" customWidth="1"/>
    <col min="3" max="3" width="15.140625" style="282" customWidth="1"/>
    <col min="4" max="4" width="11.8515625" style="282" customWidth="1"/>
    <col min="5" max="5" width="11.7109375" style="282" customWidth="1"/>
    <col min="6" max="6" width="13.7109375" style="282" customWidth="1"/>
    <col min="7" max="7" width="14.140625" style="282" customWidth="1"/>
    <col min="8" max="8" width="12.7109375" style="282" customWidth="1"/>
    <col min="9" max="10" width="14.7109375" style="282" customWidth="1"/>
    <col min="11" max="11" width="13.00390625" style="282" customWidth="1"/>
    <col min="12" max="15" width="9.7109375" style="282" customWidth="1"/>
    <col min="16" max="16" width="12.57421875" style="282" customWidth="1"/>
    <col min="17" max="17" width="14.00390625" style="282" customWidth="1"/>
    <col min="18" max="18" width="14.57421875" style="282" customWidth="1"/>
    <col min="19" max="16384" width="9.140625" style="282" customWidth="1"/>
  </cols>
  <sheetData>
    <row r="1" ht="15.75">
      <c r="I1" s="62" t="s">
        <v>325</v>
      </c>
    </row>
    <row r="2" ht="15.75">
      <c r="I2" s="319" t="s">
        <v>549</v>
      </c>
    </row>
    <row r="3" spans="3:9" ht="15.75">
      <c r="C3" s="631"/>
      <c r="D3" s="631"/>
      <c r="E3" s="631"/>
      <c r="F3" s="631"/>
      <c r="I3" s="283" t="s">
        <v>346</v>
      </c>
    </row>
    <row r="4" spans="1:9" ht="15.75">
      <c r="A4" s="283"/>
      <c r="B4" s="654" t="s">
        <v>551</v>
      </c>
      <c r="C4" s="655"/>
      <c r="D4" s="656"/>
      <c r="E4" s="657"/>
      <c r="F4" s="655"/>
      <c r="G4" s="655"/>
      <c r="I4" s="283" t="s">
        <v>326</v>
      </c>
    </row>
    <row r="5" ht="15.75">
      <c r="B5" s="62" t="s">
        <v>550</v>
      </c>
    </row>
    <row r="6" ht="16.5" thickBot="1"/>
    <row r="7" spans="6:12" ht="17.25" thickBot="1" thickTop="1">
      <c r="F7" s="320" t="s">
        <v>506</v>
      </c>
      <c r="G7" s="653">
        <v>2008</v>
      </c>
      <c r="L7" s="319"/>
    </row>
    <row r="8" spans="2:12" ht="17.25" thickBot="1" thickTop="1">
      <c r="B8" s="321" t="s">
        <v>507</v>
      </c>
      <c r="G8" s="285"/>
      <c r="L8" s="286"/>
    </row>
    <row r="9" spans="2:12" ht="16.5" thickTop="1">
      <c r="B9" s="322" t="s">
        <v>505</v>
      </c>
      <c r="G9" s="651">
        <v>300</v>
      </c>
      <c r="L9" s="286"/>
    </row>
    <row r="10" spans="2:12" ht="16.5" thickBot="1">
      <c r="B10" s="323" t="s">
        <v>487</v>
      </c>
      <c r="G10" s="652">
        <v>0.92</v>
      </c>
      <c r="L10" s="286"/>
    </row>
    <row r="11" spans="2:12" ht="16.5" thickTop="1">
      <c r="B11" s="323" t="s">
        <v>488</v>
      </c>
      <c r="D11" s="324">
        <f>G7-1</f>
        <v>2007</v>
      </c>
      <c r="E11" s="325" t="s">
        <v>508</v>
      </c>
      <c r="F11" s="284"/>
      <c r="G11" s="326">
        <f>G9*G10</f>
        <v>276</v>
      </c>
      <c r="H11" s="283"/>
      <c r="K11" s="283"/>
      <c r="L11" s="286"/>
    </row>
    <row r="12" spans="2:12" ht="16.5" thickBot="1">
      <c r="B12" s="323" t="s">
        <v>489</v>
      </c>
      <c r="C12" s="287"/>
      <c r="D12" s="327"/>
      <c r="E12" s="327"/>
      <c r="F12" s="284"/>
      <c r="G12" s="326">
        <f>G9-G11</f>
        <v>24</v>
      </c>
      <c r="H12" s="283"/>
      <c r="K12" s="283"/>
      <c r="L12" s="286"/>
    </row>
    <row r="13" spans="2:12" ht="17.25" thickBot="1" thickTop="1">
      <c r="B13" s="323" t="s">
        <v>490</v>
      </c>
      <c r="C13" s="287"/>
      <c r="D13" s="327"/>
      <c r="E13" s="327"/>
      <c r="F13" s="284"/>
      <c r="G13" s="650">
        <v>0.94</v>
      </c>
      <c r="H13" s="283"/>
      <c r="K13" s="283"/>
      <c r="L13" s="286"/>
    </row>
    <row r="14" spans="2:12" ht="16.5" thickTop="1">
      <c r="B14" s="323" t="s">
        <v>491</v>
      </c>
      <c r="C14" s="287"/>
      <c r="D14" s="327"/>
      <c r="E14" s="328">
        <f>G7</f>
        <v>2008</v>
      </c>
      <c r="F14" s="284"/>
      <c r="G14" s="326">
        <f>G11*G13</f>
        <v>259.44</v>
      </c>
      <c r="H14" s="283"/>
      <c r="K14" s="283"/>
      <c r="L14" s="286"/>
    </row>
    <row r="15" spans="2:12" ht="15.75">
      <c r="B15" s="323" t="s">
        <v>492</v>
      </c>
      <c r="C15" s="287"/>
      <c r="D15" s="327"/>
      <c r="E15" s="328">
        <f>G7</f>
        <v>2008</v>
      </c>
      <c r="F15" s="284"/>
      <c r="G15" s="326">
        <f>G11-G14</f>
        <v>16.560000000000002</v>
      </c>
      <c r="H15" s="283"/>
      <c r="K15" s="283"/>
      <c r="L15" s="286"/>
    </row>
    <row r="16" spans="2:12" ht="16.5" thickBot="1">
      <c r="B16" s="323" t="s">
        <v>527</v>
      </c>
      <c r="C16" s="287"/>
      <c r="D16" s="62"/>
      <c r="E16" s="283"/>
      <c r="G16" s="329">
        <f>G12+G15</f>
        <v>40.56</v>
      </c>
      <c r="H16" s="283"/>
      <c r="K16" s="283"/>
      <c r="L16" s="286"/>
    </row>
    <row r="17" spans="2:12" ht="17.25" thickBot="1" thickTop="1">
      <c r="B17" s="323" t="s">
        <v>493</v>
      </c>
      <c r="C17" s="287"/>
      <c r="D17" s="62"/>
      <c r="E17" s="283"/>
      <c r="G17" s="650">
        <v>0.01</v>
      </c>
      <c r="H17" s="283"/>
      <c r="K17" s="283"/>
      <c r="L17" s="286"/>
    </row>
    <row r="18" spans="2:12" ht="17.25" thickBot="1" thickTop="1">
      <c r="B18" s="323" t="s">
        <v>494</v>
      </c>
      <c r="C18" s="328">
        <f>G7</f>
        <v>2008</v>
      </c>
      <c r="D18" s="62"/>
      <c r="E18" s="283"/>
      <c r="G18" s="326">
        <f>G14*(1-G17)</f>
        <v>256.8456</v>
      </c>
      <c r="H18" s="283"/>
      <c r="K18" s="283"/>
      <c r="L18" s="286"/>
    </row>
    <row r="19" spans="2:12" ht="17.25" thickBot="1" thickTop="1">
      <c r="B19" s="323" t="s">
        <v>495</v>
      </c>
      <c r="C19" s="327"/>
      <c r="D19" s="62"/>
      <c r="E19" s="283"/>
      <c r="G19" s="650">
        <v>0.98</v>
      </c>
      <c r="H19" s="283"/>
      <c r="I19" s="283"/>
      <c r="J19" s="286"/>
      <c r="K19" s="286"/>
      <c r="L19" s="286"/>
    </row>
    <row r="20" spans="2:12" ht="16.5" thickTop="1">
      <c r="B20" s="323" t="s">
        <v>496</v>
      </c>
      <c r="C20" s="328">
        <f>G7</f>
        <v>2008</v>
      </c>
      <c r="D20" s="62"/>
      <c r="E20" s="283"/>
      <c r="G20" s="330">
        <f>ROUNDUP(G18*G19,0)</f>
        <v>252</v>
      </c>
      <c r="H20" s="283"/>
      <c r="I20" s="283"/>
      <c r="J20" s="286"/>
      <c r="K20" s="286"/>
      <c r="L20" s="286"/>
    </row>
    <row r="21" spans="2:12" ht="15.75">
      <c r="B21" s="323" t="s">
        <v>497</v>
      </c>
      <c r="C21" s="287"/>
      <c r="D21" s="62" t="s">
        <v>5</v>
      </c>
      <c r="E21" s="59"/>
      <c r="G21" s="331">
        <f>G16+(G9*0.01)</f>
        <v>43.56</v>
      </c>
      <c r="H21" s="283"/>
      <c r="I21" s="283"/>
      <c r="J21" s="286"/>
      <c r="K21" s="286"/>
      <c r="L21" s="286"/>
    </row>
    <row r="22" spans="2:12" ht="16.5" thickBot="1">
      <c r="B22" s="323" t="s">
        <v>498</v>
      </c>
      <c r="C22" s="287"/>
      <c r="D22" s="62"/>
      <c r="E22" s="283"/>
      <c r="F22" s="62" t="s">
        <v>4</v>
      </c>
      <c r="G22" s="332">
        <f>G21/G9</f>
        <v>0.1452</v>
      </c>
      <c r="H22" s="283"/>
      <c r="I22" s="283"/>
      <c r="J22" s="286"/>
      <c r="K22" s="286"/>
      <c r="L22" s="286"/>
    </row>
    <row r="23" spans="2:12" ht="16.5" thickTop="1">
      <c r="B23" s="323" t="s">
        <v>499</v>
      </c>
      <c r="C23" s="287"/>
      <c r="G23" s="647" t="s">
        <v>509</v>
      </c>
      <c r="H23" s="283"/>
      <c r="I23" s="283"/>
      <c r="J23" s="286"/>
      <c r="K23" s="286"/>
      <c r="L23" s="286"/>
    </row>
    <row r="24" spans="2:12" ht="15.75">
      <c r="B24" s="323" t="s">
        <v>500</v>
      </c>
      <c r="C24" s="287"/>
      <c r="D24" s="62" t="s">
        <v>7</v>
      </c>
      <c r="E24" s="283"/>
      <c r="G24" s="648">
        <v>50</v>
      </c>
      <c r="H24" s="283"/>
      <c r="I24" s="283"/>
      <c r="J24" s="286"/>
      <c r="K24" s="286"/>
      <c r="L24" s="286"/>
    </row>
    <row r="25" spans="2:12" ht="15.75">
      <c r="B25" s="323" t="s">
        <v>501</v>
      </c>
      <c r="C25" s="287"/>
      <c r="D25" s="62"/>
      <c r="E25" s="283"/>
      <c r="G25" s="648">
        <v>0</v>
      </c>
      <c r="H25" s="283"/>
      <c r="I25" s="283"/>
      <c r="J25" s="286"/>
      <c r="K25" s="286"/>
      <c r="L25" s="286"/>
    </row>
    <row r="26" spans="2:12" ht="16.5" thickBot="1">
      <c r="B26" s="323" t="s">
        <v>502</v>
      </c>
      <c r="C26" s="287"/>
      <c r="D26" s="62"/>
      <c r="E26" s="283"/>
      <c r="G26" s="649">
        <v>25</v>
      </c>
      <c r="H26" s="283"/>
      <c r="I26" s="283"/>
      <c r="J26" s="286"/>
      <c r="K26" s="286"/>
      <c r="L26" s="286"/>
    </row>
    <row r="27" spans="2:12" ht="17.25" thickBot="1" thickTop="1">
      <c r="B27" s="323" t="s">
        <v>503</v>
      </c>
      <c r="C27" s="287"/>
      <c r="D27" s="62"/>
      <c r="E27" s="283"/>
      <c r="G27" s="326">
        <f>(G9+G24)/G26</f>
        <v>14</v>
      </c>
      <c r="H27" s="283"/>
      <c r="I27" s="283"/>
      <c r="J27" s="286"/>
      <c r="K27" s="286"/>
      <c r="L27" s="286"/>
    </row>
    <row r="28" spans="2:12" ht="16.5" thickTop="1">
      <c r="B28" s="323" t="s">
        <v>504</v>
      </c>
      <c r="C28" s="287"/>
      <c r="D28" s="62"/>
      <c r="E28" s="283"/>
      <c r="F28" s="285"/>
      <c r="G28" s="645">
        <v>3500</v>
      </c>
      <c r="H28" s="283"/>
      <c r="I28" s="283"/>
      <c r="J28" s="286"/>
      <c r="K28" s="286"/>
      <c r="L28" s="286"/>
    </row>
    <row r="29" spans="2:12" ht="16.5" thickBot="1">
      <c r="B29" s="62" t="s">
        <v>6</v>
      </c>
      <c r="G29" s="646">
        <v>900</v>
      </c>
      <c r="H29" s="283"/>
      <c r="I29" s="283"/>
      <c r="J29" s="286"/>
      <c r="K29" s="286"/>
      <c r="L29" s="286"/>
    </row>
    <row r="30" spans="2:12" ht="16.5" thickTop="1">
      <c r="B30" s="62"/>
      <c r="G30" s="288"/>
      <c r="H30" s="283"/>
      <c r="I30" s="283"/>
      <c r="J30" s="286"/>
      <c r="K30" s="286"/>
      <c r="L30" s="286"/>
    </row>
    <row r="31" spans="2:12" ht="15.75">
      <c r="B31" s="283"/>
      <c r="C31" s="283"/>
      <c r="D31" s="185" t="s">
        <v>347</v>
      </c>
      <c r="E31" s="185" t="s">
        <v>10</v>
      </c>
      <c r="F31" s="185" t="s">
        <v>12</v>
      </c>
      <c r="H31" s="59"/>
      <c r="I31" s="185" t="s">
        <v>11</v>
      </c>
      <c r="L31" s="286"/>
    </row>
    <row r="32" spans="1:12" ht="16.5" thickBot="1">
      <c r="A32" s="333"/>
      <c r="B32" s="334" t="s">
        <v>510</v>
      </c>
      <c r="C32" s="335" t="s">
        <v>17</v>
      </c>
      <c r="D32" s="633" t="s">
        <v>14</v>
      </c>
      <c r="E32" s="633" t="s">
        <v>511</v>
      </c>
      <c r="F32" s="336" t="s">
        <v>512</v>
      </c>
      <c r="H32" s="351" t="s">
        <v>18</v>
      </c>
      <c r="I32" s="352" t="s">
        <v>16</v>
      </c>
      <c r="L32" s="286"/>
    </row>
    <row r="33" spans="1:12" ht="16.5" thickTop="1">
      <c r="A33" s="337"/>
      <c r="B33" s="338" t="s">
        <v>513</v>
      </c>
      <c r="C33" s="339">
        <f>ROUNDDOWN(G20*0.5,0)</f>
        <v>126</v>
      </c>
      <c r="D33" s="639">
        <v>600</v>
      </c>
      <c r="E33" s="634">
        <v>1.25</v>
      </c>
      <c r="F33" s="341">
        <f>D33*E33</f>
        <v>750</v>
      </c>
      <c r="H33" s="280">
        <f aca="true" t="shared" si="0" ref="H33:H39">C33*D33*E33</f>
        <v>94500</v>
      </c>
      <c r="I33" s="353">
        <f aca="true" t="shared" si="1" ref="I33:I39">C33*D33</f>
        <v>75600</v>
      </c>
      <c r="L33" s="286"/>
    </row>
    <row r="34" spans="1:12" ht="16.5" thickBot="1">
      <c r="A34" s="337"/>
      <c r="B34" s="640" t="s">
        <v>514</v>
      </c>
      <c r="C34" s="641">
        <f>ROUNDDOWN(G20*0.5-G24,0)</f>
        <v>76</v>
      </c>
      <c r="D34" s="638">
        <v>575</v>
      </c>
      <c r="E34" s="635">
        <v>1.2</v>
      </c>
      <c r="F34" s="341">
        <f aca="true" t="shared" si="2" ref="F34:F40">D34*E34</f>
        <v>690</v>
      </c>
      <c r="H34" s="280">
        <f t="shared" si="0"/>
        <v>52440</v>
      </c>
      <c r="I34" s="354">
        <f t="shared" si="1"/>
        <v>43700</v>
      </c>
      <c r="L34" s="286"/>
    </row>
    <row r="35" spans="1:12" ht="16.5" thickTop="1">
      <c r="A35" s="337"/>
      <c r="B35" s="642" t="s">
        <v>515</v>
      </c>
      <c r="C35" s="340">
        <v>0</v>
      </c>
      <c r="D35" s="340">
        <v>0</v>
      </c>
      <c r="E35" s="635">
        <v>0</v>
      </c>
      <c r="F35" s="341">
        <f t="shared" si="2"/>
        <v>0</v>
      </c>
      <c r="H35" s="280">
        <f t="shared" si="0"/>
        <v>0</v>
      </c>
      <c r="I35" s="354">
        <f t="shared" si="1"/>
        <v>0</v>
      </c>
      <c r="L35" s="286"/>
    </row>
    <row r="36" spans="1:12" ht="16.5" thickBot="1">
      <c r="A36" s="337"/>
      <c r="B36" s="643" t="s">
        <v>515</v>
      </c>
      <c r="C36" s="636">
        <v>0</v>
      </c>
      <c r="D36" s="340">
        <v>0</v>
      </c>
      <c r="E36" s="635">
        <v>0</v>
      </c>
      <c r="F36" s="341">
        <f t="shared" si="2"/>
        <v>0</v>
      </c>
      <c r="H36" s="280">
        <f t="shared" si="0"/>
        <v>0</v>
      </c>
      <c r="I36" s="354">
        <f t="shared" si="1"/>
        <v>0</v>
      </c>
      <c r="L36" s="286"/>
    </row>
    <row r="37" spans="1:12" ht="16.5" thickTop="1">
      <c r="A37" s="333"/>
      <c r="B37" s="338" t="s">
        <v>516</v>
      </c>
      <c r="C37" s="342">
        <f>ROUNDDOWN(G16*0.99,0)</f>
        <v>40</v>
      </c>
      <c r="D37" s="638">
        <v>1250</v>
      </c>
      <c r="E37" s="635">
        <v>0.5</v>
      </c>
      <c r="F37" s="341">
        <f t="shared" si="2"/>
        <v>625</v>
      </c>
      <c r="H37" s="280">
        <f t="shared" si="0"/>
        <v>25000</v>
      </c>
      <c r="I37" s="354">
        <f t="shared" si="1"/>
        <v>50000</v>
      </c>
      <c r="L37" s="286"/>
    </row>
    <row r="38" spans="1:12" ht="15.75">
      <c r="A38" s="333"/>
      <c r="B38" s="338" t="s">
        <v>517</v>
      </c>
      <c r="C38" s="343">
        <f>G24+G25-G21</f>
        <v>6.439999999999998</v>
      </c>
      <c r="D38" s="638">
        <v>900</v>
      </c>
      <c r="E38" s="635">
        <v>1</v>
      </c>
      <c r="F38" s="341">
        <f t="shared" si="2"/>
        <v>900</v>
      </c>
      <c r="H38" s="280">
        <f t="shared" si="0"/>
        <v>5795.999999999998</v>
      </c>
      <c r="I38" s="354">
        <f t="shared" si="1"/>
        <v>5795.999999999998</v>
      </c>
      <c r="J38" s="185"/>
      <c r="L38" s="286"/>
    </row>
    <row r="39" spans="1:12" ht="16.5" thickBot="1">
      <c r="A39" s="333"/>
      <c r="B39" s="338" t="s">
        <v>518</v>
      </c>
      <c r="C39" s="342">
        <f>ROUNDDOWN(G27/3,0)</f>
        <v>4</v>
      </c>
      <c r="D39" s="638">
        <v>1800</v>
      </c>
      <c r="E39" s="635">
        <v>0.55</v>
      </c>
      <c r="F39" s="341">
        <f t="shared" si="2"/>
        <v>990.0000000000001</v>
      </c>
      <c r="H39" s="280">
        <f t="shared" si="0"/>
        <v>3960.0000000000005</v>
      </c>
      <c r="I39" s="354">
        <f t="shared" si="1"/>
        <v>7200</v>
      </c>
      <c r="J39" s="185"/>
      <c r="L39" s="286"/>
    </row>
    <row r="40" spans="1:12" ht="17.25" thickBot="1" thickTop="1">
      <c r="A40" s="333"/>
      <c r="B40" s="348" t="s">
        <v>528</v>
      </c>
      <c r="C40" s="644">
        <v>0</v>
      </c>
      <c r="D40" s="636">
        <v>0</v>
      </c>
      <c r="E40" s="637">
        <v>0</v>
      </c>
      <c r="F40" s="349">
        <f t="shared" si="2"/>
        <v>0</v>
      </c>
      <c r="G40" s="360"/>
      <c r="H40" s="359">
        <f>C40*D40*E40</f>
        <v>0</v>
      </c>
      <c r="I40" s="354"/>
      <c r="J40" s="185"/>
      <c r="L40" s="286"/>
    </row>
    <row r="41" spans="1:12" ht="16.5" thickTop="1">
      <c r="A41" s="333"/>
      <c r="B41" s="344" t="s">
        <v>519</v>
      </c>
      <c r="C41" s="339">
        <f>SUM(C33:C36)</f>
        <v>202</v>
      </c>
      <c r="D41" s="338"/>
      <c r="E41" s="112"/>
      <c r="G41" s="345" t="s">
        <v>520</v>
      </c>
      <c r="H41" s="355">
        <f>SUM(H33:H40)</f>
        <v>181696</v>
      </c>
      <c r="I41" s="356">
        <f>SUM(I33:I40)</f>
        <v>182296</v>
      </c>
      <c r="J41" s="185"/>
      <c r="L41" s="286"/>
    </row>
    <row r="42" spans="1:12" ht="15.75">
      <c r="A42" s="62"/>
      <c r="B42" s="64" t="s">
        <v>529</v>
      </c>
      <c r="C42" s="350">
        <f>SUM(C33:C39)</f>
        <v>252.44</v>
      </c>
      <c r="D42" s="112"/>
      <c r="E42" s="283"/>
      <c r="G42" s="345" t="s">
        <v>522</v>
      </c>
      <c r="H42" s="355">
        <f>H33+H34</f>
        <v>146940</v>
      </c>
      <c r="I42" s="357">
        <f>I33+I34</f>
        <v>119300</v>
      </c>
      <c r="L42" s="286"/>
    </row>
    <row r="43" spans="1:12" ht="15.75">
      <c r="A43" s="62"/>
      <c r="B43" s="59"/>
      <c r="C43" s="59"/>
      <c r="D43" s="283"/>
      <c r="E43" s="283"/>
      <c r="G43" s="345" t="s">
        <v>521</v>
      </c>
      <c r="H43" s="358">
        <f>H41/$G$9</f>
        <v>605.6533333333333</v>
      </c>
      <c r="I43" s="293"/>
      <c r="J43" s="291"/>
      <c r="L43" s="286"/>
    </row>
    <row r="44" spans="1:12" ht="15.75">
      <c r="A44" s="62"/>
      <c r="B44" s="283"/>
      <c r="C44" s="287"/>
      <c r="D44" s="62"/>
      <c r="J44" s="286"/>
      <c r="K44" s="286"/>
      <c r="L44" s="286"/>
    </row>
    <row r="45" spans="1:12" ht="15.75">
      <c r="A45" s="62"/>
      <c r="B45" s="283"/>
      <c r="C45" s="287"/>
      <c r="D45" s="62"/>
      <c r="E45" s="283"/>
      <c r="F45" s="292"/>
      <c r="G45" s="283"/>
      <c r="H45" s="283"/>
      <c r="I45" s="283"/>
      <c r="J45" s="286"/>
      <c r="K45" s="286"/>
      <c r="L45" s="286"/>
    </row>
    <row r="46" spans="1:12" ht="15.75">
      <c r="A46" s="362"/>
      <c r="B46" s="293"/>
      <c r="C46" s="290"/>
      <c r="D46" s="290"/>
      <c r="E46" s="290"/>
      <c r="F46" s="290"/>
      <c r="G46" s="290"/>
      <c r="H46" s="290"/>
      <c r="I46" s="290"/>
      <c r="J46" s="286"/>
      <c r="K46" s="286"/>
      <c r="L46" s="286"/>
    </row>
    <row r="47" spans="1:12" ht="15.75">
      <c r="A47" s="112"/>
      <c r="B47" s="112"/>
      <c r="C47" s="59"/>
      <c r="D47" s="59"/>
      <c r="E47" s="185" t="s">
        <v>10</v>
      </c>
      <c r="F47" s="185" t="s">
        <v>11</v>
      </c>
      <c r="G47" s="185" t="s">
        <v>27</v>
      </c>
      <c r="H47" s="59"/>
      <c r="I47" s="283"/>
      <c r="J47" s="286"/>
      <c r="K47" s="286"/>
      <c r="L47" s="286"/>
    </row>
    <row r="48" spans="1:12" ht="16.5" thickBot="1">
      <c r="A48" s="670" t="s">
        <v>28</v>
      </c>
      <c r="B48" s="670"/>
      <c r="C48" s="185" t="s">
        <v>13</v>
      </c>
      <c r="D48" s="294" t="s">
        <v>14</v>
      </c>
      <c r="E48" s="185" t="s">
        <v>15</v>
      </c>
      <c r="F48" s="185" t="s">
        <v>16</v>
      </c>
      <c r="G48" s="185" t="s">
        <v>29</v>
      </c>
      <c r="H48" s="62" t="s">
        <v>18</v>
      </c>
      <c r="I48" s="283"/>
      <c r="J48" s="286"/>
      <c r="K48" s="286"/>
      <c r="L48" s="286"/>
    </row>
    <row r="49" spans="1:12" ht="17.25" thickBot="1" thickTop="1">
      <c r="A49" s="682" t="s">
        <v>524</v>
      </c>
      <c r="B49" s="683"/>
      <c r="C49" s="276">
        <f>$G$25</f>
        <v>0</v>
      </c>
      <c r="D49" s="277">
        <v>0</v>
      </c>
      <c r="E49" s="278">
        <v>0</v>
      </c>
      <c r="F49" s="279"/>
      <c r="G49" s="280">
        <f aca="true" t="shared" si="3" ref="F49:G52">D49*E49</f>
        <v>0</v>
      </c>
      <c r="H49" s="281">
        <f>C49*D49*E49</f>
        <v>0</v>
      </c>
      <c r="I49" s="185" t="s">
        <v>31</v>
      </c>
      <c r="J49" s="286"/>
      <c r="K49" s="286"/>
      <c r="L49" s="286"/>
    </row>
    <row r="50" spans="1:12" ht="17.25" thickBot="1" thickTop="1">
      <c r="A50" s="295" t="s">
        <v>525</v>
      </c>
      <c r="B50" s="296"/>
      <c r="C50" s="108" t="s">
        <v>32</v>
      </c>
      <c r="D50" s="297"/>
      <c r="E50" s="297"/>
      <c r="F50" s="298"/>
      <c r="G50" s="299"/>
      <c r="H50" s="300"/>
      <c r="I50" s="185" t="s">
        <v>523</v>
      </c>
      <c r="J50" s="286"/>
      <c r="K50" s="286"/>
      <c r="L50" s="286"/>
    </row>
    <row r="51" spans="1:12" ht="16.5" thickTop="1">
      <c r="A51" s="62" t="s">
        <v>526</v>
      </c>
      <c r="B51" s="59"/>
      <c r="C51" s="301">
        <v>44</v>
      </c>
      <c r="D51" s="302">
        <v>530</v>
      </c>
      <c r="E51" s="303">
        <v>0.85</v>
      </c>
      <c r="F51" s="289">
        <f t="shared" si="3"/>
        <v>23320</v>
      </c>
      <c r="G51" s="280">
        <f t="shared" si="3"/>
        <v>450.5</v>
      </c>
      <c r="H51" s="281">
        <f>C51*D51*E51</f>
        <v>19822</v>
      </c>
      <c r="I51" s="185" t="s">
        <v>34</v>
      </c>
      <c r="J51" s="286"/>
      <c r="K51" s="286"/>
      <c r="L51" s="286"/>
    </row>
    <row r="52" spans="1:12" ht="16.5" thickBot="1">
      <c r="A52" s="62" t="s">
        <v>357</v>
      </c>
      <c r="B52" s="59"/>
      <c r="C52" s="304">
        <v>0</v>
      </c>
      <c r="D52" s="305">
        <v>0</v>
      </c>
      <c r="E52" s="306">
        <v>0</v>
      </c>
      <c r="F52" s="289">
        <f t="shared" si="3"/>
        <v>0</v>
      </c>
      <c r="G52" s="280">
        <f t="shared" si="3"/>
        <v>0</v>
      </c>
      <c r="H52" s="281">
        <f>-(C52*D52*E52)</f>
        <v>0</v>
      </c>
      <c r="I52" s="185" t="s">
        <v>35</v>
      </c>
      <c r="J52" s="286"/>
      <c r="K52" s="286"/>
      <c r="L52" s="286"/>
    </row>
    <row r="53" spans="1:12" ht="16.5" thickTop="1">
      <c r="A53" s="283"/>
      <c r="B53" s="59"/>
      <c r="C53" s="307"/>
      <c r="D53" s="283"/>
      <c r="E53" s="283"/>
      <c r="F53" s="283"/>
      <c r="G53" s="308" t="s">
        <v>181</v>
      </c>
      <c r="H53" s="280">
        <f>SUM(H33:H39)+H51+H52</f>
        <v>201518</v>
      </c>
      <c r="I53" s="281">
        <f>H53/$G$9</f>
        <v>671.7266666666667</v>
      </c>
      <c r="J53" s="286"/>
      <c r="K53" s="286"/>
      <c r="L53" s="286"/>
    </row>
    <row r="54" spans="1:12" ht="15.75">
      <c r="A54" s="286"/>
      <c r="B54" s="286"/>
      <c r="C54" s="286"/>
      <c r="D54" s="286"/>
      <c r="E54" s="286"/>
      <c r="F54" s="286"/>
      <c r="G54" s="286"/>
      <c r="H54" s="286"/>
      <c r="I54" s="286"/>
      <c r="J54" s="286"/>
      <c r="K54" s="286"/>
      <c r="L54" s="286"/>
    </row>
    <row r="55" spans="1:12" ht="15.75">
      <c r="A55" s="309" t="s">
        <v>36</v>
      </c>
      <c r="B55" s="310"/>
      <c r="C55" s="310"/>
      <c r="D55" s="310"/>
      <c r="E55" s="310"/>
      <c r="F55" s="310"/>
      <c r="G55" s="310"/>
      <c r="H55" s="311"/>
      <c r="I55" s="286"/>
      <c r="J55" s="286"/>
      <c r="K55" s="286"/>
      <c r="L55" s="286"/>
    </row>
    <row r="56" spans="1:12" ht="15.75">
      <c r="A56" s="312" t="s">
        <v>37</v>
      </c>
      <c r="B56" s="286"/>
      <c r="C56" s="286"/>
      <c r="D56" s="286"/>
      <c r="E56" s="286"/>
      <c r="F56" s="286"/>
      <c r="G56" s="286"/>
      <c r="H56" s="313"/>
      <c r="I56" s="286"/>
      <c r="J56" s="286"/>
      <c r="K56" s="286"/>
      <c r="L56" s="286"/>
    </row>
    <row r="57" spans="1:12" ht="15.75">
      <c r="A57" s="314" t="s">
        <v>38</v>
      </c>
      <c r="B57" s="315"/>
      <c r="C57" s="315"/>
      <c r="D57" s="315"/>
      <c r="E57" s="315"/>
      <c r="F57" s="315"/>
      <c r="G57" s="315"/>
      <c r="H57" s="316"/>
      <c r="I57" s="286"/>
      <c r="J57" s="286"/>
      <c r="K57" s="286"/>
      <c r="L57" s="286"/>
    </row>
    <row r="58" spans="1:12" ht="15.75" customHeight="1">
      <c r="A58" s="62" t="s">
        <v>39</v>
      </c>
      <c r="B58" s="286"/>
      <c r="C58" s="286"/>
      <c r="D58" s="286"/>
      <c r="E58" s="185" t="s">
        <v>40</v>
      </c>
      <c r="F58" s="185" t="s">
        <v>41</v>
      </c>
      <c r="G58" s="286"/>
      <c r="H58" s="286"/>
      <c r="I58" s="286"/>
      <c r="J58" s="286"/>
      <c r="K58" s="286"/>
      <c r="L58" s="286"/>
    </row>
    <row r="59" spans="1:12" ht="15.75">
      <c r="A59" s="286"/>
      <c r="B59" s="62" t="s">
        <v>42</v>
      </c>
      <c r="C59" s="59"/>
      <c r="D59" s="286"/>
      <c r="E59" s="346">
        <f>G9</f>
        <v>300</v>
      </c>
      <c r="F59" s="317">
        <f>G9*G29</f>
        <v>270000</v>
      </c>
      <c r="G59" s="286"/>
      <c r="H59" s="286"/>
      <c r="I59" s="286"/>
      <c r="J59" s="286"/>
      <c r="K59" s="286"/>
      <c r="L59" s="286"/>
    </row>
    <row r="60" spans="1:12" ht="15.75">
      <c r="A60" s="64" t="s">
        <v>43</v>
      </c>
      <c r="B60" s="62" t="s">
        <v>44</v>
      </c>
      <c r="C60" s="59"/>
      <c r="D60" s="286"/>
      <c r="E60" s="346">
        <f>G24</f>
        <v>50</v>
      </c>
      <c r="F60" s="317">
        <f>G24*G51</f>
        <v>22525</v>
      </c>
      <c r="G60" s="286"/>
      <c r="H60" s="286"/>
      <c r="I60" s="286"/>
      <c r="J60" s="286"/>
      <c r="K60" s="286"/>
      <c r="L60" s="286"/>
    </row>
    <row r="61" spans="1:12" ht="15.75">
      <c r="A61" s="64" t="s">
        <v>45</v>
      </c>
      <c r="B61" s="62" t="s">
        <v>46</v>
      </c>
      <c r="C61" s="59"/>
      <c r="D61" s="286"/>
      <c r="E61" s="346">
        <f>C38</f>
        <v>6.439999999999998</v>
      </c>
      <c r="F61" s="317">
        <f>-(F38*C38)</f>
        <v>-5795.999999999998</v>
      </c>
      <c r="G61" s="286"/>
      <c r="H61" s="286"/>
      <c r="I61" s="286"/>
      <c r="J61" s="286"/>
      <c r="K61" s="286"/>
      <c r="L61" s="286"/>
    </row>
    <row r="62" spans="1:12" ht="15.75">
      <c r="A62" s="81" t="s">
        <v>47</v>
      </c>
      <c r="B62" s="62" t="s">
        <v>48</v>
      </c>
      <c r="C62" s="59"/>
      <c r="D62" s="286"/>
      <c r="E62" s="346">
        <f>C49</f>
        <v>0</v>
      </c>
      <c r="F62" s="317">
        <f>H49</f>
        <v>0</v>
      </c>
      <c r="G62" s="286"/>
      <c r="H62" s="286"/>
      <c r="I62" s="286"/>
      <c r="J62" s="286"/>
      <c r="K62" s="286"/>
      <c r="L62" s="286"/>
    </row>
    <row r="63" spans="1:12" ht="15.75">
      <c r="A63" s="64" t="s">
        <v>45</v>
      </c>
      <c r="B63" s="62" t="s">
        <v>22</v>
      </c>
      <c r="C63" s="59"/>
      <c r="D63" s="286"/>
      <c r="E63" s="346">
        <f>C37</f>
        <v>40</v>
      </c>
      <c r="F63" s="317">
        <f>-(C37*F37)</f>
        <v>-25000</v>
      </c>
      <c r="G63" s="286"/>
      <c r="H63" s="286"/>
      <c r="I63" s="286"/>
      <c r="J63" s="286"/>
      <c r="K63" s="286"/>
      <c r="L63" s="286"/>
    </row>
    <row r="64" spans="1:12" ht="15.75">
      <c r="A64" s="64" t="s">
        <v>45</v>
      </c>
      <c r="B64" s="62" t="s">
        <v>375</v>
      </c>
      <c r="C64" s="59"/>
      <c r="D64" s="286"/>
      <c r="E64" s="346">
        <f>ROUNDDOWN(G21,0)-C37</f>
        <v>3</v>
      </c>
      <c r="F64" s="317">
        <f>-E64*F37</f>
        <v>-1875</v>
      </c>
      <c r="G64" s="286"/>
      <c r="H64" s="286"/>
      <c r="I64" s="286"/>
      <c r="J64" s="286"/>
      <c r="K64" s="286"/>
      <c r="L64" s="286"/>
    </row>
    <row r="65" spans="1:12" ht="15.75">
      <c r="A65" s="64" t="s">
        <v>45</v>
      </c>
      <c r="B65" s="62" t="s">
        <v>374</v>
      </c>
      <c r="C65" s="59"/>
      <c r="D65" s="286"/>
      <c r="E65" s="346">
        <f>C52</f>
        <v>0</v>
      </c>
      <c r="F65" s="317">
        <f>-(C52*G52)</f>
        <v>0</v>
      </c>
      <c r="G65" s="286"/>
      <c r="H65" s="286"/>
      <c r="I65" s="286"/>
      <c r="J65" s="469"/>
      <c r="K65" s="286"/>
      <c r="L65" s="286"/>
    </row>
    <row r="66" spans="1:12" ht="15.75">
      <c r="A66" s="65" t="s">
        <v>49</v>
      </c>
      <c r="B66" s="66" t="s">
        <v>50</v>
      </c>
      <c r="C66" s="67"/>
      <c r="D66" s="315"/>
      <c r="E66" s="347">
        <f>ROUNDDOWN(E59+E60-E61+E62-E63-E64-E65,0)</f>
        <v>300</v>
      </c>
      <c r="F66" s="318">
        <f>SUM(F59:F65)</f>
        <v>259854</v>
      </c>
      <c r="G66" s="315"/>
      <c r="H66" s="315"/>
      <c r="I66" s="315"/>
      <c r="J66" s="632"/>
      <c r="K66" s="286"/>
      <c r="L66" s="286"/>
    </row>
    <row r="67" spans="1:12" ht="15.75">
      <c r="A67" s="62" t="s">
        <v>51</v>
      </c>
      <c r="B67" s="286"/>
      <c r="C67" s="286"/>
      <c r="D67" s="286"/>
      <c r="E67" s="286"/>
      <c r="F67" s="286"/>
      <c r="G67" s="363"/>
      <c r="H67" s="286"/>
      <c r="I67" s="286"/>
      <c r="J67" s="469"/>
      <c r="K67" s="286"/>
      <c r="L67" s="286"/>
    </row>
    <row r="68" spans="1:12" ht="15.75">
      <c r="A68" s="286"/>
      <c r="B68" s="286"/>
      <c r="C68" s="286"/>
      <c r="D68" s="286"/>
      <c r="E68" s="286"/>
      <c r="F68" s="286"/>
      <c r="G68" s="363"/>
      <c r="H68" s="286"/>
      <c r="I68" s="286"/>
      <c r="J68" s="469"/>
      <c r="K68" s="286"/>
      <c r="L68" s="286"/>
    </row>
    <row r="69" spans="1:12" ht="15.75">
      <c r="A69" s="286"/>
      <c r="B69" s="286"/>
      <c r="C69" s="286"/>
      <c r="D69" s="286"/>
      <c r="E69" s="286"/>
      <c r="F69" s="286"/>
      <c r="G69" s="363"/>
      <c r="H69" s="286"/>
      <c r="I69" s="286"/>
      <c r="J69" s="469"/>
      <c r="K69" s="286"/>
      <c r="L69" s="286"/>
    </row>
    <row r="70" spans="1:12" ht="15.75">
      <c r="A70" s="286"/>
      <c r="B70" s="286"/>
      <c r="C70" s="286"/>
      <c r="D70" s="286"/>
      <c r="E70" s="286"/>
      <c r="F70" s="286"/>
      <c r="G70" s="363"/>
      <c r="H70" s="286"/>
      <c r="I70" s="286"/>
      <c r="J70" s="469"/>
      <c r="K70" s="286"/>
      <c r="L70" s="286"/>
    </row>
    <row r="71" spans="1:12" ht="15.75">
      <c r="A71" s="286"/>
      <c r="B71" s="286"/>
      <c r="C71" s="286"/>
      <c r="D71" s="286"/>
      <c r="E71" s="286"/>
      <c r="F71" s="286"/>
      <c r="G71" s="363"/>
      <c r="H71" s="286"/>
      <c r="I71" s="286"/>
      <c r="J71" s="469"/>
      <c r="K71" s="286"/>
      <c r="L71" s="286"/>
    </row>
    <row r="72" spans="1:12" ht="15.75">
      <c r="A72" s="286"/>
      <c r="B72" s="286"/>
      <c r="C72" s="286"/>
      <c r="D72" s="286"/>
      <c r="E72" s="286"/>
      <c r="F72" s="286"/>
      <c r="G72" s="363"/>
      <c r="H72" s="286"/>
      <c r="I72" s="286"/>
      <c r="J72" s="469"/>
      <c r="K72" s="286"/>
      <c r="L72" s="286"/>
    </row>
    <row r="73" spans="1:12" ht="15.75">
      <c r="A73" s="286"/>
      <c r="B73" s="286"/>
      <c r="C73" s="286"/>
      <c r="D73" s="286"/>
      <c r="E73" s="286"/>
      <c r="F73" s="286"/>
      <c r="G73" s="363"/>
      <c r="H73" s="286"/>
      <c r="I73" s="286"/>
      <c r="J73" s="469"/>
      <c r="K73" s="286"/>
      <c r="L73" s="286"/>
    </row>
    <row r="74" spans="1:12" ht="15.75">
      <c r="A74" s="286"/>
      <c r="B74" s="286"/>
      <c r="C74" s="286"/>
      <c r="D74" s="286"/>
      <c r="E74" s="286"/>
      <c r="F74" s="286"/>
      <c r="G74" s="363"/>
      <c r="H74" s="286"/>
      <c r="I74" s="286"/>
      <c r="J74" s="469"/>
      <c r="K74" s="286"/>
      <c r="L74" s="286"/>
    </row>
    <row r="75" spans="1:12" ht="15.75">
      <c r="A75" s="286"/>
      <c r="B75" s="286"/>
      <c r="C75" s="286"/>
      <c r="D75" s="286"/>
      <c r="E75" s="286"/>
      <c r="F75" s="286"/>
      <c r="G75" s="363"/>
      <c r="H75" s="286"/>
      <c r="I75" s="286"/>
      <c r="J75" s="469"/>
      <c r="K75" s="286"/>
      <c r="L75" s="286"/>
    </row>
    <row r="76" spans="1:12" ht="15.75">
      <c r="A76" s="286"/>
      <c r="B76" s="286"/>
      <c r="C76" s="286"/>
      <c r="D76" s="286"/>
      <c r="E76" s="286"/>
      <c r="F76" s="286"/>
      <c r="G76" s="363"/>
      <c r="H76" s="286"/>
      <c r="I76" s="286"/>
      <c r="J76" s="469"/>
      <c r="K76" s="286"/>
      <c r="L76" s="286"/>
    </row>
    <row r="77" spans="1:12" ht="15.75">
      <c r="A77" s="286"/>
      <c r="B77" s="286"/>
      <c r="C77" s="286"/>
      <c r="D77" s="286"/>
      <c r="E77" s="286"/>
      <c r="F77" s="286"/>
      <c r="G77" s="363"/>
      <c r="H77" s="286"/>
      <c r="I77" s="286"/>
      <c r="J77" s="469"/>
      <c r="K77" s="286"/>
      <c r="L77" s="286"/>
    </row>
    <row r="78" spans="1:12" ht="15.75">
      <c r="A78" s="286"/>
      <c r="B78" s="286"/>
      <c r="C78" s="286"/>
      <c r="D78" s="286"/>
      <c r="E78" s="286"/>
      <c r="F78" s="286"/>
      <c r="G78" s="363"/>
      <c r="H78" s="286"/>
      <c r="I78" s="286"/>
      <c r="J78" s="469"/>
      <c r="K78" s="286"/>
      <c r="L78" s="286"/>
    </row>
    <row r="79" spans="1:12" ht="15.75">
      <c r="A79" s="286"/>
      <c r="B79" s="286"/>
      <c r="C79" s="286"/>
      <c r="D79" s="286"/>
      <c r="E79" s="286"/>
      <c r="F79" s="286"/>
      <c r="G79" s="363"/>
      <c r="H79" s="286"/>
      <c r="I79" s="286"/>
      <c r="J79" s="469"/>
      <c r="K79" s="286"/>
      <c r="L79" s="286"/>
    </row>
    <row r="80" spans="1:12" ht="15.75">
      <c r="A80" s="286"/>
      <c r="B80" s="286"/>
      <c r="C80" s="286"/>
      <c r="D80" s="286"/>
      <c r="E80" s="286"/>
      <c r="F80" s="286"/>
      <c r="G80" s="363"/>
      <c r="H80" s="286"/>
      <c r="I80" s="286"/>
      <c r="J80" s="469"/>
      <c r="K80" s="286"/>
      <c r="L80" s="286"/>
    </row>
    <row r="81" spans="1:12" ht="15.75">
      <c r="A81" s="286"/>
      <c r="B81" s="286"/>
      <c r="C81" s="286"/>
      <c r="D81" s="286"/>
      <c r="E81" s="286"/>
      <c r="F81" s="286"/>
      <c r="G81" s="363"/>
      <c r="H81" s="286"/>
      <c r="I81" s="286"/>
      <c r="J81" s="469"/>
      <c r="K81" s="286"/>
      <c r="L81" s="286"/>
    </row>
    <row r="82" spans="1:12" ht="15.75">
      <c r="A82" s="286"/>
      <c r="B82" s="286"/>
      <c r="C82" s="286"/>
      <c r="D82" s="286"/>
      <c r="E82" s="286"/>
      <c r="F82" s="286"/>
      <c r="G82" s="286"/>
      <c r="H82" s="286"/>
      <c r="I82" s="286"/>
      <c r="J82" s="469"/>
      <c r="K82" s="286"/>
      <c r="L82" s="286"/>
    </row>
    <row r="83" spans="1:12" ht="15.75">
      <c r="A83" s="315"/>
      <c r="B83" s="315"/>
      <c r="C83" s="315"/>
      <c r="D83" s="315"/>
      <c r="E83" s="315"/>
      <c r="F83" s="315"/>
      <c r="G83" s="315"/>
      <c r="H83" s="315"/>
      <c r="I83" s="315"/>
      <c r="J83" s="632"/>
      <c r="K83" s="286"/>
      <c r="L83" s="286"/>
    </row>
    <row r="84" spans="1:12" ht="15.75">
      <c r="A84" s="99" t="s">
        <v>52</v>
      </c>
      <c r="B84" s="59"/>
      <c r="C84" s="364"/>
      <c r="D84" s="364"/>
      <c r="E84" s="364"/>
      <c r="F84" s="286"/>
      <c r="G84" s="99"/>
      <c r="H84" s="286"/>
      <c r="I84" s="286"/>
      <c r="J84" s="469"/>
      <c r="K84" s="286"/>
      <c r="L84" s="286"/>
    </row>
    <row r="85" spans="1:12" ht="15.75">
      <c r="A85" s="365"/>
      <c r="B85" s="366"/>
      <c r="C85" s="367" t="s">
        <v>533</v>
      </c>
      <c r="D85" s="366"/>
      <c r="E85" s="366"/>
      <c r="F85" s="366"/>
      <c r="G85" s="366"/>
      <c r="H85" s="366"/>
      <c r="I85" s="366"/>
      <c r="J85" s="469"/>
      <c r="K85" s="286"/>
      <c r="L85" s="286"/>
    </row>
    <row r="86" spans="1:12" ht="15.75">
      <c r="A86" s="286"/>
      <c r="B86" s="286"/>
      <c r="C86" s="364"/>
      <c r="D86" s="59"/>
      <c r="E86" s="59"/>
      <c r="F86" s="59"/>
      <c r="G86" s="185" t="s">
        <v>54</v>
      </c>
      <c r="H86" s="185" t="s">
        <v>55</v>
      </c>
      <c r="I86" s="185" t="s">
        <v>55</v>
      </c>
      <c r="J86" s="286"/>
      <c r="K86" s="286"/>
      <c r="L86" s="286"/>
    </row>
    <row r="87" spans="1:12" ht="16.5" thickBot="1">
      <c r="A87" s="62" t="s">
        <v>56</v>
      </c>
      <c r="B87" s="59"/>
      <c r="C87" s="185" t="s">
        <v>57</v>
      </c>
      <c r="D87" s="185" t="s">
        <v>13</v>
      </c>
      <c r="E87" s="185" t="s">
        <v>10</v>
      </c>
      <c r="F87" s="185" t="s">
        <v>54</v>
      </c>
      <c r="G87" s="185" t="s">
        <v>29</v>
      </c>
      <c r="H87" s="185" t="s">
        <v>58</v>
      </c>
      <c r="I87" s="185" t="s">
        <v>59</v>
      </c>
      <c r="J87" s="286"/>
      <c r="K87" s="286"/>
      <c r="L87" s="286"/>
    </row>
    <row r="88" spans="1:12" ht="16.5" thickTop="1">
      <c r="A88" s="368"/>
      <c r="B88" s="369" t="s">
        <v>61</v>
      </c>
      <c r="C88" s="370" t="s">
        <v>62</v>
      </c>
      <c r="D88" s="371">
        <f>300*2</f>
        <v>600</v>
      </c>
      <c r="E88" s="372">
        <v>100</v>
      </c>
      <c r="F88" s="373">
        <f aca="true" t="shared" si="4" ref="F88:F99">E88*D88</f>
        <v>60000</v>
      </c>
      <c r="G88" s="374">
        <f aca="true" t="shared" si="5" ref="G88:G99">F88/$G$9</f>
        <v>200</v>
      </c>
      <c r="H88" s="375">
        <v>0</v>
      </c>
      <c r="I88" s="374">
        <f aca="true" t="shared" si="6" ref="I88:I99">H88*G88</f>
        <v>0</v>
      </c>
      <c r="J88" s="286"/>
      <c r="K88" s="286"/>
      <c r="L88" s="286"/>
    </row>
    <row r="89" spans="1:12" ht="15.75">
      <c r="A89" s="376" t="s">
        <v>292</v>
      </c>
      <c r="B89" s="377" t="s">
        <v>64</v>
      </c>
      <c r="C89" s="378" t="s">
        <v>65</v>
      </c>
      <c r="D89" s="379">
        <v>60</v>
      </c>
      <c r="E89" s="380">
        <v>20</v>
      </c>
      <c r="F89" s="373">
        <f t="shared" si="4"/>
        <v>1200</v>
      </c>
      <c r="G89" s="374">
        <f t="shared" si="5"/>
        <v>4</v>
      </c>
      <c r="H89" s="381">
        <v>0</v>
      </c>
      <c r="I89" s="374">
        <f t="shared" si="6"/>
        <v>0</v>
      </c>
      <c r="J89" s="286"/>
      <c r="K89" s="286"/>
      <c r="L89" s="286"/>
    </row>
    <row r="90" spans="1:12" ht="15.75">
      <c r="A90" s="368"/>
      <c r="B90" s="377" t="s">
        <v>454</v>
      </c>
      <c r="C90" s="378" t="s">
        <v>65</v>
      </c>
      <c r="D90" s="382">
        <v>200</v>
      </c>
      <c r="E90" s="380">
        <v>20</v>
      </c>
      <c r="F90" s="373">
        <f t="shared" si="4"/>
        <v>4000</v>
      </c>
      <c r="G90" s="374">
        <f t="shared" si="5"/>
        <v>13.333333333333334</v>
      </c>
      <c r="H90" s="381">
        <v>0</v>
      </c>
      <c r="I90" s="374">
        <f t="shared" si="6"/>
        <v>0</v>
      </c>
      <c r="J90" s="286"/>
      <c r="K90" s="286"/>
      <c r="L90" s="286"/>
    </row>
    <row r="91" spans="1:12" ht="15.75">
      <c r="A91" s="368"/>
      <c r="B91" s="377" t="s">
        <v>455</v>
      </c>
      <c r="C91" s="378" t="s">
        <v>65</v>
      </c>
      <c r="D91" s="382">
        <v>125</v>
      </c>
      <c r="E91" s="380">
        <v>15</v>
      </c>
      <c r="F91" s="373">
        <f t="shared" si="4"/>
        <v>1875</v>
      </c>
      <c r="G91" s="374">
        <f t="shared" si="5"/>
        <v>6.25</v>
      </c>
      <c r="H91" s="381">
        <v>0</v>
      </c>
      <c r="I91" s="374">
        <f t="shared" si="6"/>
        <v>0</v>
      </c>
      <c r="J91" s="286"/>
      <c r="K91" s="286"/>
      <c r="L91" s="286"/>
    </row>
    <row r="92" spans="1:12" ht="15.75">
      <c r="A92" s="368"/>
      <c r="B92" s="377" t="s">
        <v>456</v>
      </c>
      <c r="C92" s="378" t="s">
        <v>65</v>
      </c>
      <c r="D92" s="382">
        <v>320</v>
      </c>
      <c r="E92" s="380">
        <v>15</v>
      </c>
      <c r="F92" s="373">
        <f t="shared" si="4"/>
        <v>4800</v>
      </c>
      <c r="G92" s="374">
        <f t="shared" si="5"/>
        <v>16</v>
      </c>
      <c r="H92" s="381">
        <v>0</v>
      </c>
      <c r="I92" s="374">
        <f t="shared" si="6"/>
        <v>0</v>
      </c>
      <c r="J92" s="286"/>
      <c r="K92" s="286"/>
      <c r="L92" s="286"/>
    </row>
    <row r="93" spans="1:12" ht="15.75">
      <c r="A93" s="368"/>
      <c r="B93" s="377" t="s">
        <v>399</v>
      </c>
      <c r="C93" s="378" t="s">
        <v>400</v>
      </c>
      <c r="D93" s="379">
        <f>100*4</f>
        <v>400</v>
      </c>
      <c r="E93" s="380">
        <v>13.5</v>
      </c>
      <c r="F93" s="373">
        <f t="shared" si="4"/>
        <v>5400</v>
      </c>
      <c r="G93" s="374">
        <f t="shared" si="5"/>
        <v>18</v>
      </c>
      <c r="H93" s="381">
        <v>0</v>
      </c>
      <c r="I93" s="374">
        <f t="shared" si="6"/>
        <v>0</v>
      </c>
      <c r="J93" s="286"/>
      <c r="K93" s="286"/>
      <c r="L93" s="286"/>
    </row>
    <row r="94" spans="1:12" ht="15.75">
      <c r="A94" s="368"/>
      <c r="B94" s="377" t="s">
        <v>457</v>
      </c>
      <c r="C94" s="378" t="s">
        <v>62</v>
      </c>
      <c r="D94" s="379">
        <v>18</v>
      </c>
      <c r="E94" s="380">
        <v>250</v>
      </c>
      <c r="F94" s="373">
        <f t="shared" si="4"/>
        <v>4500</v>
      </c>
      <c r="G94" s="374">
        <f t="shared" si="5"/>
        <v>15</v>
      </c>
      <c r="H94" s="381">
        <v>0</v>
      </c>
      <c r="I94" s="374">
        <f t="shared" si="6"/>
        <v>0</v>
      </c>
      <c r="J94" s="286"/>
      <c r="K94" s="286"/>
      <c r="L94" s="286"/>
    </row>
    <row r="95" spans="1:12" ht="15.75">
      <c r="A95" s="368"/>
      <c r="B95" s="377" t="s">
        <v>402</v>
      </c>
      <c r="C95" s="378" t="s">
        <v>401</v>
      </c>
      <c r="D95" s="379">
        <v>2.75</v>
      </c>
      <c r="E95" s="380">
        <v>150</v>
      </c>
      <c r="F95" s="373">
        <f t="shared" si="4"/>
        <v>412.5</v>
      </c>
      <c r="G95" s="374">
        <f t="shared" si="5"/>
        <v>1.375</v>
      </c>
      <c r="H95" s="381">
        <v>0</v>
      </c>
      <c r="I95" s="374">
        <f t="shared" si="6"/>
        <v>0</v>
      </c>
      <c r="J95" s="286"/>
      <c r="K95" s="286"/>
      <c r="L95" s="286"/>
    </row>
    <row r="96" spans="1:12" ht="15.75">
      <c r="A96" s="368"/>
      <c r="B96" s="377" t="s">
        <v>458</v>
      </c>
      <c r="C96" s="378" t="s">
        <v>405</v>
      </c>
      <c r="D96" s="379">
        <v>0</v>
      </c>
      <c r="E96" s="380">
        <v>0</v>
      </c>
      <c r="F96" s="373">
        <f t="shared" si="4"/>
        <v>0</v>
      </c>
      <c r="G96" s="374">
        <f t="shared" si="5"/>
        <v>0</v>
      </c>
      <c r="H96" s="381">
        <v>0</v>
      </c>
      <c r="I96" s="374">
        <f t="shared" si="6"/>
        <v>0</v>
      </c>
      <c r="J96" s="286"/>
      <c r="K96" s="286"/>
      <c r="L96" s="286"/>
    </row>
    <row r="97" spans="1:12" ht="15.75">
      <c r="A97" s="368"/>
      <c r="B97" s="377" t="s">
        <v>458</v>
      </c>
      <c r="C97" s="378" t="s">
        <v>404</v>
      </c>
      <c r="D97" s="379">
        <v>0</v>
      </c>
      <c r="E97" s="380">
        <v>0</v>
      </c>
      <c r="F97" s="373">
        <f t="shared" si="4"/>
        <v>0</v>
      </c>
      <c r="G97" s="374">
        <f t="shared" si="5"/>
        <v>0</v>
      </c>
      <c r="H97" s="381">
        <v>0</v>
      </c>
      <c r="I97" s="374">
        <f t="shared" si="6"/>
        <v>0</v>
      </c>
      <c r="J97" s="286"/>
      <c r="K97" s="286"/>
      <c r="L97" s="286"/>
    </row>
    <row r="98" spans="1:12" ht="15.75">
      <c r="A98" s="368"/>
      <c r="B98" s="377" t="s">
        <v>403</v>
      </c>
      <c r="C98" s="378" t="s">
        <v>62</v>
      </c>
      <c r="D98" s="379">
        <v>2.75</v>
      </c>
      <c r="E98" s="380">
        <v>550</v>
      </c>
      <c r="F98" s="373">
        <f t="shared" si="4"/>
        <v>1512.5</v>
      </c>
      <c r="G98" s="374">
        <f t="shared" si="5"/>
        <v>5.041666666666667</v>
      </c>
      <c r="H98" s="381">
        <v>0</v>
      </c>
      <c r="I98" s="374">
        <f t="shared" si="6"/>
        <v>0</v>
      </c>
      <c r="J98" s="286"/>
      <c r="K98" s="286"/>
      <c r="L98" s="286"/>
    </row>
    <row r="99" spans="1:12" ht="16.5" thickBot="1">
      <c r="A99" s="368"/>
      <c r="B99" s="383" t="s">
        <v>74</v>
      </c>
      <c r="C99" s="305" t="s">
        <v>62</v>
      </c>
      <c r="D99" s="384">
        <v>0</v>
      </c>
      <c r="E99" s="385">
        <v>0</v>
      </c>
      <c r="F99" s="373">
        <f t="shared" si="4"/>
        <v>0</v>
      </c>
      <c r="G99" s="374">
        <f t="shared" si="5"/>
        <v>0</v>
      </c>
      <c r="H99" s="386">
        <v>0</v>
      </c>
      <c r="I99" s="374">
        <f t="shared" si="6"/>
        <v>0</v>
      </c>
      <c r="J99" s="286"/>
      <c r="K99" s="286"/>
      <c r="L99" s="286"/>
    </row>
    <row r="100" spans="1:12" ht="16.5" thickTop="1">
      <c r="A100" s="387"/>
      <c r="B100" s="59"/>
      <c r="C100" s="59"/>
      <c r="D100" s="286"/>
      <c r="E100" s="286"/>
      <c r="F100" s="373"/>
      <c r="G100" s="374"/>
      <c r="H100" s="286"/>
      <c r="I100" s="286"/>
      <c r="J100" s="286"/>
      <c r="K100" s="286"/>
      <c r="L100" s="286"/>
    </row>
    <row r="101" spans="1:12" ht="15.75">
      <c r="A101" s="387"/>
      <c r="B101" s="62" t="s">
        <v>79</v>
      </c>
      <c r="C101" s="59"/>
      <c r="D101" s="286"/>
      <c r="E101" s="286"/>
      <c r="F101" s="373">
        <f>SUM(F88:F99)</f>
        <v>83700</v>
      </c>
      <c r="G101" s="374">
        <f>SUM(G88:G99)</f>
        <v>279.00000000000006</v>
      </c>
      <c r="H101" s="286"/>
      <c r="I101" s="373">
        <f>SUM(I88:I99)</f>
        <v>0</v>
      </c>
      <c r="J101" s="286"/>
      <c r="K101" s="286"/>
      <c r="L101" s="286"/>
    </row>
    <row r="102" spans="1:12" ht="15.75">
      <c r="A102" s="286"/>
      <c r="B102" s="286"/>
      <c r="C102" s="286"/>
      <c r="D102" s="286"/>
      <c r="E102" s="286"/>
      <c r="F102" s="373"/>
      <c r="G102" s="388"/>
      <c r="H102" s="185" t="s">
        <v>55</v>
      </c>
      <c r="I102" s="185" t="s">
        <v>55</v>
      </c>
      <c r="J102" s="286"/>
      <c r="K102" s="286"/>
      <c r="L102" s="286"/>
    </row>
    <row r="103" spans="1:12" ht="16.5" thickBot="1">
      <c r="A103" s="62" t="s">
        <v>80</v>
      </c>
      <c r="B103" s="59"/>
      <c r="C103" s="59"/>
      <c r="D103" s="59"/>
      <c r="E103" s="59"/>
      <c r="F103" s="373"/>
      <c r="G103" s="374"/>
      <c r="H103" s="185" t="s">
        <v>58</v>
      </c>
      <c r="I103" s="185" t="s">
        <v>59</v>
      </c>
      <c r="J103" s="286"/>
      <c r="K103" s="286"/>
      <c r="L103" s="286"/>
    </row>
    <row r="104" spans="1:12" ht="16.5" thickTop="1">
      <c r="A104" s="376" t="s">
        <v>292</v>
      </c>
      <c r="B104" s="62" t="s">
        <v>81</v>
      </c>
      <c r="C104" s="59"/>
      <c r="D104" s="59"/>
      <c r="E104" s="59"/>
      <c r="F104" s="389">
        <v>3200</v>
      </c>
      <c r="G104" s="374">
        <f>F104/$G$9</f>
        <v>10.666666666666666</v>
      </c>
      <c r="H104" s="375">
        <v>0</v>
      </c>
      <c r="I104" s="374">
        <f>H104*G104</f>
        <v>0</v>
      </c>
      <c r="J104" s="286"/>
      <c r="K104" s="286"/>
      <c r="L104" s="286"/>
    </row>
    <row r="105" spans="1:12" ht="15.75">
      <c r="A105" s="59"/>
      <c r="B105" s="62" t="s">
        <v>82</v>
      </c>
      <c r="C105" s="59"/>
      <c r="D105" s="59"/>
      <c r="E105" s="59"/>
      <c r="F105" s="390">
        <v>0</v>
      </c>
      <c r="G105" s="374">
        <f>F105/$G$9</f>
        <v>0</v>
      </c>
      <c r="H105" s="381">
        <v>0</v>
      </c>
      <c r="I105" s="374">
        <f>H105*G105</f>
        <v>0</v>
      </c>
      <c r="J105" s="286"/>
      <c r="K105" s="286"/>
      <c r="L105" s="286"/>
    </row>
    <row r="106" spans="1:12" ht="15.75">
      <c r="A106" s="59"/>
      <c r="B106" s="62" t="s">
        <v>83</v>
      </c>
      <c r="C106" s="59"/>
      <c r="D106" s="59"/>
      <c r="E106" s="59"/>
      <c r="F106" s="390">
        <v>0</v>
      </c>
      <c r="G106" s="374">
        <f>F106/$G$9</f>
        <v>0</v>
      </c>
      <c r="H106" s="381">
        <v>0</v>
      </c>
      <c r="I106" s="374">
        <f>H106*G106</f>
        <v>0</v>
      </c>
      <c r="J106" s="286"/>
      <c r="K106" s="286"/>
      <c r="L106" s="286"/>
    </row>
    <row r="107" spans="1:12" ht="16.5" thickBot="1">
      <c r="A107" s="59"/>
      <c r="B107" s="62" t="s">
        <v>84</v>
      </c>
      <c r="C107" s="59"/>
      <c r="D107" s="59"/>
      <c r="E107" s="59"/>
      <c r="F107" s="391">
        <v>0</v>
      </c>
      <c r="G107" s="374">
        <f>F107/$G$9</f>
        <v>0</v>
      </c>
      <c r="H107" s="386">
        <v>0</v>
      </c>
      <c r="I107" s="374">
        <f>H107*G107</f>
        <v>0</v>
      </c>
      <c r="J107" s="286"/>
      <c r="K107" s="286"/>
      <c r="L107" s="286"/>
    </row>
    <row r="108" spans="1:12" ht="17.25" thickBot="1" thickTop="1">
      <c r="A108" s="59"/>
      <c r="B108" s="62" t="s">
        <v>85</v>
      </c>
      <c r="C108" s="286"/>
      <c r="D108" s="62" t="s">
        <v>86</v>
      </c>
      <c r="E108" s="62" t="s">
        <v>87</v>
      </c>
      <c r="F108" s="279"/>
      <c r="G108" s="279"/>
      <c r="H108" s="279"/>
      <c r="I108" s="279"/>
      <c r="J108" s="286"/>
      <c r="K108" s="286"/>
      <c r="L108" s="286"/>
    </row>
    <row r="109" spans="1:12" ht="16.5" thickTop="1">
      <c r="A109" s="59"/>
      <c r="B109" s="99" t="s">
        <v>88</v>
      </c>
      <c r="C109" s="286"/>
      <c r="D109" s="392">
        <v>15</v>
      </c>
      <c r="E109" s="393">
        <v>30</v>
      </c>
      <c r="F109" s="394">
        <f>D109*E109</f>
        <v>450</v>
      </c>
      <c r="G109" s="374">
        <f aca="true" t="shared" si="7" ref="G109:G117">F109/$G$9</f>
        <v>1.5</v>
      </c>
      <c r="H109" s="375">
        <v>0</v>
      </c>
      <c r="I109" s="374">
        <f aca="true" t="shared" si="8" ref="I109:I117">H109*G109</f>
        <v>0</v>
      </c>
      <c r="J109" s="286"/>
      <c r="K109" s="286"/>
      <c r="L109" s="286"/>
    </row>
    <row r="110" spans="1:12" ht="15.75">
      <c r="A110" s="59"/>
      <c r="B110" s="99" t="s">
        <v>89</v>
      </c>
      <c r="C110" s="286"/>
      <c r="D110" s="395">
        <v>4</v>
      </c>
      <c r="E110" s="396">
        <v>50</v>
      </c>
      <c r="F110" s="394">
        <f>D110*E110</f>
        <v>200</v>
      </c>
      <c r="G110" s="374">
        <f t="shared" si="7"/>
        <v>0.6666666666666666</v>
      </c>
      <c r="H110" s="381">
        <v>0</v>
      </c>
      <c r="I110" s="374">
        <f t="shared" si="8"/>
        <v>0</v>
      </c>
      <c r="J110" s="286"/>
      <c r="K110" s="286"/>
      <c r="L110" s="286"/>
    </row>
    <row r="111" spans="1:12" ht="16.5" thickBot="1">
      <c r="A111" s="59"/>
      <c r="B111" s="99" t="s">
        <v>90</v>
      </c>
      <c r="C111" s="286"/>
      <c r="D111" s="397">
        <v>0</v>
      </c>
      <c r="E111" s="398">
        <v>0</v>
      </c>
      <c r="F111" s="399">
        <f>D111*E111</f>
        <v>0</v>
      </c>
      <c r="G111" s="374">
        <f t="shared" si="7"/>
        <v>0</v>
      </c>
      <c r="H111" s="381">
        <v>0</v>
      </c>
      <c r="I111" s="374">
        <f t="shared" si="8"/>
        <v>0</v>
      </c>
      <c r="J111" s="286"/>
      <c r="K111" s="286"/>
      <c r="L111" s="286"/>
    </row>
    <row r="112" spans="1:12" ht="16.5" thickTop="1">
      <c r="A112" s="59"/>
      <c r="B112" s="62" t="s">
        <v>91</v>
      </c>
      <c r="C112" s="59"/>
      <c r="D112" s="59"/>
      <c r="E112" s="59"/>
      <c r="F112" s="400">
        <v>0</v>
      </c>
      <c r="G112" s="374">
        <f t="shared" si="7"/>
        <v>0</v>
      </c>
      <c r="H112" s="381">
        <v>0</v>
      </c>
      <c r="I112" s="374">
        <f t="shared" si="8"/>
        <v>0</v>
      </c>
      <c r="J112" s="286"/>
      <c r="K112" s="286"/>
      <c r="L112" s="286"/>
    </row>
    <row r="113" spans="1:12" ht="15.75">
      <c r="A113" s="59"/>
      <c r="B113" s="62" t="s">
        <v>92</v>
      </c>
      <c r="C113" s="59"/>
      <c r="D113" s="59"/>
      <c r="E113" s="59"/>
      <c r="F113" s="390">
        <v>0</v>
      </c>
      <c r="G113" s="374">
        <f t="shared" si="7"/>
        <v>0</v>
      </c>
      <c r="H113" s="381">
        <v>0</v>
      </c>
      <c r="I113" s="374">
        <f t="shared" si="8"/>
        <v>0</v>
      </c>
      <c r="J113" s="286"/>
      <c r="K113" s="286"/>
      <c r="L113" s="286"/>
    </row>
    <row r="114" spans="1:12" ht="15.75">
      <c r="A114" s="59"/>
      <c r="B114" s="62" t="s">
        <v>93</v>
      </c>
      <c r="C114" s="59"/>
      <c r="D114" s="59"/>
      <c r="E114" s="59"/>
      <c r="F114" s="390">
        <v>475</v>
      </c>
      <c r="G114" s="374">
        <f t="shared" si="7"/>
        <v>1.5833333333333333</v>
      </c>
      <c r="H114" s="381">
        <v>0</v>
      </c>
      <c r="I114" s="374">
        <f t="shared" si="8"/>
        <v>0</v>
      </c>
      <c r="J114" s="286"/>
      <c r="K114" s="286"/>
      <c r="L114" s="286"/>
    </row>
    <row r="115" spans="1:12" ht="16.5" thickBot="1">
      <c r="A115" s="59"/>
      <c r="B115" s="62" t="s">
        <v>94</v>
      </c>
      <c r="C115" s="59"/>
      <c r="D115" s="59"/>
      <c r="E115" s="59"/>
      <c r="F115" s="390">
        <v>350</v>
      </c>
      <c r="G115" s="374">
        <f t="shared" si="7"/>
        <v>1.1666666666666667</v>
      </c>
      <c r="H115" s="381">
        <v>0</v>
      </c>
      <c r="I115" s="374">
        <f t="shared" si="8"/>
        <v>0</v>
      </c>
      <c r="J115" s="286"/>
      <c r="K115" s="286"/>
      <c r="L115" s="286"/>
    </row>
    <row r="116" spans="1:12" ht="16.5" thickTop="1">
      <c r="A116" s="59"/>
      <c r="B116" s="684" t="s">
        <v>95</v>
      </c>
      <c r="C116" s="685"/>
      <c r="D116" s="686"/>
      <c r="E116" s="59"/>
      <c r="F116" s="390">
        <v>0</v>
      </c>
      <c r="G116" s="374">
        <f t="shared" si="7"/>
        <v>0</v>
      </c>
      <c r="H116" s="381">
        <v>0</v>
      </c>
      <c r="I116" s="374">
        <f t="shared" si="8"/>
        <v>0</v>
      </c>
      <c r="J116" s="286"/>
      <c r="K116" s="286"/>
      <c r="L116" s="286"/>
    </row>
    <row r="117" spans="1:12" ht="12" customHeight="1" thickBot="1">
      <c r="A117" s="59"/>
      <c r="B117" s="687" t="s">
        <v>95</v>
      </c>
      <c r="C117" s="688"/>
      <c r="D117" s="659"/>
      <c r="E117" s="59"/>
      <c r="F117" s="391">
        <v>0</v>
      </c>
      <c r="G117" s="374">
        <f t="shared" si="7"/>
        <v>0</v>
      </c>
      <c r="H117" s="386">
        <v>0</v>
      </c>
      <c r="I117" s="374">
        <f t="shared" si="8"/>
        <v>0</v>
      </c>
      <c r="J117" s="286"/>
      <c r="K117" s="286"/>
      <c r="L117" s="286"/>
    </row>
    <row r="118" spans="1:12" ht="17.25" thickBot="1" thickTop="1">
      <c r="A118" s="62" t="s">
        <v>96</v>
      </c>
      <c r="B118" s="59"/>
      <c r="C118" s="59"/>
      <c r="D118" s="59"/>
      <c r="E118" s="59"/>
      <c r="F118" s="279"/>
      <c r="G118" s="279"/>
      <c r="H118" s="279"/>
      <c r="I118" s="279"/>
      <c r="J118" s="286"/>
      <c r="K118" s="286"/>
      <c r="L118" s="286"/>
    </row>
    <row r="119" spans="1:12" ht="16.5" thickTop="1">
      <c r="A119" s="376" t="s">
        <v>292</v>
      </c>
      <c r="B119" s="62" t="s">
        <v>97</v>
      </c>
      <c r="C119" s="59"/>
      <c r="D119" s="59"/>
      <c r="E119" s="59"/>
      <c r="F119" s="400">
        <v>0</v>
      </c>
      <c r="G119" s="374">
        <f aca="true" t="shared" si="9" ref="G119:G133">F119/$G$9</f>
        <v>0</v>
      </c>
      <c r="H119" s="375">
        <v>0</v>
      </c>
      <c r="I119" s="374">
        <f aca="true" t="shared" si="10" ref="I119:I133">H119*G119</f>
        <v>0</v>
      </c>
      <c r="J119" s="286"/>
      <c r="K119" s="286"/>
      <c r="L119" s="286"/>
    </row>
    <row r="120" spans="1:12" ht="15.75">
      <c r="A120" s="387"/>
      <c r="B120" s="62" t="s">
        <v>99</v>
      </c>
      <c r="C120" s="59"/>
      <c r="D120" s="59"/>
      <c r="E120" s="59"/>
      <c r="F120" s="390">
        <v>1200</v>
      </c>
      <c r="G120" s="374">
        <f t="shared" si="9"/>
        <v>4</v>
      </c>
      <c r="H120" s="381">
        <v>0</v>
      </c>
      <c r="I120" s="374">
        <f t="shared" si="10"/>
        <v>0</v>
      </c>
      <c r="J120" s="286"/>
      <c r="K120" s="286"/>
      <c r="L120" s="286"/>
    </row>
    <row r="121" spans="1:12" ht="15.75">
      <c r="A121" s="387"/>
      <c r="B121" s="62" t="s">
        <v>101</v>
      </c>
      <c r="C121" s="59"/>
      <c r="D121" s="59"/>
      <c r="E121" s="59"/>
      <c r="F121" s="391">
        <v>2500</v>
      </c>
      <c r="G121" s="374">
        <f t="shared" si="9"/>
        <v>8.333333333333334</v>
      </c>
      <c r="H121" s="381">
        <v>0</v>
      </c>
      <c r="I121" s="374">
        <f t="shared" si="10"/>
        <v>0</v>
      </c>
      <c r="J121" s="286"/>
      <c r="K121" s="286"/>
      <c r="L121" s="286"/>
    </row>
    <row r="122" spans="1:12" ht="15.75">
      <c r="A122" s="387"/>
      <c r="B122" s="62" t="s">
        <v>103</v>
      </c>
      <c r="C122" s="59"/>
      <c r="D122" s="59"/>
      <c r="E122" s="59"/>
      <c r="F122" s="279"/>
      <c r="G122" s="374">
        <f t="shared" si="9"/>
        <v>0</v>
      </c>
      <c r="H122" s="381">
        <v>0</v>
      </c>
      <c r="I122" s="374">
        <f t="shared" si="10"/>
        <v>0</v>
      </c>
      <c r="J122" s="286"/>
      <c r="K122" s="286"/>
      <c r="L122" s="286"/>
    </row>
    <row r="123" spans="1:12" ht="15.75">
      <c r="A123" s="387"/>
      <c r="B123" s="99" t="s">
        <v>105</v>
      </c>
      <c r="C123" s="59"/>
      <c r="D123" s="59"/>
      <c r="E123" s="59"/>
      <c r="F123" s="401">
        <v>0</v>
      </c>
      <c r="G123" s="374">
        <f t="shared" si="9"/>
        <v>0</v>
      </c>
      <c r="H123" s="381">
        <v>0</v>
      </c>
      <c r="I123" s="374">
        <f t="shared" si="10"/>
        <v>0</v>
      </c>
      <c r="J123" s="286"/>
      <c r="K123" s="286"/>
      <c r="L123" s="286"/>
    </row>
    <row r="124" spans="1:12" ht="15.75">
      <c r="A124" s="387"/>
      <c r="B124" s="99" t="s">
        <v>107</v>
      </c>
      <c r="C124" s="59"/>
      <c r="D124" s="59"/>
      <c r="E124" s="59"/>
      <c r="F124" s="402">
        <v>750</v>
      </c>
      <c r="G124" s="374">
        <f t="shared" si="9"/>
        <v>2.5</v>
      </c>
      <c r="H124" s="381">
        <v>0</v>
      </c>
      <c r="I124" s="374">
        <f t="shared" si="10"/>
        <v>0</v>
      </c>
      <c r="J124" s="286"/>
      <c r="K124" s="286"/>
      <c r="L124" s="286"/>
    </row>
    <row r="125" spans="1:12" ht="15.75">
      <c r="A125" s="387"/>
      <c r="B125" s="99" t="s">
        <v>109</v>
      </c>
      <c r="C125" s="59"/>
      <c r="D125" s="59"/>
      <c r="E125" s="59"/>
      <c r="F125" s="402">
        <v>0</v>
      </c>
      <c r="G125" s="374">
        <f t="shared" si="9"/>
        <v>0</v>
      </c>
      <c r="H125" s="381">
        <v>0</v>
      </c>
      <c r="I125" s="374">
        <f t="shared" si="10"/>
        <v>0</v>
      </c>
      <c r="J125" s="286"/>
      <c r="K125" s="286"/>
      <c r="L125" s="286"/>
    </row>
    <row r="126" spans="1:12" ht="15.75">
      <c r="A126" s="387"/>
      <c r="B126" s="99" t="s">
        <v>111</v>
      </c>
      <c r="C126" s="59"/>
      <c r="D126" s="59"/>
      <c r="E126" s="59"/>
      <c r="F126" s="402">
        <v>0</v>
      </c>
      <c r="G126" s="374">
        <f t="shared" si="9"/>
        <v>0</v>
      </c>
      <c r="H126" s="381">
        <v>0</v>
      </c>
      <c r="I126" s="374">
        <f t="shared" si="10"/>
        <v>0</v>
      </c>
      <c r="J126" s="286"/>
      <c r="K126" s="286"/>
      <c r="L126" s="286"/>
    </row>
    <row r="127" spans="1:12" ht="15.75">
      <c r="A127" s="387"/>
      <c r="B127" s="62" t="s">
        <v>84</v>
      </c>
      <c r="C127" s="59"/>
      <c r="D127" s="59"/>
      <c r="E127" s="59"/>
      <c r="F127" s="402">
        <v>0</v>
      </c>
      <c r="G127" s="374">
        <f t="shared" si="9"/>
        <v>0</v>
      </c>
      <c r="H127" s="381">
        <v>0</v>
      </c>
      <c r="I127" s="374">
        <f t="shared" si="10"/>
        <v>0</v>
      </c>
      <c r="J127" s="286"/>
      <c r="K127" s="286"/>
      <c r="L127" s="286"/>
    </row>
    <row r="128" spans="1:12" ht="15.75">
      <c r="A128" s="387"/>
      <c r="B128" s="62" t="s">
        <v>116</v>
      </c>
      <c r="C128" s="59"/>
      <c r="D128" s="59"/>
      <c r="E128" s="59"/>
      <c r="F128" s="402">
        <v>0</v>
      </c>
      <c r="G128" s="374">
        <f t="shared" si="9"/>
        <v>0</v>
      </c>
      <c r="H128" s="381">
        <v>0</v>
      </c>
      <c r="I128" s="374">
        <f t="shared" si="10"/>
        <v>0</v>
      </c>
      <c r="J128" s="286"/>
      <c r="K128" s="286"/>
      <c r="L128" s="286"/>
    </row>
    <row r="129" spans="1:12" ht="15.75">
      <c r="A129" s="387"/>
      <c r="B129" s="62" t="s">
        <v>118</v>
      </c>
      <c r="C129" s="59"/>
      <c r="D129" s="59"/>
      <c r="E129" s="59"/>
      <c r="F129" s="402">
        <v>200</v>
      </c>
      <c r="G129" s="374">
        <f t="shared" si="9"/>
        <v>0.6666666666666666</v>
      </c>
      <c r="H129" s="381">
        <v>0</v>
      </c>
      <c r="I129" s="374">
        <f t="shared" si="10"/>
        <v>0</v>
      </c>
      <c r="J129" s="286"/>
      <c r="K129" s="286"/>
      <c r="L129" s="286"/>
    </row>
    <row r="130" spans="1:12" ht="16.5" thickBot="1">
      <c r="A130" s="387"/>
      <c r="B130" s="62" t="s">
        <v>93</v>
      </c>
      <c r="C130" s="59"/>
      <c r="D130" s="59"/>
      <c r="E130" s="59"/>
      <c r="F130" s="402">
        <v>250</v>
      </c>
      <c r="G130" s="374">
        <f t="shared" si="9"/>
        <v>0.8333333333333334</v>
      </c>
      <c r="H130" s="381">
        <v>0</v>
      </c>
      <c r="I130" s="374">
        <f t="shared" si="10"/>
        <v>0</v>
      </c>
      <c r="J130" s="286"/>
      <c r="K130" s="286"/>
      <c r="L130" s="286"/>
    </row>
    <row r="131" spans="1:12" ht="16.5" thickTop="1">
      <c r="A131" s="403"/>
      <c r="B131" s="684" t="s">
        <v>74</v>
      </c>
      <c r="C131" s="686"/>
      <c r="D131" s="286"/>
      <c r="E131" s="286"/>
      <c r="F131" s="402">
        <v>0</v>
      </c>
      <c r="G131" s="374">
        <f t="shared" si="9"/>
        <v>0</v>
      </c>
      <c r="H131" s="381">
        <v>0</v>
      </c>
      <c r="I131" s="374">
        <f t="shared" si="10"/>
        <v>0</v>
      </c>
      <c r="J131" s="286"/>
      <c r="K131" s="286"/>
      <c r="L131" s="286"/>
    </row>
    <row r="132" spans="1:12" ht="15.75">
      <c r="A132" s="403"/>
      <c r="B132" s="665" t="s">
        <v>74</v>
      </c>
      <c r="C132" s="666"/>
      <c r="D132" s="286"/>
      <c r="E132" s="286"/>
      <c r="F132" s="402">
        <v>0</v>
      </c>
      <c r="G132" s="374">
        <f t="shared" si="9"/>
        <v>0</v>
      </c>
      <c r="H132" s="381">
        <v>0</v>
      </c>
      <c r="I132" s="374">
        <f t="shared" si="10"/>
        <v>0</v>
      </c>
      <c r="J132" s="286"/>
      <c r="K132" s="286"/>
      <c r="L132" s="286"/>
    </row>
    <row r="133" spans="1:12" ht="16.5" thickBot="1">
      <c r="A133" s="403"/>
      <c r="B133" s="687" t="s">
        <v>74</v>
      </c>
      <c r="C133" s="659"/>
      <c r="D133" s="286"/>
      <c r="E133" s="286"/>
      <c r="F133" s="404">
        <v>0</v>
      </c>
      <c r="G133" s="374">
        <f t="shared" si="9"/>
        <v>0</v>
      </c>
      <c r="H133" s="386">
        <v>0</v>
      </c>
      <c r="I133" s="374">
        <f t="shared" si="10"/>
        <v>0</v>
      </c>
      <c r="J133" s="286"/>
      <c r="K133" s="286"/>
      <c r="L133" s="286"/>
    </row>
    <row r="134" spans="1:12" ht="16.5" thickTop="1">
      <c r="A134" s="59"/>
      <c r="B134" s="286"/>
      <c r="C134" s="59"/>
      <c r="D134" s="59"/>
      <c r="E134" s="59"/>
      <c r="F134" s="279"/>
      <c r="G134" s="279"/>
      <c r="H134" s="279"/>
      <c r="I134" s="279"/>
      <c r="J134" s="286"/>
      <c r="K134" s="286"/>
      <c r="L134" s="286"/>
    </row>
    <row r="135" spans="1:12" ht="15.75">
      <c r="A135" s="59"/>
      <c r="B135" s="64" t="s">
        <v>120</v>
      </c>
      <c r="C135" s="59"/>
      <c r="D135" s="59"/>
      <c r="E135" s="59"/>
      <c r="F135" s="373">
        <f>SUM(F104:F134)</f>
        <v>9575</v>
      </c>
      <c r="G135" s="374">
        <f>SUM(G104:G134)</f>
        <v>31.916666666666664</v>
      </c>
      <c r="H135" s="286"/>
      <c r="I135" s="374">
        <f>SUM(I104:I134)</f>
        <v>0</v>
      </c>
      <c r="J135" s="286"/>
      <c r="K135" s="286"/>
      <c r="L135" s="286"/>
    </row>
    <row r="136" spans="1:12" ht="15.75">
      <c r="A136" s="59"/>
      <c r="B136" s="59"/>
      <c r="C136" s="59"/>
      <c r="D136" s="59"/>
      <c r="E136" s="59"/>
      <c r="F136" s="373"/>
      <c r="G136" s="374"/>
      <c r="H136" s="286"/>
      <c r="I136" s="286"/>
      <c r="J136" s="286"/>
      <c r="K136" s="286"/>
      <c r="L136" s="286"/>
    </row>
    <row r="137" spans="1:12" ht="15.75">
      <c r="A137" s="62" t="s">
        <v>121</v>
      </c>
      <c r="B137" s="59"/>
      <c r="C137" s="59"/>
      <c r="D137" s="59"/>
      <c r="E137" s="59"/>
      <c r="F137" s="373"/>
      <c r="G137" s="374"/>
      <c r="H137" s="286"/>
      <c r="I137" s="286"/>
      <c r="J137" s="286"/>
      <c r="K137" s="286"/>
      <c r="L137" s="286"/>
    </row>
    <row r="138" spans="1:12" ht="15.75">
      <c r="A138" s="59"/>
      <c r="B138" s="62" t="s">
        <v>122</v>
      </c>
      <c r="C138" s="59"/>
      <c r="D138" s="59"/>
      <c r="E138" s="59"/>
      <c r="F138" s="373"/>
      <c r="G138" s="374"/>
      <c r="H138" s="286"/>
      <c r="I138" s="286"/>
      <c r="J138" s="286"/>
      <c r="K138" s="286"/>
      <c r="L138" s="286"/>
    </row>
    <row r="139" spans="1:12" ht="16.5" thickBot="1">
      <c r="A139" s="59"/>
      <c r="B139" s="62" t="s">
        <v>123</v>
      </c>
      <c r="C139" s="59"/>
      <c r="D139" s="59"/>
      <c r="E139" s="59"/>
      <c r="F139" s="373"/>
      <c r="G139" s="374"/>
      <c r="H139" s="286"/>
      <c r="I139" s="286"/>
      <c r="J139" s="286"/>
      <c r="K139" s="286"/>
      <c r="L139" s="286"/>
    </row>
    <row r="140" spans="1:12" ht="16.5" thickTop="1">
      <c r="A140" s="59"/>
      <c r="B140" s="62" t="s">
        <v>397</v>
      </c>
      <c r="C140" s="59"/>
      <c r="D140" s="286"/>
      <c r="E140" s="375">
        <v>0.07</v>
      </c>
      <c r="F140" s="373"/>
      <c r="G140" s="374"/>
      <c r="H140" s="286"/>
      <c r="I140" s="286"/>
      <c r="J140" s="286"/>
      <c r="K140" s="286"/>
      <c r="L140" s="286"/>
    </row>
    <row r="141" spans="1:12" ht="15.75">
      <c r="A141" s="59"/>
      <c r="B141" s="62" t="s">
        <v>124</v>
      </c>
      <c r="C141" s="59"/>
      <c r="D141" s="286"/>
      <c r="E141" s="405">
        <v>6</v>
      </c>
      <c r="F141" s="373"/>
      <c r="G141" s="374"/>
      <c r="H141" s="185" t="s">
        <v>55</v>
      </c>
      <c r="I141" s="185" t="s">
        <v>55</v>
      </c>
      <c r="J141" s="286"/>
      <c r="K141" s="286"/>
      <c r="L141" s="286"/>
    </row>
    <row r="142" spans="1:12" ht="16.5" thickBot="1">
      <c r="A142" s="59"/>
      <c r="B142" s="62" t="s">
        <v>125</v>
      </c>
      <c r="C142" s="286"/>
      <c r="D142" s="286"/>
      <c r="E142" s="386">
        <v>0.03</v>
      </c>
      <c r="F142" s="373"/>
      <c r="G142" s="374"/>
      <c r="H142" s="185" t="s">
        <v>58</v>
      </c>
      <c r="I142" s="185" t="s">
        <v>59</v>
      </c>
      <c r="J142" s="286"/>
      <c r="K142" s="286"/>
      <c r="L142" s="286"/>
    </row>
    <row r="143" spans="1:12" ht="17.25" thickBot="1" thickTop="1">
      <c r="A143" s="59"/>
      <c r="B143" s="62" t="s">
        <v>398</v>
      </c>
      <c r="C143" s="286"/>
      <c r="D143" s="286"/>
      <c r="E143" s="286"/>
      <c r="F143" s="406">
        <f>((F135+F101)*E140/12)*E141</f>
        <v>3264.6250000000005</v>
      </c>
      <c r="G143" s="407">
        <f>F143/$G$9</f>
        <v>10.882083333333334</v>
      </c>
      <c r="H143" s="408">
        <v>0</v>
      </c>
      <c r="I143" s="374">
        <f>H143*G143</f>
        <v>0</v>
      </c>
      <c r="J143" s="286"/>
      <c r="K143" s="286"/>
      <c r="L143" s="286"/>
    </row>
    <row r="144" spans="1:12" ht="15.75">
      <c r="A144" s="59"/>
      <c r="B144" s="59"/>
      <c r="C144" s="59"/>
      <c r="D144" s="286"/>
      <c r="E144" s="286"/>
      <c r="F144" s="373"/>
      <c r="G144" s="374"/>
      <c r="H144" s="286"/>
      <c r="I144" s="286"/>
      <c r="J144" s="286"/>
      <c r="K144" s="286"/>
      <c r="L144" s="286"/>
    </row>
    <row r="145" spans="1:12" ht="15.75">
      <c r="A145" s="78" t="s">
        <v>126</v>
      </c>
      <c r="B145" s="409"/>
      <c r="C145" s="409"/>
      <c r="D145" s="410"/>
      <c r="E145" s="410"/>
      <c r="F145" s="411">
        <f>F101+F135+F143</f>
        <v>96539.625</v>
      </c>
      <c r="G145" s="412">
        <f>F145/$G$9</f>
        <v>321.79875</v>
      </c>
      <c r="H145" s="413"/>
      <c r="I145" s="411">
        <f>I101+I135+I143</f>
        <v>0</v>
      </c>
      <c r="J145" s="286"/>
      <c r="K145" s="286"/>
      <c r="L145" s="286"/>
    </row>
    <row r="146" spans="1:12" ht="15.75">
      <c r="A146" s="62" t="s">
        <v>128</v>
      </c>
      <c r="B146" s="286"/>
      <c r="C146" s="59"/>
      <c r="D146" s="286"/>
      <c r="E146" s="286"/>
      <c r="F146" s="414">
        <f>H53-H51-F145</f>
        <v>85156.375</v>
      </c>
      <c r="G146" s="415">
        <f>F146/$G$9</f>
        <v>283.8545833333333</v>
      </c>
      <c r="H146" s="416" t="s">
        <v>55</v>
      </c>
      <c r="I146" s="416" t="s">
        <v>127</v>
      </c>
      <c r="J146" s="286"/>
      <c r="K146" s="286"/>
      <c r="L146" s="286"/>
    </row>
    <row r="147" spans="1:12" ht="15.75">
      <c r="A147" s="62" t="s">
        <v>129</v>
      </c>
      <c r="B147" s="59"/>
      <c r="C147" s="59"/>
      <c r="D147" s="286"/>
      <c r="E147" s="286"/>
      <c r="F147" s="286"/>
      <c r="G147" s="286"/>
      <c r="H147" s="417" t="s">
        <v>59</v>
      </c>
      <c r="I147" s="417" t="s">
        <v>59</v>
      </c>
      <c r="J147" s="286"/>
      <c r="K147" s="286"/>
      <c r="L147" s="286"/>
    </row>
    <row r="148" spans="1:12" ht="15.75">
      <c r="A148" s="59"/>
      <c r="B148" s="59"/>
      <c r="C148" s="59"/>
      <c r="D148" s="286"/>
      <c r="E148" s="286"/>
      <c r="F148" s="286"/>
      <c r="G148" s="286"/>
      <c r="H148" s="418">
        <f>I101+I135+I143</f>
        <v>0</v>
      </c>
      <c r="I148" s="418">
        <f>G145-H148</f>
        <v>321.79875</v>
      </c>
      <c r="J148" s="286"/>
      <c r="K148" s="286"/>
      <c r="L148" s="286"/>
    </row>
    <row r="149" spans="1:12" ht="15.75">
      <c r="A149" s="59"/>
      <c r="B149" s="59"/>
      <c r="C149" s="59"/>
      <c r="D149" s="286"/>
      <c r="E149" s="286"/>
      <c r="F149" s="286"/>
      <c r="G149" s="286"/>
      <c r="H149" s="286"/>
      <c r="I149" s="286"/>
      <c r="J149" s="286"/>
      <c r="K149" s="286"/>
      <c r="L149" s="286"/>
    </row>
    <row r="150" spans="1:12" ht="15.75">
      <c r="A150" s="59"/>
      <c r="B150" s="59"/>
      <c r="C150" s="59"/>
      <c r="D150" s="286"/>
      <c r="E150" s="286"/>
      <c r="F150" s="286"/>
      <c r="G150" s="286"/>
      <c r="H150" s="286"/>
      <c r="I150" s="286"/>
      <c r="J150" s="286"/>
      <c r="K150" s="286"/>
      <c r="L150" s="286"/>
    </row>
    <row r="151" spans="1:12" ht="15.75">
      <c r="A151" s="286"/>
      <c r="B151" s="286"/>
      <c r="C151" s="286"/>
      <c r="D151" s="286"/>
      <c r="E151" s="286"/>
      <c r="F151" s="286"/>
      <c r="G151" s="286"/>
      <c r="H151" s="286"/>
      <c r="I151" s="286"/>
      <c r="J151" s="286"/>
      <c r="K151" s="286"/>
      <c r="L151" s="286"/>
    </row>
    <row r="152" spans="1:12" ht="15.75">
      <c r="A152" s="99" t="s">
        <v>52</v>
      </c>
      <c r="B152" s="59"/>
      <c r="C152" s="364"/>
      <c r="D152" s="364"/>
      <c r="E152" s="364"/>
      <c r="F152" s="286"/>
      <c r="G152" s="99" t="s">
        <v>53</v>
      </c>
      <c r="H152" s="286"/>
      <c r="I152" s="286"/>
      <c r="J152" s="286"/>
      <c r="K152" s="286"/>
      <c r="L152" s="286"/>
    </row>
    <row r="153" spans="1:12" ht="15.75">
      <c r="A153" s="419"/>
      <c r="B153" s="420"/>
      <c r="C153" s="421" t="s">
        <v>534</v>
      </c>
      <c r="D153" s="419"/>
      <c r="E153" s="419"/>
      <c r="F153" s="419"/>
      <c r="G153" s="422"/>
      <c r="H153" s="419"/>
      <c r="I153" s="419"/>
      <c r="J153" s="286"/>
      <c r="K153" s="286"/>
      <c r="L153" s="286"/>
    </row>
    <row r="154" spans="1:12" ht="15.75">
      <c r="A154" s="188" t="s">
        <v>351</v>
      </c>
      <c r="B154" s="59"/>
      <c r="C154" s="59"/>
      <c r="D154" s="59"/>
      <c r="E154" s="286"/>
      <c r="F154" s="286"/>
      <c r="G154" s="286"/>
      <c r="H154" s="286"/>
      <c r="I154" s="286"/>
      <c r="J154" s="286"/>
      <c r="K154" s="286"/>
      <c r="L154" s="286"/>
    </row>
    <row r="155" spans="1:12" ht="15.75">
      <c r="A155" s="59"/>
      <c r="B155" s="59"/>
      <c r="C155" s="185" t="s">
        <v>130</v>
      </c>
      <c r="D155" s="185" t="s">
        <v>131</v>
      </c>
      <c r="E155" s="185" t="s">
        <v>132</v>
      </c>
      <c r="F155" s="185" t="s">
        <v>133</v>
      </c>
      <c r="G155" s="185" t="s">
        <v>54</v>
      </c>
      <c r="H155" s="185" t="s">
        <v>55</v>
      </c>
      <c r="I155" s="185" t="s">
        <v>55</v>
      </c>
      <c r="J155" s="286"/>
      <c r="K155" s="286"/>
      <c r="L155" s="286"/>
    </row>
    <row r="156" spans="1:12" ht="16.5" thickBot="1">
      <c r="A156" s="64" t="s">
        <v>134</v>
      </c>
      <c r="B156" s="62" t="s">
        <v>135</v>
      </c>
      <c r="C156" s="185" t="s">
        <v>136</v>
      </c>
      <c r="D156" s="185" t="s">
        <v>137</v>
      </c>
      <c r="E156" s="185" t="s">
        <v>54</v>
      </c>
      <c r="F156" s="280" t="s">
        <v>134</v>
      </c>
      <c r="G156" s="185" t="s">
        <v>29</v>
      </c>
      <c r="H156" s="185" t="s">
        <v>58</v>
      </c>
      <c r="I156" s="185" t="s">
        <v>59</v>
      </c>
      <c r="J156" s="286"/>
      <c r="K156" s="286"/>
      <c r="L156" s="286"/>
    </row>
    <row r="157" spans="1:12" ht="16.5" thickTop="1">
      <c r="A157" s="376" t="s">
        <v>292</v>
      </c>
      <c r="B157" s="369" t="s">
        <v>444</v>
      </c>
      <c r="C157" s="423">
        <f>40000*180/600</f>
        <v>12000</v>
      </c>
      <c r="D157" s="424">
        <v>15</v>
      </c>
      <c r="E157" s="425">
        <v>1200</v>
      </c>
      <c r="F157" s="426">
        <f aca="true" t="shared" si="11" ref="F157:F168">(C157-E157)/IF(D157=0,1,D157)</f>
        <v>720</v>
      </c>
      <c r="G157" s="374">
        <f aca="true" t="shared" si="12" ref="G157:G168">F157/$G$9</f>
        <v>2.4</v>
      </c>
      <c r="H157" s="375">
        <v>0</v>
      </c>
      <c r="I157" s="374">
        <f aca="true" t="shared" si="13" ref="I157:I168">H157*G157</f>
        <v>0</v>
      </c>
      <c r="J157" s="286"/>
      <c r="K157" s="286"/>
      <c r="L157" s="286"/>
    </row>
    <row r="158" spans="1:12" ht="15.75">
      <c r="A158" s="427"/>
      <c r="B158" s="377" t="s">
        <v>445</v>
      </c>
      <c r="C158" s="428">
        <f>10000*0.8</f>
        <v>8000</v>
      </c>
      <c r="D158" s="382">
        <v>5</v>
      </c>
      <c r="E158" s="429">
        <v>800</v>
      </c>
      <c r="F158" s="426">
        <f t="shared" si="11"/>
        <v>1440</v>
      </c>
      <c r="G158" s="374">
        <f t="shared" si="12"/>
        <v>4.8</v>
      </c>
      <c r="H158" s="381">
        <v>0</v>
      </c>
      <c r="I158" s="374">
        <f t="shared" si="13"/>
        <v>0</v>
      </c>
      <c r="J158" s="286"/>
      <c r="K158" s="286"/>
      <c r="L158" s="286"/>
    </row>
    <row r="159" spans="1:12" ht="15.75">
      <c r="A159" s="427"/>
      <c r="B159" s="377" t="s">
        <v>406</v>
      </c>
      <c r="C159" s="428">
        <v>4500</v>
      </c>
      <c r="D159" s="382">
        <v>10</v>
      </c>
      <c r="E159" s="429">
        <v>450</v>
      </c>
      <c r="F159" s="426">
        <f t="shared" si="11"/>
        <v>405</v>
      </c>
      <c r="G159" s="374">
        <f t="shared" si="12"/>
        <v>1.35</v>
      </c>
      <c r="H159" s="381">
        <v>0</v>
      </c>
      <c r="I159" s="374">
        <f t="shared" si="13"/>
        <v>0</v>
      </c>
      <c r="J159" s="286"/>
      <c r="K159" s="286"/>
      <c r="L159" s="286"/>
    </row>
    <row r="160" spans="1:12" ht="15.75">
      <c r="A160" s="427"/>
      <c r="B160" s="377" t="s">
        <v>446</v>
      </c>
      <c r="C160" s="428">
        <v>6000</v>
      </c>
      <c r="D160" s="382">
        <v>10</v>
      </c>
      <c r="E160" s="429">
        <v>600</v>
      </c>
      <c r="F160" s="426">
        <f t="shared" si="11"/>
        <v>540</v>
      </c>
      <c r="G160" s="374">
        <f t="shared" si="12"/>
        <v>1.8</v>
      </c>
      <c r="H160" s="381">
        <v>0</v>
      </c>
      <c r="I160" s="374">
        <f t="shared" si="13"/>
        <v>0</v>
      </c>
      <c r="J160" s="286"/>
      <c r="K160" s="286"/>
      <c r="L160" s="286"/>
    </row>
    <row r="161" spans="1:12" ht="15.75">
      <c r="A161" s="427"/>
      <c r="B161" s="377" t="s">
        <v>407</v>
      </c>
      <c r="C161" s="428">
        <v>1500</v>
      </c>
      <c r="D161" s="382">
        <v>10</v>
      </c>
      <c r="E161" s="429">
        <v>300</v>
      </c>
      <c r="F161" s="426">
        <f t="shared" si="11"/>
        <v>120</v>
      </c>
      <c r="G161" s="374">
        <f t="shared" si="12"/>
        <v>0.4</v>
      </c>
      <c r="H161" s="381">
        <v>0</v>
      </c>
      <c r="I161" s="374">
        <f t="shared" si="13"/>
        <v>0</v>
      </c>
      <c r="J161" s="286"/>
      <c r="K161" s="286"/>
      <c r="L161" s="286"/>
    </row>
    <row r="162" spans="1:12" ht="15.75">
      <c r="A162" s="427"/>
      <c r="B162" s="377"/>
      <c r="C162" s="428">
        <v>0</v>
      </c>
      <c r="D162" s="382">
        <v>0</v>
      </c>
      <c r="E162" s="429">
        <v>0</v>
      </c>
      <c r="F162" s="426">
        <f t="shared" si="11"/>
        <v>0</v>
      </c>
      <c r="G162" s="374">
        <f t="shared" si="12"/>
        <v>0</v>
      </c>
      <c r="H162" s="381">
        <v>0</v>
      </c>
      <c r="I162" s="374">
        <f t="shared" si="13"/>
        <v>0</v>
      </c>
      <c r="J162" s="286"/>
      <c r="K162" s="286"/>
      <c r="L162" s="286"/>
    </row>
    <row r="163" spans="1:12" ht="15.75">
      <c r="A163" s="430"/>
      <c r="B163" s="377" t="s">
        <v>408</v>
      </c>
      <c r="C163" s="428">
        <v>3500</v>
      </c>
      <c r="D163" s="382">
        <v>5</v>
      </c>
      <c r="E163" s="429">
        <v>700</v>
      </c>
      <c r="F163" s="426">
        <f t="shared" si="11"/>
        <v>560</v>
      </c>
      <c r="G163" s="374">
        <f t="shared" si="12"/>
        <v>1.8666666666666667</v>
      </c>
      <c r="H163" s="381">
        <v>0</v>
      </c>
      <c r="I163" s="374">
        <f t="shared" si="13"/>
        <v>0</v>
      </c>
      <c r="J163" s="286"/>
      <c r="K163" s="286"/>
      <c r="L163" s="286"/>
    </row>
    <row r="164" spans="1:12" ht="15.75">
      <c r="A164" s="427"/>
      <c r="B164" s="377" t="s">
        <v>409</v>
      </c>
      <c r="C164" s="428">
        <v>3500</v>
      </c>
      <c r="D164" s="382">
        <v>10</v>
      </c>
      <c r="E164" s="429">
        <v>700</v>
      </c>
      <c r="F164" s="426">
        <f t="shared" si="11"/>
        <v>280</v>
      </c>
      <c r="G164" s="374">
        <f t="shared" si="12"/>
        <v>0.9333333333333333</v>
      </c>
      <c r="H164" s="381">
        <v>0</v>
      </c>
      <c r="I164" s="374">
        <f t="shared" si="13"/>
        <v>0</v>
      </c>
      <c r="J164" s="286"/>
      <c r="K164" s="286"/>
      <c r="L164" s="286"/>
    </row>
    <row r="165" spans="1:12" ht="15.75">
      <c r="A165" s="427"/>
      <c r="B165" s="377" t="s">
        <v>447</v>
      </c>
      <c r="C165" s="428">
        <v>18000</v>
      </c>
      <c r="D165" s="382">
        <v>5</v>
      </c>
      <c r="E165" s="429">
        <v>3600</v>
      </c>
      <c r="F165" s="426">
        <f t="shared" si="11"/>
        <v>2880</v>
      </c>
      <c r="G165" s="374">
        <f t="shared" si="12"/>
        <v>9.6</v>
      </c>
      <c r="H165" s="381">
        <v>0</v>
      </c>
      <c r="I165" s="374">
        <f t="shared" si="13"/>
        <v>0</v>
      </c>
      <c r="J165" s="286"/>
      <c r="K165" s="286"/>
      <c r="L165" s="286"/>
    </row>
    <row r="166" spans="1:12" ht="15.75">
      <c r="A166" s="427"/>
      <c r="B166" s="377" t="s">
        <v>74</v>
      </c>
      <c r="C166" s="428">
        <v>0</v>
      </c>
      <c r="D166" s="382">
        <v>0</v>
      </c>
      <c r="E166" s="429">
        <v>0</v>
      </c>
      <c r="F166" s="426">
        <f t="shared" si="11"/>
        <v>0</v>
      </c>
      <c r="G166" s="374">
        <f t="shared" si="12"/>
        <v>0</v>
      </c>
      <c r="H166" s="381">
        <v>0</v>
      </c>
      <c r="I166" s="374">
        <f t="shared" si="13"/>
        <v>0</v>
      </c>
      <c r="J166" s="286"/>
      <c r="K166" s="286"/>
      <c r="L166" s="286"/>
    </row>
    <row r="167" spans="1:12" ht="15.75">
      <c r="A167" s="427"/>
      <c r="B167" s="377" t="s">
        <v>74</v>
      </c>
      <c r="C167" s="428">
        <v>0</v>
      </c>
      <c r="D167" s="382">
        <v>0</v>
      </c>
      <c r="E167" s="429">
        <v>0</v>
      </c>
      <c r="F167" s="426">
        <f t="shared" si="11"/>
        <v>0</v>
      </c>
      <c r="G167" s="374">
        <f t="shared" si="12"/>
        <v>0</v>
      </c>
      <c r="H167" s="381">
        <v>0</v>
      </c>
      <c r="I167" s="374">
        <f t="shared" si="13"/>
        <v>0</v>
      </c>
      <c r="J167" s="286"/>
      <c r="K167" s="286"/>
      <c r="L167" s="286"/>
    </row>
    <row r="168" spans="1:12" ht="16.5" thickBot="1">
      <c r="A168" s="59"/>
      <c r="B168" s="383" t="s">
        <v>74</v>
      </c>
      <c r="C168" s="431">
        <v>0</v>
      </c>
      <c r="D168" s="432">
        <v>0</v>
      </c>
      <c r="E168" s="433">
        <v>0</v>
      </c>
      <c r="F168" s="426">
        <f t="shared" si="11"/>
        <v>0</v>
      </c>
      <c r="G168" s="374">
        <f t="shared" si="12"/>
        <v>0</v>
      </c>
      <c r="H168" s="386">
        <v>0</v>
      </c>
      <c r="I168" s="374">
        <f t="shared" si="13"/>
        <v>0</v>
      </c>
      <c r="J168" s="286"/>
      <c r="K168" s="286"/>
      <c r="L168" s="286"/>
    </row>
    <row r="169" spans="1:12" ht="16.5" thickTop="1">
      <c r="A169" s="59"/>
      <c r="B169" s="64" t="s">
        <v>25</v>
      </c>
      <c r="C169" s="434">
        <f>SUM(C157:C168)</f>
        <v>57000</v>
      </c>
      <c r="D169" s="112"/>
      <c r="E169" s="434">
        <f>SUM(E157:E168)</f>
        <v>8350</v>
      </c>
      <c r="F169" s="434"/>
      <c r="G169" s="374"/>
      <c r="H169" s="286"/>
      <c r="I169" s="286"/>
      <c r="J169" s="286"/>
      <c r="K169" s="286"/>
      <c r="L169" s="286"/>
    </row>
    <row r="170" spans="1:12" ht="16.5" thickBot="1">
      <c r="A170" s="59"/>
      <c r="B170" s="59"/>
      <c r="C170" s="59"/>
      <c r="D170" s="59"/>
      <c r="E170" s="286"/>
      <c r="F170" s="414"/>
      <c r="G170" s="374"/>
      <c r="H170" s="286"/>
      <c r="I170" s="286"/>
      <c r="J170" s="286"/>
      <c r="K170" s="286"/>
      <c r="L170" s="286"/>
    </row>
    <row r="171" spans="1:12" ht="17.25" thickBot="1" thickTop="1">
      <c r="A171" s="59"/>
      <c r="B171" s="62" t="s">
        <v>150</v>
      </c>
      <c r="C171" s="59"/>
      <c r="D171" s="59"/>
      <c r="E171" s="286"/>
      <c r="F171" s="435">
        <f>((SUM(C157:C168)+SUM(E157:E168))/2)*($E$140-$E$142)</f>
        <v>1307.0000000000002</v>
      </c>
      <c r="G171" s="374">
        <f>F171/$G$9</f>
        <v>4.356666666666667</v>
      </c>
      <c r="H171" s="375">
        <v>0</v>
      </c>
      <c r="I171" s="374">
        <f>H171*G171</f>
        <v>0</v>
      </c>
      <c r="J171" s="286"/>
      <c r="K171" s="286"/>
      <c r="L171" s="286"/>
    </row>
    <row r="172" spans="1:12" ht="16.5" thickTop="1">
      <c r="A172" s="59"/>
      <c r="B172" s="62" t="s">
        <v>151</v>
      </c>
      <c r="C172" s="59"/>
      <c r="D172" s="59"/>
      <c r="E172" s="286"/>
      <c r="F172" s="389">
        <v>880</v>
      </c>
      <c r="G172" s="374">
        <f>F172/$G$9</f>
        <v>2.933333333333333</v>
      </c>
      <c r="H172" s="381">
        <v>0</v>
      </c>
      <c r="I172" s="374">
        <f>H172*G172</f>
        <v>0</v>
      </c>
      <c r="J172" s="286"/>
      <c r="K172" s="286"/>
      <c r="L172" s="286"/>
    </row>
    <row r="173" spans="1:12" ht="16.5" thickBot="1">
      <c r="A173" s="59"/>
      <c r="B173" s="62" t="s">
        <v>152</v>
      </c>
      <c r="C173" s="59"/>
      <c r="D173" s="59"/>
      <c r="E173" s="286"/>
      <c r="F173" s="436">
        <v>750</v>
      </c>
      <c r="G173" s="374">
        <f>F173/$G$9</f>
        <v>2.5</v>
      </c>
      <c r="H173" s="386">
        <v>0</v>
      </c>
      <c r="I173" s="374">
        <f>H173*G173</f>
        <v>0</v>
      </c>
      <c r="J173" s="286"/>
      <c r="K173" s="286"/>
      <c r="L173" s="286"/>
    </row>
    <row r="174" spans="1:12" ht="16.5" thickTop="1">
      <c r="A174" s="59"/>
      <c r="B174" s="59"/>
      <c r="C174" s="59"/>
      <c r="D174" s="59"/>
      <c r="E174" s="286"/>
      <c r="F174" s="373"/>
      <c r="G174" s="374"/>
      <c r="H174" s="286"/>
      <c r="I174" s="286"/>
      <c r="J174" s="286"/>
      <c r="K174" s="286"/>
      <c r="L174" s="286"/>
    </row>
    <row r="175" spans="1:12" ht="15.75">
      <c r="A175" s="188" t="s">
        <v>352</v>
      </c>
      <c r="B175" s="59"/>
      <c r="C175" s="59"/>
      <c r="D175" s="59"/>
      <c r="E175" s="286"/>
      <c r="F175" s="373"/>
      <c r="G175" s="374"/>
      <c r="H175" s="286"/>
      <c r="I175" s="286"/>
      <c r="J175" s="286"/>
      <c r="K175" s="286"/>
      <c r="L175" s="286"/>
    </row>
    <row r="176" spans="1:12" ht="15.75">
      <c r="A176" s="59"/>
      <c r="B176" s="59"/>
      <c r="C176" s="185" t="s">
        <v>130</v>
      </c>
      <c r="D176" s="185" t="s">
        <v>131</v>
      </c>
      <c r="E176" s="185" t="s">
        <v>132</v>
      </c>
      <c r="F176" s="185" t="s">
        <v>133</v>
      </c>
      <c r="G176" s="185" t="s">
        <v>54</v>
      </c>
      <c r="H176" s="185" t="s">
        <v>55</v>
      </c>
      <c r="I176" s="185" t="s">
        <v>55</v>
      </c>
      <c r="J176" s="286"/>
      <c r="K176" s="286"/>
      <c r="L176" s="286"/>
    </row>
    <row r="177" spans="1:12" ht="16.5" thickBot="1">
      <c r="A177" s="286"/>
      <c r="B177" s="62" t="s">
        <v>135</v>
      </c>
      <c r="C177" s="185" t="s">
        <v>136</v>
      </c>
      <c r="D177" s="185" t="s">
        <v>137</v>
      </c>
      <c r="E177" s="185" t="s">
        <v>54</v>
      </c>
      <c r="F177" s="280" t="s">
        <v>134</v>
      </c>
      <c r="G177" s="185" t="s">
        <v>29</v>
      </c>
      <c r="H177" s="185" t="s">
        <v>58</v>
      </c>
      <c r="I177" s="185" t="s">
        <v>59</v>
      </c>
      <c r="J177" s="286"/>
      <c r="K177" s="286"/>
      <c r="L177" s="286"/>
    </row>
    <row r="178" spans="1:12" ht="16.5" thickTop="1">
      <c r="A178" s="64" t="s">
        <v>134</v>
      </c>
      <c r="B178" s="369" t="s">
        <v>410</v>
      </c>
      <c r="C178" s="423">
        <f>25000</f>
        <v>25000</v>
      </c>
      <c r="D178" s="424">
        <v>25</v>
      </c>
      <c r="E178" s="425">
        <f>10000</f>
        <v>10000</v>
      </c>
      <c r="F178" s="426">
        <f aca="true" t="shared" si="14" ref="F178:F185">(C178-E178)/IF(D178=0,1,D178)</f>
        <v>600</v>
      </c>
      <c r="G178" s="374">
        <f aca="true" t="shared" si="15" ref="G178:G185">F178/$G$9</f>
        <v>2</v>
      </c>
      <c r="H178" s="375">
        <v>0</v>
      </c>
      <c r="I178" s="374">
        <f aca="true" t="shared" si="16" ref="I178:I185">H178*G178</f>
        <v>0</v>
      </c>
      <c r="J178" s="286"/>
      <c r="K178" s="286"/>
      <c r="L178" s="286"/>
    </row>
    <row r="179" spans="1:12" ht="15.75">
      <c r="A179" s="59"/>
      <c r="B179" s="377" t="s">
        <v>411</v>
      </c>
      <c r="C179" s="428">
        <v>10000</v>
      </c>
      <c r="D179" s="382">
        <v>25</v>
      </c>
      <c r="E179" s="429">
        <v>1000</v>
      </c>
      <c r="F179" s="426">
        <f t="shared" si="14"/>
        <v>360</v>
      </c>
      <c r="G179" s="374">
        <f t="shared" si="15"/>
        <v>1.2</v>
      </c>
      <c r="H179" s="381">
        <v>0</v>
      </c>
      <c r="I179" s="374">
        <f t="shared" si="16"/>
        <v>0</v>
      </c>
      <c r="J179" s="286"/>
      <c r="K179" s="286"/>
      <c r="L179" s="286"/>
    </row>
    <row r="180" spans="1:12" ht="15.75">
      <c r="A180" s="376" t="s">
        <v>292</v>
      </c>
      <c r="B180" s="377" t="s">
        <v>412</v>
      </c>
      <c r="C180" s="428">
        <v>10000</v>
      </c>
      <c r="D180" s="382">
        <v>25</v>
      </c>
      <c r="E180" s="429">
        <v>1000</v>
      </c>
      <c r="F180" s="426">
        <f t="shared" si="14"/>
        <v>360</v>
      </c>
      <c r="G180" s="374">
        <f t="shared" si="15"/>
        <v>1.2</v>
      </c>
      <c r="H180" s="381">
        <v>0</v>
      </c>
      <c r="I180" s="374">
        <f t="shared" si="16"/>
        <v>0</v>
      </c>
      <c r="J180" s="286"/>
      <c r="K180" s="286"/>
      <c r="L180" s="286"/>
    </row>
    <row r="181" spans="1:12" ht="15.75">
      <c r="A181" s="59"/>
      <c r="B181" s="377" t="s">
        <v>413</v>
      </c>
      <c r="C181" s="428">
        <v>500</v>
      </c>
      <c r="D181" s="382">
        <v>25</v>
      </c>
      <c r="E181" s="429">
        <v>0</v>
      </c>
      <c r="F181" s="426">
        <f t="shared" si="14"/>
        <v>20</v>
      </c>
      <c r="G181" s="374">
        <f t="shared" si="15"/>
        <v>0.06666666666666667</v>
      </c>
      <c r="H181" s="381">
        <v>0</v>
      </c>
      <c r="I181" s="374">
        <f t="shared" si="16"/>
        <v>0</v>
      </c>
      <c r="J181" s="286"/>
      <c r="K181" s="286"/>
      <c r="L181" s="286"/>
    </row>
    <row r="182" spans="1:12" ht="15.75">
      <c r="A182" s="59"/>
      <c r="B182" s="377" t="s">
        <v>448</v>
      </c>
      <c r="C182" s="428">
        <f>2000</f>
        <v>2000</v>
      </c>
      <c r="D182" s="382">
        <v>25</v>
      </c>
      <c r="E182" s="429">
        <v>0</v>
      </c>
      <c r="F182" s="426">
        <f t="shared" si="14"/>
        <v>80</v>
      </c>
      <c r="G182" s="374">
        <f t="shared" si="15"/>
        <v>0.26666666666666666</v>
      </c>
      <c r="H182" s="381">
        <v>0</v>
      </c>
      <c r="I182" s="374">
        <f t="shared" si="16"/>
        <v>0</v>
      </c>
      <c r="J182" s="286"/>
      <c r="K182" s="286"/>
      <c r="L182" s="286"/>
    </row>
    <row r="183" spans="1:12" ht="15.75">
      <c r="A183" s="59"/>
      <c r="B183" s="377" t="s">
        <v>414</v>
      </c>
      <c r="C183" s="428">
        <v>1500</v>
      </c>
      <c r="D183" s="382">
        <v>25</v>
      </c>
      <c r="E183" s="429">
        <v>0</v>
      </c>
      <c r="F183" s="426">
        <f t="shared" si="14"/>
        <v>60</v>
      </c>
      <c r="G183" s="374">
        <f t="shared" si="15"/>
        <v>0.2</v>
      </c>
      <c r="H183" s="381">
        <v>0</v>
      </c>
      <c r="I183" s="374">
        <f t="shared" si="16"/>
        <v>0</v>
      </c>
      <c r="J183" s="286"/>
      <c r="K183" s="286"/>
      <c r="L183" s="286"/>
    </row>
    <row r="184" spans="1:12" ht="15.75">
      <c r="A184" s="59"/>
      <c r="B184" s="377" t="s">
        <v>74</v>
      </c>
      <c r="C184" s="428">
        <v>0</v>
      </c>
      <c r="D184" s="382">
        <v>0</v>
      </c>
      <c r="E184" s="429">
        <v>0</v>
      </c>
      <c r="F184" s="426">
        <f t="shared" si="14"/>
        <v>0</v>
      </c>
      <c r="G184" s="374">
        <f t="shared" si="15"/>
        <v>0</v>
      </c>
      <c r="H184" s="381">
        <v>0</v>
      </c>
      <c r="I184" s="374">
        <f t="shared" si="16"/>
        <v>0</v>
      </c>
      <c r="J184" s="286"/>
      <c r="K184" s="286"/>
      <c r="L184" s="286"/>
    </row>
    <row r="185" spans="1:12" ht="16.5" thickBot="1">
      <c r="A185" s="59"/>
      <c r="B185" s="383" t="s">
        <v>74</v>
      </c>
      <c r="C185" s="431">
        <v>0</v>
      </c>
      <c r="D185" s="432">
        <v>0</v>
      </c>
      <c r="E185" s="433">
        <v>0</v>
      </c>
      <c r="F185" s="426">
        <f t="shared" si="14"/>
        <v>0</v>
      </c>
      <c r="G185" s="374">
        <f t="shared" si="15"/>
        <v>0</v>
      </c>
      <c r="H185" s="386">
        <v>0</v>
      </c>
      <c r="I185" s="374">
        <f t="shared" si="16"/>
        <v>0</v>
      </c>
      <c r="J185" s="286"/>
      <c r="K185" s="286"/>
      <c r="L185" s="286"/>
    </row>
    <row r="186" spans="1:12" ht="16.5" thickTop="1">
      <c r="A186" s="59"/>
      <c r="B186" s="64" t="s">
        <v>25</v>
      </c>
      <c r="C186" s="434">
        <f>SUM(C178:C185)</f>
        <v>49000</v>
      </c>
      <c r="D186" s="112"/>
      <c r="E186" s="434">
        <f>SUM(E178:E185)</f>
        <v>12000</v>
      </c>
      <c r="F186" s="414"/>
      <c r="G186" s="374"/>
      <c r="H186" s="286"/>
      <c r="I186" s="286"/>
      <c r="J186" s="286"/>
      <c r="K186" s="286"/>
      <c r="L186" s="286"/>
    </row>
    <row r="187" spans="1:12" ht="16.5" thickBot="1">
      <c r="A187" s="59"/>
      <c r="B187" s="59"/>
      <c r="C187" s="59"/>
      <c r="D187" s="59"/>
      <c r="E187" s="286"/>
      <c r="F187" s="414"/>
      <c r="G187" s="374"/>
      <c r="H187" s="286"/>
      <c r="I187" s="286"/>
      <c r="J187" s="286"/>
      <c r="K187" s="286"/>
      <c r="L187" s="286"/>
    </row>
    <row r="188" spans="1:12" ht="17.25" thickBot="1" thickTop="1">
      <c r="A188" s="59"/>
      <c r="B188" s="62" t="s">
        <v>150</v>
      </c>
      <c r="C188" s="59"/>
      <c r="D188" s="59"/>
      <c r="E188" s="286"/>
      <c r="F188" s="435">
        <f>((SUM(C178:C185)+SUM(E178:E185))/2)*($E$140-$E$142)</f>
        <v>1220.0000000000002</v>
      </c>
      <c r="G188" s="374">
        <f>F188/$G$9</f>
        <v>4.066666666666667</v>
      </c>
      <c r="H188" s="375">
        <v>0</v>
      </c>
      <c r="I188" s="374">
        <f>H188*G188</f>
        <v>0</v>
      </c>
      <c r="J188" s="286"/>
      <c r="K188" s="286"/>
      <c r="L188" s="286"/>
    </row>
    <row r="189" spans="1:12" ht="16.5" thickTop="1">
      <c r="A189" s="59"/>
      <c r="B189" s="62" t="s">
        <v>153</v>
      </c>
      <c r="C189" s="59"/>
      <c r="D189" s="59"/>
      <c r="E189" s="286"/>
      <c r="F189" s="389">
        <v>1500</v>
      </c>
      <c r="G189" s="374">
        <f>F189/$G$9</f>
        <v>5</v>
      </c>
      <c r="H189" s="381">
        <v>0</v>
      </c>
      <c r="I189" s="374">
        <f>H189*G189</f>
        <v>0</v>
      </c>
      <c r="J189" s="286"/>
      <c r="K189" s="286"/>
      <c r="L189" s="286"/>
    </row>
    <row r="190" spans="1:12" ht="16.5" thickBot="1">
      <c r="A190" s="59"/>
      <c r="B190" s="62" t="s">
        <v>152</v>
      </c>
      <c r="C190" s="59"/>
      <c r="D190" s="59"/>
      <c r="E190" s="286"/>
      <c r="F190" s="436">
        <v>800</v>
      </c>
      <c r="G190" s="374">
        <f>F190/$G$9</f>
        <v>2.6666666666666665</v>
      </c>
      <c r="H190" s="386">
        <v>0</v>
      </c>
      <c r="I190" s="374">
        <f>H190*G190</f>
        <v>0</v>
      </c>
      <c r="J190" s="286"/>
      <c r="K190" s="286"/>
      <c r="L190" s="286"/>
    </row>
    <row r="191" spans="1:12" ht="16.5" thickTop="1">
      <c r="A191" s="59"/>
      <c r="B191" s="59"/>
      <c r="C191" s="59"/>
      <c r="D191" s="59"/>
      <c r="E191" s="286"/>
      <c r="F191" s="373"/>
      <c r="G191" s="437" t="s">
        <v>20</v>
      </c>
      <c r="H191" s="286"/>
      <c r="I191" s="286"/>
      <c r="J191" s="286"/>
      <c r="K191" s="286"/>
      <c r="L191" s="286"/>
    </row>
    <row r="192" spans="1:12" ht="15.75">
      <c r="A192" s="188" t="s">
        <v>353</v>
      </c>
      <c r="B192" s="59"/>
      <c r="C192" s="59"/>
      <c r="D192" s="59"/>
      <c r="E192" s="286"/>
      <c r="F192" s="373"/>
      <c r="G192" s="437" t="s">
        <v>20</v>
      </c>
      <c r="H192" s="185" t="s">
        <v>55</v>
      </c>
      <c r="I192" s="185" t="s">
        <v>55</v>
      </c>
      <c r="J192" s="286"/>
      <c r="K192" s="286"/>
      <c r="L192" s="286"/>
    </row>
    <row r="193" spans="1:12" ht="16.5" thickBot="1">
      <c r="A193" s="59"/>
      <c r="B193" s="62" t="s">
        <v>154</v>
      </c>
      <c r="C193" s="62" t="s">
        <v>155</v>
      </c>
      <c r="D193" s="62" t="s">
        <v>156</v>
      </c>
      <c r="E193" s="62" t="s">
        <v>18</v>
      </c>
      <c r="F193" s="373"/>
      <c r="G193" s="374"/>
      <c r="H193" s="185" t="s">
        <v>58</v>
      </c>
      <c r="I193" s="185" t="s">
        <v>59</v>
      </c>
      <c r="J193" s="286"/>
      <c r="K193" s="286"/>
      <c r="L193" s="286"/>
    </row>
    <row r="194" spans="1:12" ht="17.25" thickBot="1" thickTop="1">
      <c r="A194" s="376" t="s">
        <v>292</v>
      </c>
      <c r="B194" s="369" t="s">
        <v>449</v>
      </c>
      <c r="C194" s="438">
        <v>1280</v>
      </c>
      <c r="D194" s="425">
        <v>125</v>
      </c>
      <c r="E194" s="426">
        <f aca="true" t="shared" si="17" ref="E194:E203">C194*D194</f>
        <v>160000</v>
      </c>
      <c r="F194" s="373"/>
      <c r="G194" s="374"/>
      <c r="H194" s="439">
        <v>0</v>
      </c>
      <c r="I194" s="374">
        <f aca="true" t="shared" si="18" ref="I194:I203">E194*H194*($E$140-$E$142)/$G$9</f>
        <v>0</v>
      </c>
      <c r="J194" s="286"/>
      <c r="K194" s="286"/>
      <c r="L194" s="286"/>
    </row>
    <row r="195" spans="1:12" ht="16.5" thickTop="1">
      <c r="A195" s="368"/>
      <c r="B195" s="377" t="s">
        <v>450</v>
      </c>
      <c r="C195" s="440">
        <v>1280</v>
      </c>
      <c r="D195" s="429">
        <v>125</v>
      </c>
      <c r="E195" s="426">
        <f t="shared" si="17"/>
        <v>160000</v>
      </c>
      <c r="F195" s="373"/>
      <c r="G195" s="374"/>
      <c r="H195" s="441">
        <v>0</v>
      </c>
      <c r="I195" s="374">
        <f t="shared" si="18"/>
        <v>0</v>
      </c>
      <c r="J195" s="286"/>
      <c r="K195" s="286"/>
      <c r="L195" s="286"/>
    </row>
    <row r="196" spans="1:12" ht="15.75">
      <c r="A196" s="368"/>
      <c r="B196" s="377" t="s">
        <v>415</v>
      </c>
      <c r="C196" s="440">
        <v>320</v>
      </c>
      <c r="D196" s="429">
        <v>200</v>
      </c>
      <c r="E196" s="426">
        <f t="shared" si="17"/>
        <v>64000</v>
      </c>
      <c r="F196" s="373"/>
      <c r="G196" s="374"/>
      <c r="H196" s="381">
        <v>0</v>
      </c>
      <c r="I196" s="374">
        <f t="shared" si="18"/>
        <v>0</v>
      </c>
      <c r="J196" s="286"/>
      <c r="K196" s="286"/>
      <c r="L196" s="286"/>
    </row>
    <row r="197" spans="1:12" ht="15.75">
      <c r="A197" s="368"/>
      <c r="B197" s="377" t="s">
        <v>451</v>
      </c>
      <c r="C197" s="440">
        <v>1455</v>
      </c>
      <c r="D197" s="429">
        <v>125</v>
      </c>
      <c r="E197" s="426">
        <f t="shared" si="17"/>
        <v>181875</v>
      </c>
      <c r="F197" s="373"/>
      <c r="G197" s="374"/>
      <c r="H197" s="381">
        <v>0</v>
      </c>
      <c r="I197" s="374">
        <f t="shared" si="18"/>
        <v>0</v>
      </c>
      <c r="J197" s="286"/>
      <c r="K197" s="286"/>
      <c r="L197" s="286"/>
    </row>
    <row r="198" spans="1:12" ht="15.75">
      <c r="A198" s="368"/>
      <c r="B198" s="377" t="s">
        <v>452</v>
      </c>
      <c r="C198" s="440">
        <v>800</v>
      </c>
      <c r="D198" s="429">
        <v>150</v>
      </c>
      <c r="E198" s="426">
        <f t="shared" si="17"/>
        <v>120000</v>
      </c>
      <c r="F198" s="373"/>
      <c r="G198" s="374"/>
      <c r="H198" s="381">
        <v>0</v>
      </c>
      <c r="I198" s="374">
        <f t="shared" si="18"/>
        <v>0</v>
      </c>
      <c r="J198" s="286"/>
      <c r="K198" s="286"/>
      <c r="L198" s="286"/>
    </row>
    <row r="199" spans="1:12" ht="15.75">
      <c r="A199" s="368"/>
      <c r="B199" s="442" t="s">
        <v>453</v>
      </c>
      <c r="C199" s="440">
        <v>1280</v>
      </c>
      <c r="D199" s="429">
        <v>150</v>
      </c>
      <c r="E199" s="426">
        <f t="shared" si="17"/>
        <v>192000</v>
      </c>
      <c r="F199" s="373"/>
      <c r="G199" s="374"/>
      <c r="H199" s="381">
        <v>0</v>
      </c>
      <c r="I199" s="374">
        <f t="shared" si="18"/>
        <v>0</v>
      </c>
      <c r="J199" s="286"/>
      <c r="K199" s="286"/>
      <c r="L199" s="286"/>
    </row>
    <row r="200" spans="1:12" ht="15.75">
      <c r="A200" s="368"/>
      <c r="B200" s="442" t="s">
        <v>416</v>
      </c>
      <c r="C200" s="440">
        <v>210</v>
      </c>
      <c r="D200" s="429">
        <v>200</v>
      </c>
      <c r="E200" s="426">
        <f t="shared" si="17"/>
        <v>42000</v>
      </c>
      <c r="F200" s="373"/>
      <c r="G200" s="374"/>
      <c r="H200" s="381">
        <v>0</v>
      </c>
      <c r="I200" s="374">
        <f t="shared" si="18"/>
        <v>0</v>
      </c>
      <c r="J200" s="286"/>
      <c r="K200" s="286"/>
      <c r="L200" s="286"/>
    </row>
    <row r="201" spans="1:12" ht="15.75">
      <c r="A201" s="368"/>
      <c r="B201" s="442"/>
      <c r="C201" s="440"/>
      <c r="D201" s="429"/>
      <c r="E201" s="426">
        <f t="shared" si="17"/>
        <v>0</v>
      </c>
      <c r="F201" s="373"/>
      <c r="G201" s="374"/>
      <c r="H201" s="381">
        <v>0</v>
      </c>
      <c r="I201" s="374">
        <f t="shared" si="18"/>
        <v>0</v>
      </c>
      <c r="J201" s="286"/>
      <c r="K201" s="286"/>
      <c r="L201" s="286"/>
    </row>
    <row r="202" spans="1:12" ht="15.75">
      <c r="A202" s="368"/>
      <c r="B202" s="442"/>
      <c r="C202" s="440"/>
      <c r="D202" s="429"/>
      <c r="E202" s="426">
        <f t="shared" si="17"/>
        <v>0</v>
      </c>
      <c r="F202" s="373"/>
      <c r="G202" s="374"/>
      <c r="H202" s="381">
        <v>0</v>
      </c>
      <c r="I202" s="374">
        <f t="shared" si="18"/>
        <v>0</v>
      </c>
      <c r="J202" s="286"/>
      <c r="K202" s="286"/>
      <c r="L202" s="286"/>
    </row>
    <row r="203" spans="1:12" ht="16.5" thickBot="1">
      <c r="A203" s="368"/>
      <c r="B203" s="443"/>
      <c r="C203" s="444"/>
      <c r="D203" s="433"/>
      <c r="E203" s="426">
        <f t="shared" si="17"/>
        <v>0</v>
      </c>
      <c r="F203" s="373"/>
      <c r="G203" s="374"/>
      <c r="H203" s="386">
        <v>0</v>
      </c>
      <c r="I203" s="374">
        <f t="shared" si="18"/>
        <v>0</v>
      </c>
      <c r="J203" s="286"/>
      <c r="K203" s="286"/>
      <c r="L203" s="286"/>
    </row>
    <row r="204" spans="1:12" ht="17.25" thickBot="1" thickTop="1">
      <c r="A204" s="387"/>
      <c r="B204" s="364"/>
      <c r="C204" s="364"/>
      <c r="D204" s="62" t="s">
        <v>31</v>
      </c>
      <c r="E204" s="434">
        <f>SUM(E194:E203)</f>
        <v>919875</v>
      </c>
      <c r="F204" s="373"/>
      <c r="G204" s="374"/>
      <c r="H204" s="59"/>
      <c r="I204" s="59"/>
      <c r="J204" s="286"/>
      <c r="K204" s="286"/>
      <c r="L204" s="286"/>
    </row>
    <row r="205" spans="1:12" ht="17.25" thickBot="1" thickTop="1">
      <c r="A205" s="387"/>
      <c r="B205" s="62" t="s">
        <v>150</v>
      </c>
      <c r="C205" s="59"/>
      <c r="D205" s="59"/>
      <c r="E205" s="286"/>
      <c r="F205" s="435">
        <f>E204*(E140-E142)</f>
        <v>36795.00000000001</v>
      </c>
      <c r="G205" s="374">
        <f>F205/$G$9</f>
        <v>122.65000000000002</v>
      </c>
      <c r="H205" s="375">
        <v>0</v>
      </c>
      <c r="I205" s="374">
        <f>H205*G205</f>
        <v>0</v>
      </c>
      <c r="J205" s="286"/>
      <c r="K205" s="286"/>
      <c r="L205" s="286"/>
    </row>
    <row r="206" spans="1:12" ht="17.25" thickBot="1" thickTop="1">
      <c r="A206" s="445"/>
      <c r="B206" s="62" t="s">
        <v>169</v>
      </c>
      <c r="C206" s="59"/>
      <c r="D206" s="59"/>
      <c r="E206" s="286"/>
      <c r="F206" s="446">
        <v>3450</v>
      </c>
      <c r="G206" s="374">
        <f>F206/$G$9</f>
        <v>11.5</v>
      </c>
      <c r="H206" s="386">
        <v>0</v>
      </c>
      <c r="I206" s="374">
        <f>H206*G206</f>
        <v>0</v>
      </c>
      <c r="J206" s="286"/>
      <c r="K206" s="286"/>
      <c r="L206" s="286"/>
    </row>
    <row r="207" spans="1:12" ht="16.5" thickTop="1">
      <c r="A207" s="59"/>
      <c r="B207" s="59" t="s">
        <v>459</v>
      </c>
      <c r="C207" s="59"/>
      <c r="D207" s="59"/>
      <c r="E207" s="286"/>
      <c r="F207" s="373"/>
      <c r="G207" s="437" t="s">
        <v>20</v>
      </c>
      <c r="H207" s="286"/>
      <c r="I207" s="286"/>
      <c r="J207" s="286"/>
      <c r="K207" s="286"/>
      <c r="L207" s="286"/>
    </row>
    <row r="208" spans="1:12" ht="15.75">
      <c r="A208" s="286"/>
      <c r="B208" s="59"/>
      <c r="C208" s="59"/>
      <c r="D208" s="59"/>
      <c r="E208" s="286"/>
      <c r="F208" s="373"/>
      <c r="G208" s="437" t="s">
        <v>20</v>
      </c>
      <c r="H208" s="286"/>
      <c r="I208" s="286"/>
      <c r="J208" s="286"/>
      <c r="K208" s="286"/>
      <c r="L208" s="286"/>
    </row>
    <row r="209" spans="1:12" ht="15.75">
      <c r="A209" s="188" t="s">
        <v>170</v>
      </c>
      <c r="B209" s="59"/>
      <c r="C209" s="59"/>
      <c r="D209" s="59"/>
      <c r="E209" s="286"/>
      <c r="F209" s="373"/>
      <c r="G209" s="374"/>
      <c r="H209" s="286"/>
      <c r="I209" s="286"/>
      <c r="J209" s="286"/>
      <c r="K209" s="286"/>
      <c r="L209" s="286"/>
    </row>
    <row r="210" spans="1:12" ht="15.75">
      <c r="A210" s="59"/>
      <c r="B210" s="59"/>
      <c r="C210" s="185" t="s">
        <v>130</v>
      </c>
      <c r="D210" s="185" t="s">
        <v>131</v>
      </c>
      <c r="E210" s="185" t="s">
        <v>395</v>
      </c>
      <c r="F210" s="185" t="s">
        <v>133</v>
      </c>
      <c r="G210" s="185" t="s">
        <v>54</v>
      </c>
      <c r="H210" s="185" t="s">
        <v>55</v>
      </c>
      <c r="I210" s="185" t="s">
        <v>55</v>
      </c>
      <c r="J210" s="286"/>
      <c r="K210" s="286"/>
      <c r="L210" s="286"/>
    </row>
    <row r="211" spans="1:12" ht="16.5" thickBot="1">
      <c r="A211" s="62" t="s">
        <v>396</v>
      </c>
      <c r="B211" s="62"/>
      <c r="C211" s="185" t="s">
        <v>136</v>
      </c>
      <c r="D211" s="185" t="s">
        <v>137</v>
      </c>
      <c r="E211" s="185" t="s">
        <v>54</v>
      </c>
      <c r="F211" s="280" t="s">
        <v>134</v>
      </c>
      <c r="G211" s="185" t="s">
        <v>29</v>
      </c>
      <c r="H211" s="185" t="s">
        <v>58</v>
      </c>
      <c r="I211" s="185" t="s">
        <v>59</v>
      </c>
      <c r="J211" s="286"/>
      <c r="K211" s="286"/>
      <c r="L211" s="286"/>
    </row>
    <row r="212" spans="1:12" ht="16.5" thickTop="1">
      <c r="A212" s="661" t="s">
        <v>535</v>
      </c>
      <c r="B212" s="447" t="s">
        <v>171</v>
      </c>
      <c r="C212" s="448">
        <f>G27*G28</f>
        <v>49000</v>
      </c>
      <c r="D212" s="424">
        <v>3</v>
      </c>
      <c r="E212" s="449">
        <f>G27*G28*0.25</f>
        <v>12250</v>
      </c>
      <c r="F212" s="450">
        <f>IF(D212=0,0,((C212-E212)/D212))</f>
        <v>12250</v>
      </c>
      <c r="G212" s="374">
        <f>F212/$G$9</f>
        <v>40.833333333333336</v>
      </c>
      <c r="H212" s="375">
        <v>1</v>
      </c>
      <c r="I212" s="374">
        <f>H212*G212</f>
        <v>40.833333333333336</v>
      </c>
      <c r="J212" s="286"/>
      <c r="K212" s="286"/>
      <c r="L212" s="286"/>
    </row>
    <row r="213" spans="1:12" ht="14.25" customHeight="1">
      <c r="A213" s="661"/>
      <c r="B213" s="451" t="s">
        <v>172</v>
      </c>
      <c r="C213" s="452">
        <f>G9*G29</f>
        <v>270000</v>
      </c>
      <c r="D213" s="453">
        <v>0</v>
      </c>
      <c r="E213" s="454">
        <v>270000</v>
      </c>
      <c r="F213" s="450">
        <f>IF(D213=0,0,((C213-E213)/D213))</f>
        <v>0</v>
      </c>
      <c r="G213" s="374">
        <f>F213/$G$9</f>
        <v>0</v>
      </c>
      <c r="H213" s="455">
        <v>1</v>
      </c>
      <c r="I213" s="374">
        <f>H213*G213</f>
        <v>0</v>
      </c>
      <c r="J213" s="286"/>
      <c r="K213" s="286"/>
      <c r="L213" s="286"/>
    </row>
    <row r="214" spans="1:12" ht="16.5" thickBot="1">
      <c r="A214" s="368"/>
      <c r="B214" s="383" t="s">
        <v>377</v>
      </c>
      <c r="C214" s="431">
        <v>0</v>
      </c>
      <c r="D214" s="432">
        <v>0</v>
      </c>
      <c r="E214" s="433">
        <v>0</v>
      </c>
      <c r="F214" s="450">
        <f>IF(D214=0,0,((C214-E214)/D214))</f>
        <v>0</v>
      </c>
      <c r="G214" s="374">
        <f>F214/$G$9</f>
        <v>0</v>
      </c>
      <c r="H214" s="386">
        <v>0</v>
      </c>
      <c r="I214" s="374">
        <f>H214*G214</f>
        <v>0</v>
      </c>
      <c r="J214" s="286"/>
      <c r="K214" s="286"/>
      <c r="L214" s="286"/>
    </row>
    <row r="215" spans="1:12" ht="16.5" thickTop="1">
      <c r="A215" s="387"/>
      <c r="B215" s="64" t="s">
        <v>25</v>
      </c>
      <c r="C215" s="434">
        <f>SUM(C212:C214)</f>
        <v>319000</v>
      </c>
      <c r="D215" s="112"/>
      <c r="E215" s="434">
        <f>SUM(E212:E214)</f>
        <v>282250</v>
      </c>
      <c r="F215" s="414"/>
      <c r="G215" s="374"/>
      <c r="H215" s="286"/>
      <c r="I215" s="286"/>
      <c r="J215" s="286"/>
      <c r="K215" s="286"/>
      <c r="L215" s="286"/>
    </row>
    <row r="216" spans="1:12" ht="16.5" thickBot="1">
      <c r="A216" s="387"/>
      <c r="B216" s="59"/>
      <c r="C216" s="112"/>
      <c r="D216" s="112"/>
      <c r="E216" s="182"/>
      <c r="F216" s="414"/>
      <c r="G216" s="374"/>
      <c r="H216" s="286"/>
      <c r="I216" s="286"/>
      <c r="J216" s="286"/>
      <c r="K216" s="286"/>
      <c r="L216" s="286"/>
    </row>
    <row r="217" spans="1:12" ht="17.25" thickBot="1" thickTop="1">
      <c r="A217" s="387"/>
      <c r="B217" s="62" t="s">
        <v>150</v>
      </c>
      <c r="C217" s="59"/>
      <c r="D217" s="59"/>
      <c r="E217" s="286"/>
      <c r="F217" s="435">
        <f>SUM(C212:C214)*($E$140-$E$142)</f>
        <v>12760.000000000002</v>
      </c>
      <c r="G217" s="374">
        <f>F217/$G$9</f>
        <v>42.53333333333334</v>
      </c>
      <c r="H217" s="375">
        <v>1</v>
      </c>
      <c r="I217" s="374">
        <f>H217*G217</f>
        <v>42.53333333333334</v>
      </c>
      <c r="J217" s="286"/>
      <c r="K217" s="286"/>
      <c r="L217" s="286"/>
    </row>
    <row r="218" spans="1:12" ht="17.25" thickBot="1" thickTop="1">
      <c r="A218" s="286"/>
      <c r="B218" s="62" t="s">
        <v>173</v>
      </c>
      <c r="C218" s="59"/>
      <c r="D218" s="59"/>
      <c r="E218" s="286"/>
      <c r="F218" s="446">
        <v>450</v>
      </c>
      <c r="G218" s="374">
        <f>F218/$G$9</f>
        <v>1.5</v>
      </c>
      <c r="H218" s="386">
        <v>0</v>
      </c>
      <c r="I218" s="374">
        <f>H218*G218</f>
        <v>0</v>
      </c>
      <c r="J218" s="286"/>
      <c r="K218" s="286"/>
      <c r="L218" s="286"/>
    </row>
    <row r="219" spans="1:12" ht="16.5" thickTop="1">
      <c r="A219" s="286"/>
      <c r="B219" s="59"/>
      <c r="C219" s="59"/>
      <c r="D219" s="59"/>
      <c r="E219" s="286"/>
      <c r="F219" s="373"/>
      <c r="G219" s="437" t="s">
        <v>20</v>
      </c>
      <c r="H219" s="286"/>
      <c r="I219" s="286"/>
      <c r="J219" s="286"/>
      <c r="K219" s="286"/>
      <c r="L219" s="286"/>
    </row>
    <row r="220" spans="1:12" ht="15.75">
      <c r="A220" s="59"/>
      <c r="B220" s="59"/>
      <c r="C220" s="59"/>
      <c r="D220" s="59"/>
      <c r="E220" s="286"/>
      <c r="F220" s="373"/>
      <c r="G220" s="374"/>
      <c r="H220" s="185" t="s">
        <v>55</v>
      </c>
      <c r="I220" s="185" t="s">
        <v>174</v>
      </c>
      <c r="J220" s="286"/>
      <c r="K220" s="286"/>
      <c r="L220" s="286"/>
    </row>
    <row r="221" spans="1:12" ht="15.75">
      <c r="A221" s="78" t="s">
        <v>175</v>
      </c>
      <c r="B221" s="409"/>
      <c r="C221" s="409"/>
      <c r="D221" s="409"/>
      <c r="E221" s="410"/>
      <c r="F221" s="411">
        <f>SUM(F156:F218)</f>
        <v>80587</v>
      </c>
      <c r="G221" s="412">
        <f>F221/$G$9</f>
        <v>268.62333333333333</v>
      </c>
      <c r="H221" s="185" t="s">
        <v>176</v>
      </c>
      <c r="I221" s="185" t="s">
        <v>177</v>
      </c>
      <c r="J221" s="286"/>
      <c r="K221" s="286"/>
      <c r="L221" s="286"/>
    </row>
    <row r="222" spans="1:12" ht="15.75">
      <c r="A222" s="456"/>
      <c r="B222" s="457" t="s">
        <v>178</v>
      </c>
      <c r="C222" s="458"/>
      <c r="D222" s="459"/>
      <c r="E222" s="459"/>
      <c r="F222" s="460">
        <f>F221+F145</f>
        <v>177126.625</v>
      </c>
      <c r="G222" s="461">
        <f>F222/$G$9</f>
        <v>590.4220833333334</v>
      </c>
      <c r="H222" s="185" t="s">
        <v>179</v>
      </c>
      <c r="I222" s="185" t="s">
        <v>179</v>
      </c>
      <c r="J222" s="286"/>
      <c r="K222" s="286"/>
      <c r="L222" s="286"/>
    </row>
    <row r="223" spans="1:12" ht="15.75">
      <c r="A223" s="62" t="s">
        <v>536</v>
      </c>
      <c r="B223" s="286"/>
      <c r="C223" s="286"/>
      <c r="D223" s="286"/>
      <c r="E223" s="286"/>
      <c r="F223" s="462">
        <f>$H$53-$F$222-$H$51</f>
        <v>4569.375</v>
      </c>
      <c r="G223" s="463">
        <f>$F$223/$G$9</f>
        <v>15.23125</v>
      </c>
      <c r="H223" s="464">
        <f>SUM(I157:I218)</f>
        <v>83.36666666666667</v>
      </c>
      <c r="I223" s="465">
        <f>G221-H223</f>
        <v>185.25666666666666</v>
      </c>
      <c r="J223" s="286"/>
      <c r="K223" s="286"/>
      <c r="L223" s="286"/>
    </row>
    <row r="224" spans="1:12" ht="15.75">
      <c r="A224" s="62" t="s">
        <v>537</v>
      </c>
      <c r="B224" s="59"/>
      <c r="C224" s="59"/>
      <c r="D224" s="59"/>
      <c r="E224" s="286"/>
      <c r="F224" s="462">
        <f>$H$53-$F$222</f>
        <v>24391.375</v>
      </c>
      <c r="G224" s="463">
        <f>$F$224/$G$9</f>
        <v>81.30458333333333</v>
      </c>
      <c r="H224" s="286"/>
      <c r="I224" s="466"/>
      <c r="J224" s="466"/>
      <c r="K224" s="286"/>
      <c r="L224" s="286"/>
    </row>
    <row r="225" spans="1:12" ht="15.75">
      <c r="A225" s="62"/>
      <c r="B225" s="59"/>
      <c r="C225" s="59"/>
      <c r="D225" s="59"/>
      <c r="E225" s="286"/>
      <c r="F225" s="286"/>
      <c r="G225" s="286"/>
      <c r="H225" s="286"/>
      <c r="I225" s="466"/>
      <c r="J225" s="466"/>
      <c r="K225" s="286"/>
      <c r="L225" s="286"/>
    </row>
    <row r="226" spans="1:12" ht="78.75">
      <c r="A226" s="467"/>
      <c r="B226" s="286"/>
      <c r="C226" s="286"/>
      <c r="D226" s="468" t="s">
        <v>324</v>
      </c>
      <c r="E226" s="469"/>
      <c r="F226" s="662" t="s">
        <v>358</v>
      </c>
      <c r="G226" s="662" t="s">
        <v>359</v>
      </c>
      <c r="I226" s="466"/>
      <c r="J226" s="466"/>
      <c r="K226" s="286"/>
      <c r="L226" s="286"/>
    </row>
    <row r="227" spans="1:12" ht="15.75">
      <c r="A227" s="62" t="s">
        <v>319</v>
      </c>
      <c r="B227" s="286"/>
      <c r="C227" s="286"/>
      <c r="D227" s="470">
        <f>(H148+H223)/G222</f>
        <v>0.14119842231510932</v>
      </c>
      <c r="E227" s="469"/>
      <c r="F227" s="663"/>
      <c r="G227" s="663"/>
      <c r="I227" s="466"/>
      <c r="J227" s="466"/>
      <c r="K227" s="286"/>
      <c r="L227" s="286"/>
    </row>
    <row r="228" spans="1:12" ht="15.75">
      <c r="A228" s="62" t="s">
        <v>320</v>
      </c>
      <c r="B228" s="286"/>
      <c r="C228" s="286"/>
      <c r="D228" s="470">
        <f>(I148+I223)/G222</f>
        <v>0.8588015776848906</v>
      </c>
      <c r="E228" s="469"/>
      <c r="F228" s="663"/>
      <c r="G228" s="663"/>
      <c r="I228" s="466"/>
      <c r="J228" s="466"/>
      <c r="K228" s="286"/>
      <c r="L228" s="286"/>
    </row>
    <row r="229" spans="1:12" ht="15.75">
      <c r="A229" s="286"/>
      <c r="B229" s="286"/>
      <c r="C229" s="62" t="s">
        <v>356</v>
      </c>
      <c r="D229" s="471">
        <f>SUM(D227:D228)</f>
        <v>1</v>
      </c>
      <c r="F229" s="664"/>
      <c r="G229" s="664"/>
      <c r="I229" s="466"/>
      <c r="J229" s="466"/>
      <c r="K229" s="286"/>
      <c r="L229" s="286"/>
    </row>
    <row r="230" spans="1:12" ht="15.75">
      <c r="A230" s="681" t="s">
        <v>293</v>
      </c>
      <c r="B230" s="681"/>
      <c r="C230" s="681"/>
      <c r="D230" s="59"/>
      <c r="E230" s="286"/>
      <c r="F230" s="472">
        <f>(($E$33*$I$33/$I$42)+($E$34*$I$34/$I$42))*100</f>
        <v>123.16848281642918</v>
      </c>
      <c r="G230" s="473">
        <f>($I$33+$I$34)/($C$33+$C$34)</f>
        <v>590.5940594059406</v>
      </c>
      <c r="I230" s="466"/>
      <c r="J230" s="466"/>
      <c r="K230" s="286"/>
      <c r="L230" s="286"/>
    </row>
    <row r="231" spans="1:12" ht="15.75">
      <c r="A231" s="62"/>
      <c r="B231" s="59"/>
      <c r="C231" s="59"/>
      <c r="D231" s="59"/>
      <c r="E231" s="286"/>
      <c r="F231" s="286"/>
      <c r="G231" s="286"/>
      <c r="H231" s="286"/>
      <c r="I231" s="466"/>
      <c r="J231" s="466"/>
      <c r="K231" s="286"/>
      <c r="L231" s="286"/>
    </row>
    <row r="232" spans="1:12" ht="15.75">
      <c r="A232" s="62"/>
      <c r="B232" s="59"/>
      <c r="C232" s="59"/>
      <c r="D232" s="59"/>
      <c r="E232" s="286"/>
      <c r="F232" s="286"/>
      <c r="G232" s="286"/>
      <c r="H232" s="286"/>
      <c r="I232" s="466"/>
      <c r="J232" s="466"/>
      <c r="K232" s="286"/>
      <c r="L232" s="286"/>
    </row>
    <row r="233" spans="1:12" ht="15.75">
      <c r="A233" s="474" t="s">
        <v>354</v>
      </c>
      <c r="B233" s="474"/>
      <c r="C233" s="474"/>
      <c r="D233" s="474"/>
      <c r="E233" s="474"/>
      <c r="F233" s="474"/>
      <c r="G233" s="474"/>
      <c r="H233" s="475"/>
      <c r="I233" s="286"/>
      <c r="J233" s="466"/>
      <c r="K233" s="286"/>
      <c r="L233" s="286"/>
    </row>
    <row r="234" spans="1:12" s="476" customFormat="1" ht="12.75" customHeight="1">
      <c r="A234" s="283" t="s">
        <v>425</v>
      </c>
      <c r="B234" s="475"/>
      <c r="C234" s="475"/>
      <c r="D234" s="475"/>
      <c r="E234" s="475"/>
      <c r="F234" s="475"/>
      <c r="G234" s="475"/>
      <c r="H234" s="475"/>
      <c r="I234" s="182"/>
      <c r="J234" s="466"/>
      <c r="K234" s="182"/>
      <c r="L234" s="182"/>
    </row>
    <row r="235" spans="1:12" s="476" customFormat="1" ht="12.75" customHeight="1">
      <c r="A235" s="283" t="s">
        <v>426</v>
      </c>
      <c r="B235" s="475"/>
      <c r="C235" s="475"/>
      <c r="D235" s="475"/>
      <c r="E235" s="475"/>
      <c r="F235" s="475"/>
      <c r="G235" s="475"/>
      <c r="H235" s="475"/>
      <c r="I235" s="182"/>
      <c r="J235" s="466"/>
      <c r="K235" s="182"/>
      <c r="L235" s="182"/>
    </row>
    <row r="236" spans="1:12" ht="12.75" customHeight="1">
      <c r="A236" s="283" t="s">
        <v>427</v>
      </c>
      <c r="B236" s="283"/>
      <c r="C236" s="283"/>
      <c r="D236" s="283"/>
      <c r="E236" s="291"/>
      <c r="F236" s="468"/>
      <c r="G236" s="468"/>
      <c r="I236" s="286"/>
      <c r="J236" s="466"/>
      <c r="K236" s="286"/>
      <c r="L236" s="286"/>
    </row>
    <row r="237" spans="1:12" ht="12.75" customHeight="1">
      <c r="A237" s="283" t="s">
        <v>428</v>
      </c>
      <c r="B237" s="283"/>
      <c r="C237" s="283"/>
      <c r="D237" s="283"/>
      <c r="E237" s="477"/>
      <c r="F237" s="477"/>
      <c r="G237" s="477"/>
      <c r="I237" s="286"/>
      <c r="J237" s="466"/>
      <c r="K237" s="286"/>
      <c r="L237" s="286"/>
    </row>
    <row r="238" spans="2:12" ht="16.5" thickBot="1">
      <c r="B238" s="283"/>
      <c r="C238" s="291" t="s">
        <v>419</v>
      </c>
      <c r="D238" s="283"/>
      <c r="E238" s="477"/>
      <c r="F238" s="477"/>
      <c r="G238" s="477" t="s">
        <v>463</v>
      </c>
      <c r="I238" s="286"/>
      <c r="J238" s="466"/>
      <c r="K238" s="286"/>
      <c r="L238" s="286"/>
    </row>
    <row r="239" spans="1:12" ht="17.25" thickBot="1" thickTop="1">
      <c r="A239" s="283" t="s">
        <v>417</v>
      </c>
      <c r="B239" s="283"/>
      <c r="C239" s="478" t="s">
        <v>460</v>
      </c>
      <c r="D239" s="292"/>
      <c r="E239" s="477"/>
      <c r="F239" s="292" t="s">
        <v>435</v>
      </c>
      <c r="G239" s="479" t="s">
        <v>462</v>
      </c>
      <c r="I239" s="286"/>
      <c r="J239" s="466"/>
      <c r="K239" s="286"/>
      <c r="L239" s="286"/>
    </row>
    <row r="240" spans="1:12" ht="17.25" thickBot="1" thickTop="1">
      <c r="A240" s="480" t="s">
        <v>418</v>
      </c>
      <c r="B240" s="283"/>
      <c r="C240" s="478" t="s">
        <v>460</v>
      </c>
      <c r="E240" s="292"/>
      <c r="F240" s="292" t="s">
        <v>435</v>
      </c>
      <c r="G240" s="479" t="s">
        <v>461</v>
      </c>
      <c r="H240" s="477"/>
      <c r="I240" s="286"/>
      <c r="J240" s="466"/>
      <c r="K240" s="286"/>
      <c r="L240" s="286"/>
    </row>
    <row r="241" spans="1:9" ht="16.5" thickTop="1">
      <c r="A241" s="481" t="s">
        <v>538</v>
      </c>
      <c r="B241" s="283"/>
      <c r="C241" s="283"/>
      <c r="D241" s="283"/>
      <c r="E241" s="292"/>
      <c r="F241" s="482" t="s">
        <v>441</v>
      </c>
      <c r="G241" s="477"/>
      <c r="H241" s="477"/>
      <c r="I241" s="286"/>
    </row>
    <row r="242" spans="1:9" ht="15.75">
      <c r="A242" s="481"/>
      <c r="B242" s="283"/>
      <c r="C242" s="283"/>
      <c r="D242" s="283"/>
      <c r="E242" s="292"/>
      <c r="F242" s="482"/>
      <c r="G242" s="477"/>
      <c r="H242" s="477"/>
      <c r="I242" s="286"/>
    </row>
    <row r="243" spans="1:7" ht="47.25" customHeight="1">
      <c r="A243" s="283"/>
      <c r="B243" s="483"/>
      <c r="C243" s="293"/>
      <c r="D243" s="434"/>
      <c r="E243" s="414"/>
      <c r="F243" s="660" t="s">
        <v>376</v>
      </c>
      <c r="G243" s="660"/>
    </row>
    <row r="244" spans="1:12" ht="15.75">
      <c r="A244" s="361" t="s">
        <v>378</v>
      </c>
      <c r="B244" s="197"/>
      <c r="C244" s="197"/>
      <c r="D244" s="197"/>
      <c r="E244" s="197"/>
      <c r="F244" s="677" t="s">
        <v>360</v>
      </c>
      <c r="G244" s="678"/>
      <c r="J244" s="484"/>
      <c r="K244" s="485"/>
      <c r="L244" s="469"/>
    </row>
    <row r="245" spans="1:12" ht="15.75">
      <c r="A245" s="197"/>
      <c r="B245" s="197"/>
      <c r="C245" s="197"/>
      <c r="D245" s="197"/>
      <c r="E245" s="197"/>
      <c r="F245" s="486" t="s">
        <v>363</v>
      </c>
      <c r="G245" s="486" t="s">
        <v>323</v>
      </c>
      <c r="J245" s="484"/>
      <c r="K245" s="485"/>
      <c r="L245" s="469"/>
    </row>
    <row r="246" spans="1:12" ht="18.75" customHeight="1">
      <c r="A246" s="669" t="s">
        <v>464</v>
      </c>
      <c r="B246" s="669"/>
      <c r="C246" s="669"/>
      <c r="D246" s="689" t="s">
        <v>371</v>
      </c>
      <c r="E246" s="690"/>
      <c r="F246" s="487" t="s">
        <v>367</v>
      </c>
      <c r="G246" s="487" t="s">
        <v>365</v>
      </c>
      <c r="J246" s="484"/>
      <c r="K246" s="485"/>
      <c r="L246" s="469"/>
    </row>
    <row r="247" spans="1:11" ht="18.75" customHeight="1">
      <c r="A247" s="197"/>
      <c r="B247" s="197"/>
      <c r="C247" s="197"/>
      <c r="D247" s="691"/>
      <c r="E247" s="692"/>
      <c r="F247" s="487" t="s">
        <v>368</v>
      </c>
      <c r="G247" s="487" t="s">
        <v>366</v>
      </c>
      <c r="J247" s="488"/>
      <c r="K247" s="489"/>
    </row>
    <row r="248" spans="1:11" ht="15.75">
      <c r="A248" s="286"/>
      <c r="B248" s="286"/>
      <c r="C248" s="286"/>
      <c r="D248" s="677" t="s">
        <v>360</v>
      </c>
      <c r="E248" s="678"/>
      <c r="F248" s="490" t="s">
        <v>369</v>
      </c>
      <c r="G248" s="491" t="s">
        <v>364</v>
      </c>
      <c r="J248" s="492"/>
      <c r="K248" s="493"/>
    </row>
    <row r="249" spans="1:11" ht="16.5" thickBot="1">
      <c r="A249" s="494" t="s">
        <v>389</v>
      </c>
      <c r="B249" s="495"/>
      <c r="C249" s="496"/>
      <c r="D249" s="497" t="s">
        <v>31</v>
      </c>
      <c r="E249" s="498" t="s">
        <v>530</v>
      </c>
      <c r="F249" s="499">
        <f>D227</f>
        <v>0.14119842231510932</v>
      </c>
      <c r="G249" s="500">
        <f>D228</f>
        <v>0.8588015776848906</v>
      </c>
      <c r="J249" s="492"/>
      <c r="K249" s="493"/>
    </row>
    <row r="250" spans="1:11" ht="15.75">
      <c r="A250" s="283" t="s">
        <v>338</v>
      </c>
      <c r="B250" s="283"/>
      <c r="C250" s="283"/>
      <c r="D250" s="501">
        <f>$H$33</f>
        <v>94500</v>
      </c>
      <c r="E250" s="502">
        <f aca="true" t="shared" si="19" ref="E250:E256">D250/$G$9</f>
        <v>315</v>
      </c>
      <c r="F250" s="501">
        <f>$F$249*D250</f>
        <v>13343.25090877783</v>
      </c>
      <c r="G250" s="501">
        <f>$G$249*D250</f>
        <v>81156.74909122217</v>
      </c>
      <c r="J250" s="492"/>
      <c r="K250" s="493"/>
    </row>
    <row r="251" spans="1:11" ht="15.75">
      <c r="A251" s="283" t="s">
        <v>339</v>
      </c>
      <c r="B251" s="283"/>
      <c r="C251" s="283"/>
      <c r="D251" s="503">
        <f>$H$34</f>
        <v>52440</v>
      </c>
      <c r="E251" s="504">
        <f t="shared" si="19"/>
        <v>174.8</v>
      </c>
      <c r="F251" s="503">
        <f>$F$249*D251</f>
        <v>7404.445266204332</v>
      </c>
      <c r="G251" s="503">
        <f>$G$249*D251</f>
        <v>45035.55473379567</v>
      </c>
      <c r="J251" s="492"/>
      <c r="K251" s="493"/>
    </row>
    <row r="252" spans="1:11" ht="15.75">
      <c r="A252" s="674" t="s">
        <v>340</v>
      </c>
      <c r="B252" s="674"/>
      <c r="C252" s="675"/>
      <c r="D252" s="503">
        <f>$H$37</f>
        <v>25000</v>
      </c>
      <c r="E252" s="504">
        <f t="shared" si="19"/>
        <v>83.33333333333333</v>
      </c>
      <c r="F252" s="505">
        <f>IF($C$239="y",$D$252*$D$227,IF($G$239="o",$D$252,0))</f>
        <v>3529.9605578777328</v>
      </c>
      <c r="G252" s="505">
        <f>IF($C$239="y",$D$252*$D$228,IF($G$239="t",$D$252,0))</f>
        <v>21470.039442122266</v>
      </c>
      <c r="J252" s="492"/>
      <c r="K252" s="493"/>
    </row>
    <row r="253" spans="1:11" ht="15.75">
      <c r="A253" s="283" t="s">
        <v>342</v>
      </c>
      <c r="B253" s="283"/>
      <c r="C253" s="283"/>
      <c r="D253" s="503">
        <f>$H$38</f>
        <v>5795.999999999998</v>
      </c>
      <c r="E253" s="504">
        <f t="shared" si="19"/>
        <v>19.319999999999993</v>
      </c>
      <c r="F253" s="503">
        <f>$F$249*D253</f>
        <v>818.3860557383733</v>
      </c>
      <c r="G253" s="506">
        <f>$G$249*D253</f>
        <v>4977.613944261625</v>
      </c>
      <c r="J253" s="507"/>
      <c r="K253" s="493"/>
    </row>
    <row r="254" spans="1:11" ht="15.75">
      <c r="A254" s="674" t="s">
        <v>341</v>
      </c>
      <c r="B254" s="674"/>
      <c r="C254" s="675"/>
      <c r="D254" s="503">
        <f>$H$39</f>
        <v>3960.0000000000005</v>
      </c>
      <c r="E254" s="504">
        <f t="shared" si="19"/>
        <v>13.200000000000001</v>
      </c>
      <c r="F254" s="505">
        <f>IF($C$240="y",$D$254*$D$227,IF($G$240="o",$D$254,0))</f>
        <v>559.145752367833</v>
      </c>
      <c r="G254" s="505">
        <f>IF($C$240="y",$D$254*$D$228,IF($G$240="t",$D$254,0))</f>
        <v>3400.8542476321672</v>
      </c>
      <c r="J254" s="492"/>
      <c r="K254" s="508"/>
    </row>
    <row r="255" spans="1:11" ht="16.5" thickBot="1">
      <c r="A255" s="283" t="s">
        <v>393</v>
      </c>
      <c r="B255" s="283"/>
      <c r="C255" s="283"/>
      <c r="D255" s="509">
        <f>$H$40</f>
        <v>0</v>
      </c>
      <c r="E255" s="510">
        <f t="shared" si="19"/>
        <v>0</v>
      </c>
      <c r="F255" s="509">
        <f>$F$249*D255</f>
        <v>0</v>
      </c>
      <c r="G255" s="511">
        <f>$G$249*D255</f>
        <v>0</v>
      </c>
      <c r="J255" s="492"/>
      <c r="K255" s="508"/>
    </row>
    <row r="256" spans="1:11" ht="16.5" thickTop="1">
      <c r="A256" s="283"/>
      <c r="B256" s="283"/>
      <c r="C256" s="292" t="s">
        <v>355</v>
      </c>
      <c r="D256" s="512">
        <f>SUM(D250:D255)</f>
        <v>181696</v>
      </c>
      <c r="E256" s="513">
        <f t="shared" si="19"/>
        <v>605.6533333333333</v>
      </c>
      <c r="F256" s="514">
        <f>SUM(F250:F255)</f>
        <v>25655.188540966104</v>
      </c>
      <c r="G256" s="514">
        <f>SUM(G250:G255)</f>
        <v>156040.8114590339</v>
      </c>
      <c r="J256" s="484"/>
      <c r="K256" s="484"/>
    </row>
    <row r="257" spans="1:11" ht="15.75">
      <c r="A257" s="670" t="s">
        <v>372</v>
      </c>
      <c r="B257" s="670"/>
      <c r="C257" s="671"/>
      <c r="D257" s="515">
        <f>$H$51</f>
        <v>19822</v>
      </c>
      <c r="E257" s="516">
        <f>$H$51/$G$9</f>
        <v>66.07333333333334</v>
      </c>
      <c r="F257" s="505">
        <f>IF($C$239="y",$D$257*$D$227,IF($G$239="o",$D$257,0))</f>
        <v>2798.8351271300967</v>
      </c>
      <c r="G257" s="505">
        <f>IF($C$239="y",$D$257*$D$228,IF($G$239="t",$D$257,0))</f>
        <v>17023.164872869904</v>
      </c>
      <c r="J257" s="484"/>
      <c r="K257" s="484"/>
    </row>
    <row r="258" spans="1:11" ht="16.5" thickBot="1">
      <c r="A258" s="670" t="s">
        <v>180</v>
      </c>
      <c r="B258" s="670"/>
      <c r="C258" s="671"/>
      <c r="D258" s="517">
        <f>$H$52</f>
        <v>0</v>
      </c>
      <c r="E258" s="518">
        <f>$H$52/$G$9</f>
        <v>0</v>
      </c>
      <c r="F258" s="519">
        <f>IF($C$239="N",$D$258,$D$258*$D$227)</f>
        <v>0</v>
      </c>
      <c r="G258" s="519">
        <f>IF($C$239="N",0,$D$258*$D$228)</f>
        <v>0</v>
      </c>
      <c r="J258" s="484"/>
      <c r="K258" s="484"/>
    </row>
    <row r="259" spans="1:11" ht="17.25" thickBot="1" thickTop="1">
      <c r="A259" s="483" t="s">
        <v>531</v>
      </c>
      <c r="B259" s="182"/>
      <c r="C259" s="182"/>
      <c r="D259" s="520">
        <f>SUM(D256:D258)</f>
        <v>201518</v>
      </c>
      <c r="E259" s="521">
        <f>$I$53</f>
        <v>671.7266666666667</v>
      </c>
      <c r="F259" s="522">
        <f>SUM(F256:F258)</f>
        <v>28454.0236680962</v>
      </c>
      <c r="G259" s="523">
        <f>SUM(G256:G258)</f>
        <v>173063.9763319038</v>
      </c>
      <c r="J259" s="484"/>
      <c r="K259" s="484"/>
    </row>
    <row r="260" spans="1:11" ht="17.25" thickBot="1" thickTop="1">
      <c r="A260" s="483"/>
      <c r="B260" s="672" t="s">
        <v>420</v>
      </c>
      <c r="C260" s="673"/>
      <c r="D260" s="524"/>
      <c r="E260" s="525"/>
      <c r="F260" s="526">
        <f>F259/D259</f>
        <v>0.14119842231510932</v>
      </c>
      <c r="G260" s="527">
        <f>G259/D259</f>
        <v>0.8588015776848907</v>
      </c>
      <c r="J260" s="488"/>
      <c r="K260" s="488"/>
    </row>
    <row r="261" spans="1:11" ht="15.75">
      <c r="A261" s="483"/>
      <c r="B261" s="182"/>
      <c r="C261" s="528"/>
      <c r="D261" s="529"/>
      <c r="E261" s="530"/>
      <c r="F261" s="531"/>
      <c r="G261" s="531"/>
      <c r="J261" s="532"/>
      <c r="K261" s="533"/>
    </row>
    <row r="262" spans="1:11" ht="15.75">
      <c r="A262" s="483" t="s">
        <v>387</v>
      </c>
      <c r="B262" s="182"/>
      <c r="C262" s="528"/>
      <c r="D262" s="677" t="s">
        <v>360</v>
      </c>
      <c r="E262" s="678"/>
      <c r="F262" s="677" t="s">
        <v>360</v>
      </c>
      <c r="G262" s="678"/>
      <c r="J262" s="532"/>
      <c r="K262" s="533"/>
    </row>
    <row r="263" spans="1:11" ht="15.75">
      <c r="A263" s="483" t="s">
        <v>379</v>
      </c>
      <c r="B263" s="182"/>
      <c r="C263" s="528"/>
      <c r="D263" s="534">
        <f>$F$101</f>
        <v>83700</v>
      </c>
      <c r="E263" s="535">
        <f>$G$101</f>
        <v>279.00000000000006</v>
      </c>
      <c r="F263" s="503">
        <f>$I$101*$G$9</f>
        <v>0</v>
      </c>
      <c r="G263" s="503">
        <f>D263-F263</f>
        <v>83700</v>
      </c>
      <c r="J263" s="532"/>
      <c r="K263" s="533"/>
    </row>
    <row r="264" spans="1:11" ht="15.75">
      <c r="A264" s="483" t="s">
        <v>380</v>
      </c>
      <c r="B264" s="182"/>
      <c r="C264" s="528"/>
      <c r="D264" s="534">
        <f>SUM($F$104:$F$117)</f>
        <v>4675</v>
      </c>
      <c r="E264" s="535">
        <f>SUM($G$104:$G$117)</f>
        <v>15.583333333333332</v>
      </c>
      <c r="F264" s="534">
        <f>SUM($I$104:$I$117)*$G$9</f>
        <v>0</v>
      </c>
      <c r="G264" s="503">
        <f>D264-F264</f>
        <v>4675</v>
      </c>
      <c r="J264" s="532"/>
      <c r="K264" s="533"/>
    </row>
    <row r="265" spans="1:11" ht="15.75">
      <c r="A265" s="483" t="s">
        <v>381</v>
      </c>
      <c r="B265" s="182"/>
      <c r="C265" s="528"/>
      <c r="D265" s="534">
        <f>SUM($F$119:$F$133)</f>
        <v>4900</v>
      </c>
      <c r="E265" s="535">
        <f>SUM($G$119:$G$133)</f>
        <v>16.333333333333332</v>
      </c>
      <c r="F265" s="534">
        <f>SUM($I$119:$I$133)*$G$9</f>
        <v>0</v>
      </c>
      <c r="G265" s="503">
        <f>D265-F265</f>
        <v>4900</v>
      </c>
      <c r="J265" s="492"/>
      <c r="K265" s="467"/>
    </row>
    <row r="266" spans="1:11" ht="16.5" thickBot="1">
      <c r="A266" s="483" t="s">
        <v>382</v>
      </c>
      <c r="B266" s="182"/>
      <c r="C266" s="528"/>
      <c r="D266" s="536">
        <f>$F$143</f>
        <v>3264.6250000000005</v>
      </c>
      <c r="E266" s="537">
        <f>G143</f>
        <v>10.882083333333334</v>
      </c>
      <c r="F266" s="536">
        <f>$I$143*$G$9</f>
        <v>0</v>
      </c>
      <c r="G266" s="509">
        <f>D266-F266</f>
        <v>3264.6250000000005</v>
      </c>
      <c r="J266" s="492"/>
      <c r="K266" s="467"/>
    </row>
    <row r="267" spans="1:11" ht="16.5" thickTop="1">
      <c r="A267" s="62" t="s">
        <v>361</v>
      </c>
      <c r="B267" s="59"/>
      <c r="C267" s="59"/>
      <c r="D267" s="538">
        <f>F145</f>
        <v>96539.625</v>
      </c>
      <c r="E267" s="539">
        <f>G145</f>
        <v>321.79875</v>
      </c>
      <c r="F267" s="540">
        <f>SUM(F263:F266)</f>
        <v>0</v>
      </c>
      <c r="G267" s="541">
        <f>SUM(G263:G266)</f>
        <v>96539.625</v>
      </c>
      <c r="J267" s="492"/>
      <c r="K267" s="467"/>
    </row>
    <row r="268" spans="1:11" ht="15.75">
      <c r="A268" s="59"/>
      <c r="B268" s="62" t="s">
        <v>370</v>
      </c>
      <c r="C268" s="59"/>
      <c r="D268" s="503">
        <f>F146</f>
        <v>85156.375</v>
      </c>
      <c r="E268" s="542">
        <f>G146</f>
        <v>283.8545833333333</v>
      </c>
      <c r="F268" s="543">
        <f>F259-F267</f>
        <v>28454.0236680962</v>
      </c>
      <c r="G268" s="543">
        <f>G259-G267</f>
        <v>76524.3513319038</v>
      </c>
      <c r="J268" s="492"/>
      <c r="K268" s="467"/>
    </row>
    <row r="269" spans="1:11" ht="15.75">
      <c r="A269" s="59" t="s">
        <v>383</v>
      </c>
      <c r="B269" s="62"/>
      <c r="C269" s="59"/>
      <c r="D269" s="503"/>
      <c r="E269" s="542"/>
      <c r="F269" s="543"/>
      <c r="G269" s="543"/>
      <c r="J269" s="484"/>
      <c r="K269" s="484"/>
    </row>
    <row r="270" spans="1:11" ht="15.75">
      <c r="A270" s="59" t="s">
        <v>384</v>
      </c>
      <c r="B270" s="62"/>
      <c r="C270" s="59"/>
      <c r="D270" s="503">
        <f>SUM($F$157:$F$168)+SUM($F$178:$F$185)+$F$212+$F$213+$F$214</f>
        <v>20675</v>
      </c>
      <c r="E270" s="542">
        <f>SUM(G157:G168)+SUM(G178:G185)+G212+G213+G214</f>
        <v>68.91666666666667</v>
      </c>
      <c r="F270" s="503">
        <f>(SUM($I$157:$I$168)+SUM($I$178:$I$185)+$I$212+$I$213+$I$214)*$G$9</f>
        <v>12250</v>
      </c>
      <c r="G270" s="543">
        <f>D270-F270</f>
        <v>8425</v>
      </c>
      <c r="J270" s="488"/>
      <c r="K270" s="488"/>
    </row>
    <row r="271" spans="1:11" ht="15.75">
      <c r="A271" s="59" t="s">
        <v>385</v>
      </c>
      <c r="B271" s="62"/>
      <c r="C271" s="59"/>
      <c r="D271" s="503">
        <f>$F$173+$F$190</f>
        <v>1550</v>
      </c>
      <c r="E271" s="542">
        <f>$G$173+$G$190</f>
        <v>5.166666666666666</v>
      </c>
      <c r="F271" s="543">
        <f>($I$173+$I$190)*$G$9</f>
        <v>0</v>
      </c>
      <c r="G271" s="543">
        <f>D271-F271</f>
        <v>1550</v>
      </c>
      <c r="J271" s="532"/>
      <c r="K271" s="533"/>
    </row>
    <row r="272" spans="1:11" ht="15.75">
      <c r="A272" s="59" t="s">
        <v>386</v>
      </c>
      <c r="B272" s="62"/>
      <c r="C272" s="59"/>
      <c r="D272" s="503">
        <f>$F$172+$F$189+$F$206+$F$218</f>
        <v>6280</v>
      </c>
      <c r="E272" s="542">
        <f>$G$172+$G$189+$G$206+$G$218</f>
        <v>20.933333333333334</v>
      </c>
      <c r="F272" s="503">
        <f>($I$172+$I$189+$I$206+$I$218)*$G$9</f>
        <v>0</v>
      </c>
      <c r="G272" s="543">
        <f>D272-F272</f>
        <v>6280</v>
      </c>
      <c r="J272" s="532"/>
      <c r="K272" s="533"/>
    </row>
    <row r="273" spans="1:11" ht="16.5" thickBot="1">
      <c r="A273" s="59" t="s">
        <v>388</v>
      </c>
      <c r="B273" s="62"/>
      <c r="C273" s="59"/>
      <c r="D273" s="509">
        <f>$F$171+$F$188+$F$205+$F$217</f>
        <v>52082.00000000001</v>
      </c>
      <c r="E273" s="544">
        <f>G171+G188+G205+G217</f>
        <v>173.60666666666668</v>
      </c>
      <c r="F273" s="509">
        <f>(I171+I188+I205+I217)*$G$9</f>
        <v>12760.000000000002</v>
      </c>
      <c r="G273" s="545">
        <f>D273-F273</f>
        <v>39322.00000000001</v>
      </c>
      <c r="J273" s="532"/>
      <c r="K273" s="533"/>
    </row>
    <row r="274" spans="1:11" ht="16.5" thickTop="1">
      <c r="A274" s="62" t="s">
        <v>175</v>
      </c>
      <c r="B274" s="364"/>
      <c r="C274" s="286"/>
      <c r="D274" s="515">
        <f>F221</f>
        <v>80587</v>
      </c>
      <c r="E274" s="516">
        <f>G221</f>
        <v>268.62333333333333</v>
      </c>
      <c r="F274" s="546">
        <f>F221*(H223/G221)</f>
        <v>25010</v>
      </c>
      <c r="G274" s="547">
        <f>F221*(I223/G221)</f>
        <v>55577</v>
      </c>
      <c r="J274" s="492"/>
      <c r="K274" s="467"/>
    </row>
    <row r="275" spans="1:11" ht="15.75">
      <c r="A275" s="62" t="s">
        <v>362</v>
      </c>
      <c r="B275" s="59"/>
      <c r="C275" s="286"/>
      <c r="D275" s="515">
        <f>F222</f>
        <v>177126.625</v>
      </c>
      <c r="E275" s="516">
        <f>G222</f>
        <v>590.4220833333334</v>
      </c>
      <c r="F275" s="546">
        <f>(I101+I135+I143+SUM(I157:I219))*G9</f>
        <v>25010.000000000004</v>
      </c>
      <c r="G275" s="547">
        <f>G267+G274</f>
        <v>152116.625</v>
      </c>
      <c r="J275" s="492"/>
      <c r="K275" s="467"/>
    </row>
    <row r="276" spans="1:11" ht="15.75">
      <c r="A276" s="62"/>
      <c r="B276" s="59"/>
      <c r="C276" s="286"/>
      <c r="D276" s="515"/>
      <c r="E276" s="516"/>
      <c r="F276" s="477"/>
      <c r="G276" s="548"/>
      <c r="J276" s="484"/>
      <c r="K276" s="484"/>
    </row>
    <row r="277" spans="1:7" ht="15.75">
      <c r="A277" s="62" t="s">
        <v>373</v>
      </c>
      <c r="B277" s="59"/>
      <c r="C277" s="286"/>
      <c r="D277" s="549">
        <f>D259-D275</f>
        <v>24391.375</v>
      </c>
      <c r="E277" s="550">
        <f>G224</f>
        <v>81.30458333333333</v>
      </c>
      <c r="F277" s="551">
        <f>F259-F275</f>
        <v>3444.023668096197</v>
      </c>
      <c r="G277" s="552">
        <f>G259-G275</f>
        <v>20947.351331903803</v>
      </c>
    </row>
    <row r="278" spans="1:7" ht="15.75">
      <c r="A278" s="62"/>
      <c r="B278" s="59"/>
      <c r="C278" s="469"/>
      <c r="D278" s="492"/>
      <c r="E278" s="553"/>
      <c r="F278" s="554"/>
      <c r="G278" s="477"/>
    </row>
    <row r="279" spans="1:7" ht="15.75">
      <c r="A279" s="62"/>
      <c r="B279" s="59"/>
      <c r="C279" s="469"/>
      <c r="D279" s="492"/>
      <c r="E279" s="553"/>
      <c r="F279" s="554"/>
      <c r="G279" s="477"/>
    </row>
    <row r="280" spans="2:7" ht="15.75">
      <c r="B280" s="59"/>
      <c r="C280" s="469"/>
      <c r="D280" s="492"/>
      <c r="E280" s="553"/>
      <c r="F280" s="554"/>
      <c r="G280" s="477"/>
    </row>
    <row r="281" spans="1:12" ht="15.75">
      <c r="A281" s="361"/>
      <c r="B281" s="59"/>
      <c r="C281" s="469"/>
      <c r="D281" s="492"/>
      <c r="E281" s="553"/>
      <c r="F281" s="554"/>
      <c r="G281" s="553"/>
      <c r="H281" s="554"/>
      <c r="I281" s="477"/>
      <c r="J281" s="555"/>
      <c r="K281" s="556"/>
      <c r="L281" s="286"/>
    </row>
    <row r="282" spans="1:12" ht="15.75">
      <c r="A282" s="62"/>
      <c r="B282" s="59"/>
      <c r="C282" s="508"/>
      <c r="D282" s="492"/>
      <c r="E282" s="658" t="s">
        <v>429</v>
      </c>
      <c r="F282" s="658"/>
      <c r="G282" s="469"/>
      <c r="H282" s="658" t="s">
        <v>429</v>
      </c>
      <c r="I282" s="658"/>
      <c r="J282" s="466"/>
      <c r="K282" s="286"/>
      <c r="L282" s="286"/>
    </row>
    <row r="283" spans="1:12" ht="16.5" thickBot="1">
      <c r="A283" s="286"/>
      <c r="B283" s="59"/>
      <c r="C283" s="286"/>
      <c r="D283" s="59"/>
      <c r="E283" s="199" t="s">
        <v>390</v>
      </c>
      <c r="F283" s="200"/>
      <c r="G283" s="59"/>
      <c r="H283" s="199" t="s">
        <v>391</v>
      </c>
      <c r="I283" s="200"/>
      <c r="J283" s="466"/>
      <c r="K283" s="286"/>
      <c r="L283" s="286"/>
    </row>
    <row r="284" spans="1:12" ht="15.75">
      <c r="A284" s="286"/>
      <c r="B284" s="59"/>
      <c r="C284" s="59"/>
      <c r="D284" s="59"/>
      <c r="E284" s="557" t="s">
        <v>343</v>
      </c>
      <c r="F284" s="185" t="s">
        <v>344</v>
      </c>
      <c r="G284" s="286"/>
      <c r="H284" s="557" t="s">
        <v>343</v>
      </c>
      <c r="I284" s="185" t="s">
        <v>344</v>
      </c>
      <c r="J284" s="466"/>
      <c r="K284" s="286"/>
      <c r="L284" s="286"/>
    </row>
    <row r="285" spans="1:12" ht="15.75">
      <c r="A285" s="286"/>
      <c r="B285" s="59"/>
      <c r="C285" s="59"/>
      <c r="D285" s="59"/>
      <c r="E285" s="557" t="s">
        <v>182</v>
      </c>
      <c r="F285" s="185" t="s">
        <v>183</v>
      </c>
      <c r="G285" s="286"/>
      <c r="H285" s="557" t="s">
        <v>182</v>
      </c>
      <c r="I285" s="185" t="s">
        <v>183</v>
      </c>
      <c r="J285" s="466"/>
      <c r="K285" s="286"/>
      <c r="L285" s="286"/>
    </row>
    <row r="286" spans="1:12" ht="16.5" thickBot="1">
      <c r="A286" s="286"/>
      <c r="B286" s="59"/>
      <c r="C286" s="59"/>
      <c r="D286" s="59"/>
      <c r="E286" s="558" t="s">
        <v>184</v>
      </c>
      <c r="F286" s="559" t="s">
        <v>184</v>
      </c>
      <c r="G286" s="286"/>
      <c r="H286" s="558" t="s">
        <v>184</v>
      </c>
      <c r="I286" s="559" t="s">
        <v>184</v>
      </c>
      <c r="J286" s="466"/>
      <c r="K286" s="286"/>
      <c r="L286" s="286"/>
    </row>
    <row r="287" spans="1:12" ht="15.75">
      <c r="A287" s="670" t="s">
        <v>532</v>
      </c>
      <c r="B287" s="670"/>
      <c r="C287" s="670"/>
      <c r="D287" s="670"/>
      <c r="E287" s="560">
        <f>$F$145/(($C$33+$C$34)*$G$230*$F$230)*100</f>
        <v>0.6570003062474479</v>
      </c>
      <c r="F287" s="561">
        <f>$F$222/(($C$33+$C$34)*$F$230*$G$230)*100</f>
        <v>1.2054350415135429</v>
      </c>
      <c r="G287" s="286"/>
      <c r="H287" s="560">
        <f>($F$145-SUM($H$37:$H$40))/(($C$33+$C$34)*$G$230*$F$230)*100</f>
        <v>0.420468388457874</v>
      </c>
      <c r="I287" s="561">
        <f>($F$222-SUM($H$37:$H$40))/(($C$33+$C$34)*$F$230*$G$230)*100</f>
        <v>0.9689031237239689</v>
      </c>
      <c r="J287" s="466"/>
      <c r="K287" s="286"/>
      <c r="L287" s="286"/>
    </row>
    <row r="288" spans="1:12" ht="15.75">
      <c r="A288" s="670" t="s">
        <v>185</v>
      </c>
      <c r="B288" s="670"/>
      <c r="C288" s="670"/>
      <c r="D288" s="670"/>
      <c r="E288" s="562">
        <f>$F$145/(($C$33+$C$34)*$F$230)*100</f>
        <v>388.0204778976264</v>
      </c>
      <c r="F288" s="563">
        <f>$F$222/(($C$33+$C$34)*$F$230)*100</f>
        <v>711.9227745176518</v>
      </c>
      <c r="G288" s="286"/>
      <c r="H288" s="562">
        <f>($F$145-SUM($H$37:$H$40))/(($C$33+$C$34)*$F$230)*100</f>
        <v>248.32613239120968</v>
      </c>
      <c r="I288" s="563">
        <f>($F$222-SUM($H$37:$H$40))/(($C$33+$C$34)*$F$230)*100</f>
        <v>572.2284290112351</v>
      </c>
      <c r="J288" s="466"/>
      <c r="K288" s="286"/>
      <c r="L288" s="286"/>
    </row>
    <row r="289" spans="1:12" ht="15.75">
      <c r="A289" s="670" t="s">
        <v>186</v>
      </c>
      <c r="B289" s="670"/>
      <c r="C289" s="670"/>
      <c r="D289" s="670"/>
      <c r="E289" s="564">
        <f>$F$145/(($C$33+$C$34)*$G$230)*100</f>
        <v>80.92173093042749</v>
      </c>
      <c r="F289" s="281">
        <f>$F$222/(($C$33+$C$34)*$G$230)*100</f>
        <v>148.47160519698238</v>
      </c>
      <c r="G289" s="286"/>
      <c r="H289" s="564">
        <f>($F$145-SUM($H$37:$H$40))/(($C$33+$C$34)*$G$230)*100</f>
        <v>51.78845347862532</v>
      </c>
      <c r="I289" s="281">
        <f>($F$222-SUM($H$37:$H$40))/(($C$33+$C$34)*$G$230)*100</f>
        <v>119.33832774518022</v>
      </c>
      <c r="J289" s="466"/>
      <c r="K289" s="286"/>
      <c r="L289" s="286"/>
    </row>
    <row r="290" spans="1:12" ht="15.75">
      <c r="A290" s="286"/>
      <c r="B290" s="286"/>
      <c r="C290" s="286"/>
      <c r="D290" s="286"/>
      <c r="E290" s="286"/>
      <c r="F290" s="286"/>
      <c r="G290" s="286"/>
      <c r="H290" s="286"/>
      <c r="I290" s="286"/>
      <c r="J290" s="466"/>
      <c r="K290" s="286"/>
      <c r="L290" s="286"/>
    </row>
    <row r="291" spans="1:12" ht="15.75">
      <c r="A291" s="286"/>
      <c r="B291" s="286"/>
      <c r="C291" s="286"/>
      <c r="D291" s="286"/>
      <c r="E291" s="286"/>
      <c r="F291" s="286"/>
      <c r="G291" s="286"/>
      <c r="H291" s="286"/>
      <c r="I291" s="286"/>
      <c r="J291" s="466"/>
      <c r="K291" s="286"/>
      <c r="L291" s="286"/>
    </row>
    <row r="292" spans="1:12" ht="15.75">
      <c r="A292" s="676" t="s">
        <v>187</v>
      </c>
      <c r="B292" s="676"/>
      <c r="C292" s="676"/>
      <c r="D292" s="676"/>
      <c r="E292" s="676"/>
      <c r="F292" s="676"/>
      <c r="G292" s="676"/>
      <c r="H292" s="286"/>
      <c r="I292" s="286"/>
      <c r="J292" s="466"/>
      <c r="K292" s="286"/>
      <c r="L292" s="286"/>
    </row>
    <row r="293" spans="1:12" ht="15.75">
      <c r="A293" s="286"/>
      <c r="B293" s="286"/>
      <c r="C293" s="668" t="s">
        <v>465</v>
      </c>
      <c r="D293" s="668"/>
      <c r="E293" s="668"/>
      <c r="F293" s="668"/>
      <c r="G293" s="668"/>
      <c r="H293" s="286"/>
      <c r="I293" s="286"/>
      <c r="J293" s="466"/>
      <c r="K293" s="286"/>
      <c r="L293" s="286"/>
    </row>
    <row r="294" spans="1:12" ht="16.5" thickBot="1">
      <c r="A294" s="286"/>
      <c r="B294" s="286"/>
      <c r="C294" s="667" t="s">
        <v>188</v>
      </c>
      <c r="D294" s="667"/>
      <c r="E294" s="667"/>
      <c r="F294" s="667"/>
      <c r="G294" s="667"/>
      <c r="H294" s="286"/>
      <c r="I294" s="286"/>
      <c r="J294" s="466"/>
      <c r="K294" s="286"/>
      <c r="L294" s="286"/>
    </row>
    <row r="295" spans="1:12" ht="16.5" thickBot="1">
      <c r="A295" s="565" t="s">
        <v>394</v>
      </c>
      <c r="B295" s="566"/>
      <c r="C295" s="567">
        <f>E295-20</f>
        <v>570.5940594059406</v>
      </c>
      <c r="D295" s="567">
        <f>E295-10</f>
        <v>580.5940594059406</v>
      </c>
      <c r="E295" s="567">
        <f>G230</f>
        <v>590.5940594059406</v>
      </c>
      <c r="F295" s="567">
        <f>E295+10</f>
        <v>600.5940594059406</v>
      </c>
      <c r="G295" s="567">
        <f>E295+20</f>
        <v>610.5940594059406</v>
      </c>
      <c r="H295" s="286"/>
      <c r="I295" s="286"/>
      <c r="J295" s="466"/>
      <c r="K295" s="286"/>
      <c r="L295" s="286"/>
    </row>
    <row r="296" spans="1:12" ht="15.75">
      <c r="A296" s="363" t="s">
        <v>430</v>
      </c>
      <c r="B296" s="286"/>
      <c r="C296" s="415">
        <f>($F$145-SUM($H$37:$H$40))/(($C$33+$C$34)*C295)*100</f>
        <v>53.603700329689396</v>
      </c>
      <c r="D296" s="415">
        <f>($F$145-SUM($H$37:$H$40))/(($C$33+$C$34)*D295)*100</f>
        <v>52.68044423601636</v>
      </c>
      <c r="E296" s="415">
        <f>($F$145-SUM($H$37:$H$40))/(($C$33+$C$34)*E295)*100</f>
        <v>51.78845347862532</v>
      </c>
      <c r="F296" s="415">
        <f>($F$145-SUM($H$37:$H$40))/(($C$33+$C$34)*F295)*100</f>
        <v>50.92616633696011</v>
      </c>
      <c r="G296" s="415">
        <f>($F$145-SUM($H$37:$H$40))/(($C$33+$C$34)*G295)*100</f>
        <v>50.0921233987352</v>
      </c>
      <c r="H296" s="286"/>
      <c r="I296" s="286"/>
      <c r="J296" s="466"/>
      <c r="K296" s="286"/>
      <c r="L296" s="286"/>
    </row>
    <row r="297" spans="1:12" ht="15.75">
      <c r="A297" s="363" t="s">
        <v>431</v>
      </c>
      <c r="B297" s="286"/>
      <c r="C297" s="415">
        <f>($F$222-SUM($H$37:$H$40))/(($C$33+$C$34)*C295)*100</f>
        <v>123.52127798021864</v>
      </c>
      <c r="D297" s="415">
        <f>($F$222-SUM($H$37:$H$40))/(($C$33+$C$34)*D295)*100</f>
        <v>121.39377984311051</v>
      </c>
      <c r="E297" s="415">
        <f>($F$222-SUM($H$37:$H$40))/(($C$33+$C$34)*E295)*100</f>
        <v>119.33832774518022</v>
      </c>
      <c r="F297" s="415">
        <f>($F$222-SUM($H$37:$H$40))/(($C$33+$C$34)*F295)*100</f>
        <v>117.35132294757666</v>
      </c>
      <c r="G297" s="415">
        <f>($F$222-SUM($H$37:$H$40))/(($C$33+$C$34)*G295)*100</f>
        <v>115.42940246473164</v>
      </c>
      <c r="H297" s="286"/>
      <c r="I297" s="286"/>
      <c r="J297" s="466"/>
      <c r="K297" s="286"/>
      <c r="L297" s="286"/>
    </row>
    <row r="298" spans="1:12" ht="15.75">
      <c r="A298" s="286"/>
      <c r="B298" s="286"/>
      <c r="C298" s="286"/>
      <c r="D298" s="286"/>
      <c r="E298" s="286"/>
      <c r="F298" s="286"/>
      <c r="G298" s="286"/>
      <c r="H298" s="286"/>
      <c r="I298" s="286"/>
      <c r="J298" s="466"/>
      <c r="K298" s="286"/>
      <c r="L298" s="286"/>
    </row>
    <row r="299" spans="1:12" ht="15.75">
      <c r="A299" s="286"/>
      <c r="B299" s="286"/>
      <c r="C299" s="286"/>
      <c r="D299" s="286"/>
      <c r="E299" s="286"/>
      <c r="F299" s="286"/>
      <c r="G299" s="286"/>
      <c r="H299" s="286"/>
      <c r="I299" s="286"/>
      <c r="J299" s="466"/>
      <c r="K299" s="286"/>
      <c r="L299" s="286"/>
    </row>
    <row r="300" spans="1:12" ht="15.75">
      <c r="A300" s="286"/>
      <c r="B300" s="286"/>
      <c r="C300" s="568"/>
      <c r="D300" s="569" t="s">
        <v>539</v>
      </c>
      <c r="E300" s="570"/>
      <c r="F300" s="570"/>
      <c r="G300" s="570"/>
      <c r="H300" s="286"/>
      <c r="I300" s="286"/>
      <c r="J300" s="466"/>
      <c r="K300" s="286"/>
      <c r="L300" s="286"/>
    </row>
    <row r="301" spans="1:12" ht="15.75">
      <c r="A301" s="286"/>
      <c r="B301" s="286"/>
      <c r="C301" s="571"/>
      <c r="D301" s="572" t="s">
        <v>189</v>
      </c>
      <c r="E301" s="571"/>
      <c r="F301" s="571"/>
      <c r="G301" s="571"/>
      <c r="H301" s="286"/>
      <c r="I301" s="286"/>
      <c r="J301" s="466"/>
      <c r="K301" s="286"/>
      <c r="L301" s="286"/>
    </row>
    <row r="302" spans="1:12" ht="16.5" thickBot="1">
      <c r="A302" s="286"/>
      <c r="B302" s="62" t="s">
        <v>190</v>
      </c>
      <c r="C302" s="667" t="s">
        <v>191</v>
      </c>
      <c r="D302" s="667"/>
      <c r="E302" s="667"/>
      <c r="F302" s="667"/>
      <c r="G302" s="667"/>
      <c r="H302" s="286"/>
      <c r="I302" s="182"/>
      <c r="J302" s="466"/>
      <c r="K302" s="286"/>
      <c r="L302" s="286"/>
    </row>
    <row r="303" spans="1:12" ht="16.5" thickBot="1">
      <c r="A303" s="286"/>
      <c r="B303" s="565" t="s">
        <v>192</v>
      </c>
      <c r="C303" s="573">
        <f>$E$303-4</f>
        <v>119.16848281642918</v>
      </c>
      <c r="D303" s="573">
        <f>$E$303-2</f>
        <v>121.16848281642918</v>
      </c>
      <c r="E303" s="573">
        <f>$F$230</f>
        <v>123.16848281642918</v>
      </c>
      <c r="F303" s="573">
        <f>$E$303+2</f>
        <v>125.16848281642918</v>
      </c>
      <c r="G303" s="573">
        <f>$E$303+4</f>
        <v>127.16848281642918</v>
      </c>
      <c r="H303" s="286"/>
      <c r="I303" s="574"/>
      <c r="J303" s="466"/>
      <c r="K303" s="286"/>
      <c r="L303" s="286"/>
    </row>
    <row r="304" spans="1:12" ht="15.75">
      <c r="A304" s="575"/>
      <c r="B304" s="562">
        <f>$C$295</f>
        <v>570.5940594059406</v>
      </c>
      <c r="C304" s="415">
        <f>((SUM($H$37:$H$39)/$G$9)+(C303*$B$304*(($C$33+$C$34)/$G$9)/100)-($G$222-$E$258))+($H$52/$G$9)</f>
        <v>-16.723439019279112</v>
      </c>
      <c r="D304" s="415">
        <f>((SUM($H$37:$H$39)/$G$9)+(D303*$B$304*(($C$33+$C$34)/$G$9)/100)-($G$222-$E$258))+($H$52/$G$9)</f>
        <v>-9.039439019279143</v>
      </c>
      <c r="E304" s="415">
        <f>((SUM($H$37:$H$39)/$G$9)+(E303*$B$304*(($C$33+$C$34)/$G$9)/100)-($G$222-$E$258))+($H$52/$G$9)</f>
        <v>-1.3554390192791743</v>
      </c>
      <c r="F304" s="415">
        <f>((SUM($H$37:$H$39)/$G$9)+(F303*$B$304*(($C$33+$C$34)/$G$9)/100)-$G$222)+($H$52/$G$9)</f>
        <v>6.328560980720795</v>
      </c>
      <c r="G304" s="415">
        <f>((SUM($H$37:$H$39)/$G$9)+(G303*$B$304*(($C$33+$C$34)/$G$9)/100)-$G$222)+($H$52/$G$9)</f>
        <v>14.012560980720878</v>
      </c>
      <c r="H304" s="286"/>
      <c r="I304" s="182"/>
      <c r="J304" s="466"/>
      <c r="K304" s="286"/>
      <c r="L304" s="286"/>
    </row>
    <row r="305" spans="1:12" ht="15.75">
      <c r="A305" s="576" t="s">
        <v>294</v>
      </c>
      <c r="B305" s="562">
        <f>$D$295</f>
        <v>580.5940594059406</v>
      </c>
      <c r="C305" s="415">
        <f>((SUM($H$37:$H$39)/$G$9)+(C303*$B$305*(($C$33+$C$34)/$G$9)/100)-($G$222-$E$258))+($H$52/$G$9)</f>
        <v>-8.699427842973023</v>
      </c>
      <c r="D305" s="415">
        <f>((SUM($H$37:$H$39)/$G$9)+(D303*$B$305*(($C$33+$C$34)/$G$9)/100)-($G$222-$E$258))+($H$52/$G$9)</f>
        <v>-0.8807611763062368</v>
      </c>
      <c r="E305" s="415">
        <f>((SUM($H$37:$H$39)/$G$9)+(E303*$B$305*(($C$33+$C$34)/$G$9)/100)-($G$222-$E$258))+($H$52/$G$9)</f>
        <v>6.937905490360436</v>
      </c>
      <c r="F305" s="415">
        <f>((SUM($H$37:$H$39)/$G$9)+(F303*$B$305*(($C$33+$C$34)/$G$9)/100)-$G$222)+($H$52/$G$9)</f>
        <v>14.756572157027108</v>
      </c>
      <c r="G305" s="415">
        <f>((SUM($H$37:$H$39)/$G$9)+(G303*$B$305*(($C$33+$C$34)/$G$9)/100)-$G$222)+($H$52/$G$9)</f>
        <v>22.57523882369378</v>
      </c>
      <c r="H305" s="286"/>
      <c r="I305" s="182"/>
      <c r="J305" s="466"/>
      <c r="K305" s="286"/>
      <c r="L305" s="286"/>
    </row>
    <row r="306" spans="1:12" ht="15.75">
      <c r="A306" s="576" t="s">
        <v>295</v>
      </c>
      <c r="B306" s="562">
        <f>$G$230</f>
        <v>590.5940594059406</v>
      </c>
      <c r="C306" s="415">
        <f>((SUM($H$37:$H$39)/$G$9)+(C303*$B$306*(($C$33+$C$34)/$G$9)/100)-($G$222-$E$258))+($H$52/$G$9)</f>
        <v>-0.6754166666667061</v>
      </c>
      <c r="D306" s="415">
        <f>((SUM($H$37:$H$39)/$G$9)+(D303*$B$306*(($C$33+$C$34)/$G$9)/100)-($G$222-$E$258))+($H$52/$G$9)</f>
        <v>7.277916666666556</v>
      </c>
      <c r="E306" s="577">
        <f>((SUM($H$37:$H$39)/$G$9)+(E303*$B$306*(($C$33+$C$34)/$G$9)/100)-($G$222-$E$258))</f>
        <v>15.231249999999932</v>
      </c>
      <c r="F306" s="415">
        <f>((SUM($H$37:$H$39)/$G$9)+(F303*$B$306*(($C$33+$C$34)/$G$9)/100)-($G$222-$E$258))+($H$52/$G$9)</f>
        <v>23.184583333333308</v>
      </c>
      <c r="G306" s="415">
        <f>((SUM($H$37:$H$39)/$G$9)+(G303*$B$306*(($C$33+$C$34)/$G$9)/100)-($G$222-$E$258))+($H$52/$G$9)</f>
        <v>31.13791666666657</v>
      </c>
      <c r="H306" s="286"/>
      <c r="I306" s="574"/>
      <c r="J306" s="466"/>
      <c r="K306" s="286"/>
      <c r="L306" s="286"/>
    </row>
    <row r="307" spans="1:12" ht="15.75">
      <c r="A307" s="578" t="s">
        <v>296</v>
      </c>
      <c r="B307" s="562">
        <f>$F$295</f>
        <v>600.5940594059406</v>
      </c>
      <c r="C307" s="415">
        <f>((SUM($H$37:$H$39)/$G$9)+(C303*$B$307*(($C$33+$C$34)/$G$9)/100)-($G$222-$E$258))+($H$52/$G$9)</f>
        <v>7.348594509639497</v>
      </c>
      <c r="D307" s="415">
        <f>((SUM($H$37:$H$39)/$G$9)+(D303*$B$307*(($C$33+$C$34)/$G$9)/100)-($G$222-$E$258))+($H$52/$G$9)</f>
        <v>15.436594509639463</v>
      </c>
      <c r="E307" s="415">
        <f>((SUM($H$37:$H$39)/$G$9)+(E303*$B$307*(($C$33+$C$34)/$G$9)/100)-($G$222-$E$258))+($H$52/$G$9)</f>
        <v>23.52459450963954</v>
      </c>
      <c r="F307" s="415">
        <f>((SUM($H$37:$H$39)/$G$9)+(F303*$B$307*(($C$33+$C$34)/$G$9)/100)-($G$222-$E$258))+($H$52/$G$9)</f>
        <v>31.612594509639507</v>
      </c>
      <c r="G307" s="415">
        <f>((SUM($H$37:$H$39)/$G$9)+(G303*$B$307*(($C$33+$C$34)/$G$9)/100)-($G$222-$E$258))+($H$52/$G$9)</f>
        <v>39.700594509639586</v>
      </c>
      <c r="H307" s="286"/>
      <c r="I307" s="286"/>
      <c r="J307" s="466"/>
      <c r="K307" s="286"/>
      <c r="L307" s="286"/>
    </row>
    <row r="308" spans="1:12" ht="16.5" thickBot="1">
      <c r="A308" s="579">
        <f>G13</f>
        <v>0.94</v>
      </c>
      <c r="B308" s="580">
        <f>$G$295</f>
        <v>610.5940594059406</v>
      </c>
      <c r="C308" s="581">
        <f>((SUM($H$37:$H$39)/$G$9)+(C303*$B$308*(($C$33+$C$34)/$G$9)/100)-($G$222-$E$258))+($H$52/$G$9)</f>
        <v>15.372605685945814</v>
      </c>
      <c r="D308" s="581">
        <f>((SUM($H$37:$H$39)/$G$9)+(D303*$B$308*(($C$33+$C$34)/$G$9)/100)-($G$222-$E$258))+($H$52/$G$9)</f>
        <v>23.595272352612483</v>
      </c>
      <c r="E308" s="581">
        <f>((SUM($H$37:$H$39)/$G$9)+(E303*$B$308*(($C$33+$C$34)/$G$9)/100)-($G$222-$E$258))+($H$52/$G$9)</f>
        <v>31.81793901927915</v>
      </c>
      <c r="F308" s="581">
        <f>((SUM($H$37:$H$39)/$G$9)+(F303*$B$308*(($C$33+$C$34)/$G$9)/100)-($G$222-$E$258))+($H$52/$G$9)</f>
        <v>40.04060568594582</v>
      </c>
      <c r="G308" s="581">
        <f>((SUM($H$37:$H$39)/$G$9)+(G303*$B$308*(($C$33+$C$34)/$G$9)/100)-($G$222-$E$258))+($H$52/$G$9)</f>
        <v>48.26327235261249</v>
      </c>
      <c r="H308" s="286"/>
      <c r="I308" s="286"/>
      <c r="J308" s="466"/>
      <c r="K308" s="286"/>
      <c r="L308" s="286"/>
    </row>
    <row r="309" spans="1:12" ht="15.75">
      <c r="A309" s="286"/>
      <c r="B309" s="286"/>
      <c r="C309" s="286"/>
      <c r="D309" s="286"/>
      <c r="E309" s="286"/>
      <c r="F309" s="286"/>
      <c r="G309" s="286"/>
      <c r="H309" s="286"/>
      <c r="I309" s="286"/>
      <c r="J309" s="466"/>
      <c r="K309" s="286"/>
      <c r="L309" s="286"/>
    </row>
    <row r="310" spans="1:12" ht="15.75">
      <c r="A310" s="286"/>
      <c r="B310" s="286"/>
      <c r="C310" s="569" t="s">
        <v>540</v>
      </c>
      <c r="D310" s="570"/>
      <c r="E310" s="570"/>
      <c r="F310" s="570"/>
      <c r="G310" s="570"/>
      <c r="H310" s="286"/>
      <c r="I310" s="286"/>
      <c r="J310" s="466"/>
      <c r="K310" s="286"/>
      <c r="L310" s="286"/>
    </row>
    <row r="311" spans="1:12" ht="15.75">
      <c r="A311" s="286"/>
      <c r="B311" s="286"/>
      <c r="C311" s="572" t="s">
        <v>189</v>
      </c>
      <c r="D311" s="582"/>
      <c r="E311" s="582"/>
      <c r="F311" s="582"/>
      <c r="G311" s="582"/>
      <c r="H311" s="286"/>
      <c r="I311" s="286"/>
      <c r="J311" s="466"/>
      <c r="K311" s="286"/>
      <c r="L311" s="286"/>
    </row>
    <row r="312" spans="1:12" ht="16.5" thickBot="1">
      <c r="A312" s="286"/>
      <c r="B312" s="62" t="s">
        <v>190</v>
      </c>
      <c r="C312" s="667" t="s">
        <v>191</v>
      </c>
      <c r="D312" s="667"/>
      <c r="E312" s="667"/>
      <c r="F312" s="667"/>
      <c r="G312" s="667"/>
      <c r="H312" s="286"/>
      <c r="I312" s="286"/>
      <c r="J312" s="466"/>
      <c r="K312" s="286"/>
      <c r="L312" s="286"/>
    </row>
    <row r="313" spans="1:12" ht="16.5" thickBot="1">
      <c r="A313" s="374"/>
      <c r="B313" s="565" t="s">
        <v>192</v>
      </c>
      <c r="C313" s="573">
        <f>$E$303-4</f>
        <v>119.16848281642918</v>
      </c>
      <c r="D313" s="573">
        <f>$E$303-2</f>
        <v>121.16848281642918</v>
      </c>
      <c r="E313" s="573">
        <f>$F$230</f>
        <v>123.16848281642918</v>
      </c>
      <c r="F313" s="573">
        <f>$E$303+2</f>
        <v>125.16848281642918</v>
      </c>
      <c r="G313" s="573">
        <f>$E$303+4</f>
        <v>127.16848281642918</v>
      </c>
      <c r="H313" s="286"/>
      <c r="I313" s="286"/>
      <c r="J313" s="466"/>
      <c r="K313" s="286"/>
      <c r="L313" s="286"/>
    </row>
    <row r="314" spans="1:12" ht="15.75">
      <c r="A314" s="583"/>
      <c r="B314" s="562">
        <f>$C$295</f>
        <v>570.5940594059406</v>
      </c>
      <c r="C314" s="415">
        <f>((SUM($H$37:$H$39)/$G$9)+($C$313*B314*(($C$33+$C$34)/$G$9)/100)-($G$145-$E$258))</f>
        <v>251.89989431405428</v>
      </c>
      <c r="D314" s="415">
        <f>((SUM($H$37:$H$39)/$G$9)+($D$313*B314*(($C$33+$C$34)/$G$9)/100)-($G$145-$E$258))</f>
        <v>259.58389431405425</v>
      </c>
      <c r="E314" s="415">
        <f>((SUM($H$37:$H$39)/$G$9)+($E$313*B314*(($C$33+$C$34)/$G$9)/100)-($G$145-$E$258))</f>
        <v>267.2678943140542</v>
      </c>
      <c r="F314" s="415">
        <f>((SUM($H$37:$H$39)/$G$9)+($F$313*B314*(($C$33+$C$34)/$G$9)/100)-($G$145-$E$258))</f>
        <v>274.9518943140542</v>
      </c>
      <c r="G314" s="415">
        <f>((SUM($H$37:$H$39)/$G$9)+($G$313*B314*(($C$33+$C$34)/$G$9)/100)-($G$145-$E$258))</f>
        <v>282.63589431405427</v>
      </c>
      <c r="H314" s="286"/>
      <c r="I314" s="286"/>
      <c r="J314" s="466"/>
      <c r="K314" s="286"/>
      <c r="L314" s="286"/>
    </row>
    <row r="315" spans="1:12" ht="15.75">
      <c r="A315" s="576" t="s">
        <v>294</v>
      </c>
      <c r="B315" s="562">
        <f>$D$295</f>
        <v>580.5940594059406</v>
      </c>
      <c r="C315" s="415">
        <f>((SUM($H$37:$H$39)/$G$9)+($C$313*B315*(($C$33+$C$34)/$G$9)/100)-($G$145-$E$258))</f>
        <v>259.92390549036037</v>
      </c>
      <c r="D315" s="415">
        <f>((SUM($H$37:$H$39)/$G$9)+($D$313*B315*(($C$33+$C$34)/$G$9)/100)-($G$145-$E$258))</f>
        <v>267.74257215702715</v>
      </c>
      <c r="E315" s="415">
        <f>((SUM($H$37:$H$39)/$G$9)+($E$313*B315*(($C$33+$C$34)/$G$9)/100)-($G$145-$E$258))</f>
        <v>275.5612388236938</v>
      </c>
      <c r="F315" s="415">
        <f>((SUM($H$37:$H$39)/$G$9)+($F$313*B315*(($C$33+$C$34)/$G$9)/100)-($G$145-$E$258))</f>
        <v>283.3799054903605</v>
      </c>
      <c r="G315" s="415">
        <f>((SUM($H$37:$H$39)/$G$9)+($G$313*B315*(($C$33+$C$34)/$G$9)/100)-($G$145-$E$258))</f>
        <v>291.1985721570272</v>
      </c>
      <c r="H315" s="286"/>
      <c r="I315" s="286"/>
      <c r="J315" s="466"/>
      <c r="K315" s="286"/>
      <c r="L315" s="286"/>
    </row>
    <row r="316" spans="1:12" ht="15.75">
      <c r="A316" s="576" t="s">
        <v>295</v>
      </c>
      <c r="B316" s="562">
        <f>$E$295</f>
        <v>590.5940594059406</v>
      </c>
      <c r="C316" s="415">
        <f>((SUM($H$37:$H$39)/$G$9)+($C$313*B316*(($C$33+$C$34)/$G$9)/100)-($G$145-$E$258))</f>
        <v>267.9479166666667</v>
      </c>
      <c r="D316" s="415">
        <f>((SUM($H$37:$H$39)/$G$9)+($D$313*B316*(($C$33+$C$34)/$G$9)/100)-($G$145-$E$258))</f>
        <v>275.90124999999995</v>
      </c>
      <c r="E316" s="577">
        <f>((SUM($H$37:$H$39)/$G$9)+($E$313*B316*(($C$33+$C$34)/$G$9)/100)-($G$145-$E$258))</f>
        <v>283.8545833333333</v>
      </c>
      <c r="F316" s="415">
        <f>((SUM($H$37:$H$39)/$G$9)+($F$313*B316*(($C$33+$C$34)/$G$9)/100)-($G$145-$E$258))</f>
        <v>291.8079166666667</v>
      </c>
      <c r="G316" s="415">
        <f>((SUM($H$37:$H$39)/$G$9)+($G$313*B316*(($C$33+$C$34)/$G$9)/100)-($G$145-$E$258))</f>
        <v>299.76124999999996</v>
      </c>
      <c r="H316" s="286"/>
      <c r="I316" s="286"/>
      <c r="J316" s="466"/>
      <c r="K316" s="286"/>
      <c r="L316" s="286"/>
    </row>
    <row r="317" spans="1:12" ht="15.75">
      <c r="A317" s="578" t="s">
        <v>296</v>
      </c>
      <c r="B317" s="562">
        <f>$F$295</f>
        <v>600.5940594059406</v>
      </c>
      <c r="C317" s="415">
        <f>((SUM($H$37:$H$39)/$G$9)+($C$313*B317*(($C$33+$C$34)/$G$9)/100)-($G$145-$E$258))</f>
        <v>275.9719278429729</v>
      </c>
      <c r="D317" s="415">
        <f>((SUM($H$37:$H$39)/$G$9)+($D$313*B317*(($C$33+$C$34)/$G$9)/100)-($G$145-$E$258))</f>
        <v>284.05992784297285</v>
      </c>
      <c r="E317" s="415">
        <f>((SUM($H$37:$H$39)/$G$9)+($E$313*B317*(($C$33+$C$34)/$G$9)/100)-($G$145-$E$258))</f>
        <v>292.14792784297293</v>
      </c>
      <c r="F317" s="415">
        <f>((SUM($H$37:$H$39)/$G$9)+($F$313*B317*(($C$33+$C$34)/$G$9)/100)-($G$145-$E$258))</f>
        <v>300.2359278429729</v>
      </c>
      <c r="G317" s="415">
        <f>((SUM($H$37:$H$39)/$G$9)+($G$313*B317*(($C$33+$C$34)/$G$9)/100)-($G$145-$E$258))</f>
        <v>308.323927842973</v>
      </c>
      <c r="H317" s="286"/>
      <c r="I317" s="286"/>
      <c r="J317" s="466"/>
      <c r="K317" s="286"/>
      <c r="L317" s="286"/>
    </row>
    <row r="318" spans="1:12" ht="16.5" thickBot="1">
      <c r="A318" s="579">
        <f>G13</f>
        <v>0.94</v>
      </c>
      <c r="B318" s="580">
        <f>$G$295</f>
        <v>610.5940594059406</v>
      </c>
      <c r="C318" s="581">
        <f>((SUM($H$37:$H$39)/$G$9)+($C$313*B318*(($C$33+$C$34)/$G$9)/100)-($G$145-$E$258))</f>
        <v>283.9959390192792</v>
      </c>
      <c r="D318" s="581">
        <f>((SUM($H$37:$H$39)/$G$9)+($D$313*B318*(($C$33+$C$34)/$G$9)/100)-($G$145-$E$258))</f>
        <v>292.2186056859459</v>
      </c>
      <c r="E318" s="581">
        <f>((SUM($H$37:$H$39)/$G$9)+($E$313*B318*(($C$33+$C$34)/$G$9)/100)-($G$145-$E$258))</f>
        <v>300.44127235261254</v>
      </c>
      <c r="F318" s="581">
        <f>((SUM($H$37:$H$39)/$G$9)+($F$313*B318*(($C$33+$C$34)/$G$9)/100)-($G$145-$E$258))</f>
        <v>308.6639390192792</v>
      </c>
      <c r="G318" s="581">
        <f>((SUM($H$37:$H$39)/$G$9)+($G$313*B318*(($C$33+$C$34)/$G$9)/100)-($G$145-$E$258))</f>
        <v>316.8866056859459</v>
      </c>
      <c r="H318" s="286"/>
      <c r="I318" s="286"/>
      <c r="J318" s="466"/>
      <c r="K318" s="286"/>
      <c r="L318" s="286"/>
    </row>
    <row r="319" spans="1:12" ht="15.75">
      <c r="A319" s="286"/>
      <c r="B319" s="286"/>
      <c r="C319" s="570"/>
      <c r="D319" s="569"/>
      <c r="E319" s="570"/>
      <c r="F319" s="570"/>
      <c r="G319" s="570"/>
      <c r="H319" s="364"/>
      <c r="I319" s="286"/>
      <c r="J319" s="466"/>
      <c r="K319" s="286"/>
      <c r="L319" s="286"/>
    </row>
    <row r="320" spans="1:12" ht="15.75">
      <c r="A320" s="286"/>
      <c r="B320" s="286"/>
      <c r="C320" s="569" t="s">
        <v>541</v>
      </c>
      <c r="D320" s="569"/>
      <c r="E320" s="570"/>
      <c r="F320" s="570"/>
      <c r="G320" s="570"/>
      <c r="H320" s="364"/>
      <c r="I320" s="286"/>
      <c r="J320" s="466"/>
      <c r="K320" s="286"/>
      <c r="L320" s="286"/>
    </row>
    <row r="321" spans="1:12" ht="15.75">
      <c r="A321" s="286"/>
      <c r="B321" s="286"/>
      <c r="C321" s="679" t="s">
        <v>193</v>
      </c>
      <c r="D321" s="679"/>
      <c r="E321" s="679"/>
      <c r="F321" s="679"/>
      <c r="G321" s="679"/>
      <c r="H321" s="286"/>
      <c r="I321" s="286"/>
      <c r="J321" s="466"/>
      <c r="K321" s="286"/>
      <c r="L321" s="286"/>
    </row>
    <row r="322" spans="1:12" ht="16.5" thickBot="1">
      <c r="A322" s="286"/>
      <c r="B322" s="286"/>
      <c r="C322" s="667" t="s">
        <v>191</v>
      </c>
      <c r="D322" s="667"/>
      <c r="E322" s="667"/>
      <c r="F322" s="667"/>
      <c r="G322" s="667"/>
      <c r="H322" s="286"/>
      <c r="I322" s="286"/>
      <c r="J322" s="466"/>
      <c r="K322" s="286"/>
      <c r="L322" s="286"/>
    </row>
    <row r="323" spans="1:12" ht="16.5" thickBot="1">
      <c r="A323" s="286"/>
      <c r="B323" s="565" t="s">
        <v>194</v>
      </c>
      <c r="C323" s="573">
        <f>C303</f>
        <v>119.16848281642918</v>
      </c>
      <c r="D323" s="573">
        <f>D303</f>
        <v>121.16848281642918</v>
      </c>
      <c r="E323" s="573">
        <f>E303</f>
        <v>123.16848281642918</v>
      </c>
      <c r="F323" s="573">
        <f>F303</f>
        <v>125.16848281642918</v>
      </c>
      <c r="G323" s="573">
        <f>G303</f>
        <v>127.16848281642918</v>
      </c>
      <c r="H323" s="286"/>
      <c r="I323" s="286"/>
      <c r="J323" s="466"/>
      <c r="K323" s="286"/>
      <c r="L323" s="286"/>
    </row>
    <row r="324" spans="1:12" ht="15.75">
      <c r="A324" s="575"/>
      <c r="B324" s="584">
        <f>B326-0.04</f>
        <v>0.8999999999999999</v>
      </c>
      <c r="C324" s="415">
        <f>((SUM($H$37:$H$39)/$G$9)+(C323*$B$306*(($G$9*$B$324/2+(($G$9*$B$324/2)-$G$24))/$G$9)/100)-$G$222)+($H$52/$G$9)</f>
        <v>41.55270214521454</v>
      </c>
      <c r="D324" s="415">
        <f>((SUM($H$37:$H$39)/$G$9)+(D323*$B$306*(($G$9*$B$324/2+(($G$9*$B$324/2)-$G$24))/$G$9)/100)-$G$222)+($H$52/$G$9)</f>
        <v>50.21474834983485</v>
      </c>
      <c r="E324" s="415">
        <f>((SUM($H$37:$H$39)/$G$9)+(E323*$B$306*(($G$9*$B$324/2+(($G$9*$B$324/2)-$G$24))/$G$9)/100)-$G$222)+($H$52/$G$9)</f>
        <v>58.87679455445539</v>
      </c>
      <c r="F324" s="415">
        <f>((SUM($H$37:$H$39)/$G$9)+(F323*$B$306*(($G$9*$B$324/2+(($G$9*$B$324/2)-$G$24))/$G$9)/100)-$G$222)+($H$52/$G$9)</f>
        <v>67.53884075907592</v>
      </c>
      <c r="G324" s="415">
        <f>((SUM($H$37:$H$39)/$G$9)+(G323*$B$306*(($G$9*$B$324/2+(($G$9*$B$324/2)-$G$24))/$G$9)/100)-$G$222)+($H$52/$G$9)</f>
        <v>76.20088696369635</v>
      </c>
      <c r="H324" s="286"/>
      <c r="I324" s="286"/>
      <c r="J324" s="466"/>
      <c r="K324" s="286"/>
      <c r="L324" s="286"/>
    </row>
    <row r="325" spans="1:12" ht="15.75">
      <c r="A325" s="578" t="s">
        <v>133</v>
      </c>
      <c r="B325" s="584">
        <f>B326-0.02</f>
        <v>0.9199999999999999</v>
      </c>
      <c r="C325" s="415">
        <f>((SUM($H$37:$H$39)/$G$9)+(C323*$B$306*(($G$9*$B$325/2+(($G$9*$B$325/2)-$G$24))/$G$9)/100)-$G$222)+($H$52/$G$9)</f>
        <v>55.62874174917488</v>
      </c>
      <c r="D325" s="415">
        <f>((SUM($H$37:$H$39)/$G$9)+(D323*$B$306*(($G$9*$B$325/2+(($G$9*$B$325/2)-$G$24))/$G$9)/100)-$G$222)+($H$52/$G$9)</f>
        <v>64.52702557755765</v>
      </c>
      <c r="E325" s="415">
        <f>((SUM($H$37:$H$39)/$G$9)+(E323*$B$306*(($G$9*$B$325/2+(($G$9*$B$325/2)-$G$24))/$G$9)/100)-$G$222)+($H$52/$G$9)</f>
        <v>73.42530940594054</v>
      </c>
      <c r="F325" s="415">
        <f>((SUM($H$37:$H$39)/$G$9)+(F323*$B$306*(($G$9*$B$325/2+(($G$9*$B$325/2)-$G$24))/$G$9)/100)-$G$222)+($H$52/$G$9)</f>
        <v>82.32359323432343</v>
      </c>
      <c r="G325" s="415">
        <f>((SUM($H$37:$H$39)/$G$9)+(G323*$B$306*(($G$9*$B$325/2+(($G$9*$B$325/2)-$G$24))/$G$9)/100)-$G$222)+($H$52/$G$9)</f>
        <v>91.2218770627062</v>
      </c>
      <c r="H325" s="286"/>
      <c r="I325" s="286"/>
      <c r="J325" s="466"/>
      <c r="K325" s="286"/>
      <c r="L325" s="286"/>
    </row>
    <row r="326" spans="1:12" ht="15.75">
      <c r="A326" s="578" t="s">
        <v>297</v>
      </c>
      <c r="B326" s="584">
        <f>G13</f>
        <v>0.94</v>
      </c>
      <c r="C326" s="415">
        <f>((SUM($H$37:$H$39)/$G$9)+(C323*$B$306*(($G$9*$B$326/2+(($G$9*$B$326/2)-$G$24))/$G$9)/100)-$G$222)+($H$52/$G$9)</f>
        <v>69.70478135313533</v>
      </c>
      <c r="D326" s="415">
        <f>((SUM($H$37:$H$39)/$G$9)+(D323*$B$306*(($G$9*$B$326/2+(($G$9*$B$326/2)-$G$24))/$G$9)/100)-$G$222)+($H$52/$G$9)</f>
        <v>78.83930280528045</v>
      </c>
      <c r="E326" s="577">
        <f>((SUM($H$37:$H$39)/$G$9)+(E323*$B$306*(($G$9*$B$326/2+(($G$9*$B$326/2)-$G$24))/$G$9)/100)-$G$222)+($H$52/$G$9)</f>
        <v>87.97382425742569</v>
      </c>
      <c r="F326" s="415">
        <f>((SUM($H$37:$H$39)/$G$9)+(F323*$B$306*(($G$9*$B$326/2+(($G$9*$B$326/2)-$G$24))/$G$9)/100)-$G$222)+($H$52/$G$9)</f>
        <v>97.10834570957093</v>
      </c>
      <c r="G326" s="415">
        <f>((SUM($H$37:$H$39)/$G$9)+(G323*$B$306*(($G$9*$B$326/2+(($G$9*$B$326/2)-$G$24))/$G$9)/100)-$G$222)+($H$52/$G$9)</f>
        <v>106.24286716171616</v>
      </c>
      <c r="H326" s="286"/>
      <c r="I326" s="286"/>
      <c r="J326" s="466"/>
      <c r="K326" s="286"/>
      <c r="L326" s="286"/>
    </row>
    <row r="327" spans="1:12" ht="15.75">
      <c r="A327" s="578" t="s">
        <v>298</v>
      </c>
      <c r="B327" s="584">
        <f>B326+0.02</f>
        <v>0.96</v>
      </c>
      <c r="C327" s="415">
        <f>((SUM($H$37:$H$39)/$G$9)+(C323*$B$306*(($G$9*$B$327/2+(($G$9*$B$327/2)-$G$24))/$G$9)/100)-$G$222)+($H$52/$G$9)</f>
        <v>83.78082095709578</v>
      </c>
      <c r="D327" s="415">
        <f>((SUM($H$37:$H$39)/$G$9)+(D323*$B$306*(($G$9*$B$327/2+(($G$9*$B$327/2)-$G$24))/$G$9)/100)-$G$222)+($H$52/$G$9)</f>
        <v>93.15158003300326</v>
      </c>
      <c r="E327" s="415">
        <f>((SUM($H$37:$H$39)/$G$9)+(E323*$B$306*(($G$9*$B$327/2+(($G$9*$B$327/2)-$G$24))/$G$9)/100)-$G$222)+($H$52/$G$9)</f>
        <v>102.52233910891084</v>
      </c>
      <c r="F327" s="415">
        <f>((SUM($H$37:$H$39)/$G$9)+(F323*$B$306*(($G$9*$B$327/2+(($G$9*$B$327/2)-$G$24))/$G$9)/100)-$G$222)+($H$52/$G$9)</f>
        <v>111.89309818481854</v>
      </c>
      <c r="G327" s="415">
        <f>((SUM($H$37:$H$39)/$G$9)+(G323*$B$306*(($G$9*$B$327/2+(($G$9*$B$327/2)-$G$24))/$G$9)/100)-$G$222)+($H$52/$G$9)</f>
        <v>121.26385726072601</v>
      </c>
      <c r="H327" s="286"/>
      <c r="I327" s="286"/>
      <c r="J327" s="466"/>
      <c r="K327" s="286"/>
      <c r="L327" s="286"/>
    </row>
    <row r="328" spans="1:12" ht="16.5" thickBot="1">
      <c r="A328" s="585">
        <f>G230</f>
        <v>590.5940594059406</v>
      </c>
      <c r="B328" s="586">
        <f>B326+0.04</f>
        <v>0.98</v>
      </c>
      <c r="C328" s="581">
        <f>((SUM($H$37:$H$39)/$G$9)+(C323*$B$306*(($G$9*$B$328/2+(($G$9*$B$328/2)-$G$24))/$G$9)/100)-$G$222)+($H$52/$G$9)</f>
        <v>97.85686056105612</v>
      </c>
      <c r="D328" s="581">
        <f>((SUM($H$37:$H$39)/$G$9)+(D323*$B$306*(($G$9*$B$328/2+(($G$9*$B$328/2)-$G$24))/$G$9)/100)-$G$222)+($H$52/$G$9)</f>
        <v>107.46385726072606</v>
      </c>
      <c r="E328" s="581">
        <f>((SUM($H$37:$H$39)/$G$9)+(E323*$B$306*(($G$9*$B$328/2+(($G$9*$B$328/2)-$G$24))/$G$9)/100)-$G$222)+($H$52/$G$9)</f>
        <v>117.070853960396</v>
      </c>
      <c r="F328" s="581">
        <f>((SUM($H$37:$H$39)/$G$9)+(F323*$B$306*(($G$9*$B$328/2+(($G$9*$B$328/2)-$G$24))/$G$9)/100)-$G$222)+($H$52/$G$9)</f>
        <v>126.67785066006604</v>
      </c>
      <c r="G328" s="581">
        <f>((SUM($H$37:$H$39)/$G$9)+(G323*$B$306*(($G$9*$B$328/2+(($G$9*$B$328/2)-$G$24))/$G$9)/100)-$G$222)+($H$52/$G$9)</f>
        <v>136.28484735973586</v>
      </c>
      <c r="H328" s="286"/>
      <c r="I328" s="286"/>
      <c r="J328" s="466"/>
      <c r="K328" s="286"/>
      <c r="L328" s="286"/>
    </row>
    <row r="329" spans="1:12" ht="15.75">
      <c r="A329" s="286"/>
      <c r="B329" s="286"/>
      <c r="C329" s="286"/>
      <c r="D329" s="286"/>
      <c r="E329" s="286"/>
      <c r="F329" s="286"/>
      <c r="G329" s="286"/>
      <c r="H329" s="286"/>
      <c r="I329" s="286"/>
      <c r="J329" s="466"/>
      <c r="K329" s="286"/>
      <c r="L329" s="286"/>
    </row>
    <row r="330" spans="1:12" ht="15.75">
      <c r="A330" s="286"/>
      <c r="B330" s="286"/>
      <c r="C330" s="62" t="s">
        <v>542</v>
      </c>
      <c r="D330" s="569"/>
      <c r="E330" s="570"/>
      <c r="F330" s="570"/>
      <c r="G330" s="570"/>
      <c r="H330" s="364"/>
      <c r="I330" s="286"/>
      <c r="J330" s="466"/>
      <c r="K330" s="286"/>
      <c r="L330" s="286"/>
    </row>
    <row r="331" spans="1:12" ht="15.75">
      <c r="A331" s="286"/>
      <c r="B331" s="286"/>
      <c r="C331" s="351" t="s">
        <v>195</v>
      </c>
      <c r="D331" s="587"/>
      <c r="E331" s="587"/>
      <c r="F331" s="587"/>
      <c r="G331" s="587"/>
      <c r="H331" s="286"/>
      <c r="I331" s="286"/>
      <c r="J331" s="466"/>
      <c r="K331" s="286"/>
      <c r="L331" s="286"/>
    </row>
    <row r="332" spans="1:12" ht="16.5" thickBot="1">
      <c r="A332" s="286"/>
      <c r="B332" s="286"/>
      <c r="C332" s="667" t="s">
        <v>191</v>
      </c>
      <c r="D332" s="667"/>
      <c r="E332" s="667"/>
      <c r="F332" s="667"/>
      <c r="G332" s="667"/>
      <c r="H332" s="286"/>
      <c r="I332" s="286"/>
      <c r="J332" s="466"/>
      <c r="K332" s="286"/>
      <c r="L332" s="286"/>
    </row>
    <row r="333" spans="1:12" ht="16.5" thickBot="1">
      <c r="A333" s="286"/>
      <c r="B333" s="565" t="s">
        <v>194</v>
      </c>
      <c r="C333" s="573">
        <f>$E$303-4</f>
        <v>119.16848281642918</v>
      </c>
      <c r="D333" s="573">
        <f>$E$303-2</f>
        <v>121.16848281642918</v>
      </c>
      <c r="E333" s="573">
        <f>$F$230</f>
        <v>123.16848281642918</v>
      </c>
      <c r="F333" s="573">
        <f>$E$303+2</f>
        <v>125.16848281642918</v>
      </c>
      <c r="G333" s="573">
        <f>$E$303+4</f>
        <v>127.16848281642918</v>
      </c>
      <c r="H333" s="286"/>
      <c r="I333" s="286"/>
      <c r="J333" s="466"/>
      <c r="K333" s="286"/>
      <c r="L333" s="286"/>
    </row>
    <row r="334" spans="1:12" ht="15.75">
      <c r="A334" s="575"/>
      <c r="B334" s="584">
        <f>B324</f>
        <v>0.8999999999999999</v>
      </c>
      <c r="C334" s="415">
        <f>((SUM($H$37:$H$39)/$G$9)+(C333*$B$306*(($G$9*$B$324/2+(($G$9*$B$324/2)-$G$24))/$G$9)/100)-$G$145)+($H$52/$G$9)</f>
        <v>310.17603547854793</v>
      </c>
      <c r="D334" s="415">
        <f>((SUM($H$37:$H$39)/$G$9)+(D333*$B$306*(($G$9*$B$324/2+(($G$9*$B$324/2)-$G$24))/$G$9)/100)-$G$145)+($H$52/$G$9)</f>
        <v>318.83808168316824</v>
      </c>
      <c r="E334" s="415">
        <f>((SUM($H$37:$H$39)/$G$9)+(E333*$B$306*(($G$9*$B$324/2+(($G$9*$B$324/2)-$G$24))/$G$9)/100)-$G$145)+($H$52/$G$9)</f>
        <v>327.5001278877888</v>
      </c>
      <c r="F334" s="415">
        <f>((SUM($H$37:$H$39)/$G$9)+(F333*$B$306*(($G$9*$B$324/2+(($G$9*$B$324/2)-$G$24))/$G$9)/100)-$G$145)+($H$52/$G$9)</f>
        <v>336.1621740924093</v>
      </c>
      <c r="G334" s="415">
        <f>((SUM($H$37:$H$39)/$G$9)+(G333*$B$306*(($G$9*$B$324/2+(($G$9*$B$324/2)-$G$24))/$G$9)/100)-$G$145)+($H$52/$G$9)</f>
        <v>344.82422029702974</v>
      </c>
      <c r="H334" s="286"/>
      <c r="I334" s="286"/>
      <c r="J334" s="466"/>
      <c r="K334" s="286"/>
      <c r="L334" s="286"/>
    </row>
    <row r="335" spans="1:12" ht="15.75">
      <c r="A335" s="578" t="s">
        <v>133</v>
      </c>
      <c r="B335" s="584">
        <f>B325</f>
        <v>0.9199999999999999</v>
      </c>
      <c r="C335" s="415">
        <f>((SUM($H$37:$H$39)/$G$9)+(C333*$B$306*(($G$9*$B$325/2+(($G$9*$B$325/2)-$G$24))/$G$9)/100)-$G$145)+($H$52/$G$9)</f>
        <v>324.25207508250827</v>
      </c>
      <c r="D335" s="415">
        <f>((SUM($H$37:$H$39)/$G$9)+(D333*$B$306*(($G$9*$B$325/2+(($G$9*$B$325/2)-$G$24))/$G$9)/100)-$G$145)+($H$52/$G$9)</f>
        <v>333.15035891089104</v>
      </c>
      <c r="E335" s="415">
        <f>((SUM($H$37:$H$39)/$G$9)+(E333*$B$306*(($G$9*$B$325/2+(($G$9*$B$325/2)-$G$24))/$G$9)/100)-$G$145)+($H$52/$G$9)</f>
        <v>342.04864273927393</v>
      </c>
      <c r="F335" s="415">
        <f>((SUM($H$37:$H$39)/$G$9)+(F333*$B$306*(($G$9*$B$325/2+(($G$9*$B$325/2)-$G$24))/$G$9)/100)-$G$145)+($H$52/$G$9)</f>
        <v>350.9469265676568</v>
      </c>
      <c r="G335" s="415">
        <f>((SUM($H$37:$H$39)/$G$9)+(G333*$B$306*(($G$9*$B$325/2+(($G$9*$B$325/2)-$G$24))/$G$9)/100)-$G$145)+($H$52/$G$9)</f>
        <v>359.8452103960396</v>
      </c>
      <c r="H335" s="286"/>
      <c r="I335" s="286"/>
      <c r="J335" s="466"/>
      <c r="K335" s="286"/>
      <c r="L335" s="286"/>
    </row>
    <row r="336" spans="1:12" ht="15.75">
      <c r="A336" s="578" t="s">
        <v>297</v>
      </c>
      <c r="B336" s="584">
        <f>B326</f>
        <v>0.94</v>
      </c>
      <c r="C336" s="415">
        <f>((SUM($H$37:$H$39)/$G$9)+(C333*$B$306*(($G$9*$B$326/2+(($G$9*$B$326/2)-$G$24))/$G$9)/100)-$G$145)+($H$52/$G$9)</f>
        <v>338.3281146864687</v>
      </c>
      <c r="D336" s="415">
        <f>((SUM($H$37:$H$39)/$G$9)+(D333*$B$306*(($G$9*$B$326/2+(($G$9*$B$326/2)-$G$24))/$G$9)/100)-$G$145)+($H$52/$G$9)</f>
        <v>347.46263613861385</v>
      </c>
      <c r="E336" s="577">
        <f>((SUM($H$37:$H$39)/$G$9)+(E333*$B$306*(($G$9*$B$326/2+(($G$9*$B$326/2)-$G$24))/$G$9)/100)-$G$145)+($H$52/$G$9)</f>
        <v>356.5971575907591</v>
      </c>
      <c r="F336" s="415">
        <f>((SUM($H$37:$H$39)/$G$9)+(F333*$B$306*(($G$9*$B$326/2+(($G$9*$B$326/2)-$G$24))/$G$9)/100)-$G$145)+($H$52/$G$9)</f>
        <v>365.7316790429043</v>
      </c>
      <c r="G336" s="415">
        <f>((SUM($H$37:$H$39)/$G$9)+(G333*$B$306*(($G$9*$B$326/2+(($G$9*$B$326/2)-$G$24))/$G$9)/100)-$G$145)+($H$52/$G$9)</f>
        <v>374.86620049504955</v>
      </c>
      <c r="H336" s="286"/>
      <c r="I336" s="286"/>
      <c r="J336" s="466"/>
      <c r="K336" s="286"/>
      <c r="L336" s="286"/>
    </row>
    <row r="337" spans="1:12" ht="15.75">
      <c r="A337" s="578" t="s">
        <v>298</v>
      </c>
      <c r="B337" s="584">
        <f>B327</f>
        <v>0.96</v>
      </c>
      <c r="C337" s="415">
        <f>((SUM($H$37:$H$39)/$G$9)+(C333*$B$306*(($G$9*$B$327/2+(($G$9*$B$327/2)-$G$24))/$G$9)/100)-$G$145)+($H$52/$G$9)</f>
        <v>352.4041542904292</v>
      </c>
      <c r="D337" s="415">
        <f>((SUM($H$37:$H$39)/$G$9)+(D333*$B$306*(($G$9*$B$327/2+(($G$9*$B$327/2)-$G$24))/$G$9)/100)-$G$145)+($H$52/$G$9)</f>
        <v>361.77491336633665</v>
      </c>
      <c r="E337" s="415">
        <f>((SUM($H$37:$H$39)/$G$9)+(E333*$B$306*(($G$9*$B$327/2+(($G$9*$B$327/2)-$G$24))/$G$9)/100)-$G$145)+($H$52/$G$9)</f>
        <v>371.14567244224423</v>
      </c>
      <c r="F337" s="415">
        <f>((SUM($H$37:$H$39)/$G$9)+(F333*$B$306*(($G$9*$B$327/2+(($G$9*$B$327/2)-$G$24))/$G$9)/100)-$G$145)+($H$52/$G$9)</f>
        <v>380.51643151815193</v>
      </c>
      <c r="G337" s="415">
        <f>((SUM($H$37:$H$39)/$G$9)+(G333*$B$306*(($G$9*$B$327/2+(($G$9*$B$327/2)-$G$24))/$G$9)/100)-$G$145)+($H$52/$G$9)</f>
        <v>389.8871905940594</v>
      </c>
      <c r="H337" s="286"/>
      <c r="I337" s="286"/>
      <c r="J337" s="466"/>
      <c r="K337" s="286"/>
      <c r="L337" s="286"/>
    </row>
    <row r="338" spans="1:12" ht="16.5" thickBot="1">
      <c r="A338" s="585">
        <f>G230</f>
        <v>590.5940594059406</v>
      </c>
      <c r="B338" s="586">
        <f>B328</f>
        <v>0.98</v>
      </c>
      <c r="C338" s="581">
        <f>((SUM($H$37:$H$39)/$G$9)+(C333*$B$306*(($G$9*$B$328/2+(($G$9*$B$328/2)-$G$24))/$G$9)/100)-$G$145)+($H$52/$G$9)</f>
        <v>366.4801938943895</v>
      </c>
      <c r="D338" s="581">
        <f>((SUM($H$37:$H$39)/$G$9)+(D333*$B$306*(($G$9*$B$328/2+(($G$9*$B$328/2)-$G$24))/$G$9)/100)-$G$145)+($H$52/$G$9)</f>
        <v>376.08719059405945</v>
      </c>
      <c r="E338" s="581">
        <f>((SUM($H$37:$H$39)/$G$9)+(E333*$B$306*(($G$9*$B$328/2+(($G$9*$B$328/2)-$G$24))/$G$9)/100)-$G$145)+($H$52/$G$9)</f>
        <v>385.6941872937294</v>
      </c>
      <c r="F338" s="581">
        <f>((SUM($H$37:$H$39)/$G$9)+(F333*$B$306*(($G$9*$B$328/2+(($G$9*$B$328/2)-$G$24))/$G$9)/100)-$G$145)+($H$52/$G$9)</f>
        <v>395.30118399339943</v>
      </c>
      <c r="G338" s="581">
        <f>((SUM($H$37:$H$39)/$G$9)+(G333*$B$306*(($G$9*$B$328/2+(($G$9*$B$328/2)-$G$24))/$G$9)/100)-$G$145)+($H$52/$G$9)</f>
        <v>404.90818069306926</v>
      </c>
      <c r="H338" s="286"/>
      <c r="I338" s="286"/>
      <c r="J338" s="466"/>
      <c r="K338" s="286"/>
      <c r="L338" s="286"/>
    </row>
    <row r="339" spans="1:12" ht="15.75">
      <c r="A339" s="62"/>
      <c r="B339" s="59"/>
      <c r="C339" s="59"/>
      <c r="D339" s="59"/>
      <c r="E339" s="286"/>
      <c r="F339" s="286"/>
      <c r="G339" s="286"/>
      <c r="H339" s="286"/>
      <c r="I339" s="466"/>
      <c r="J339" s="466"/>
      <c r="K339" s="286"/>
      <c r="L339" s="286"/>
    </row>
    <row r="340" spans="1:12" ht="15.75">
      <c r="A340" s="62"/>
      <c r="B340" s="59"/>
      <c r="C340" s="59"/>
      <c r="D340" s="59"/>
      <c r="E340" s="286"/>
      <c r="F340" s="286"/>
      <c r="G340" s="286"/>
      <c r="H340" s="286"/>
      <c r="I340" s="466"/>
      <c r="J340" s="466"/>
      <c r="K340" s="286"/>
      <c r="L340" s="286"/>
    </row>
    <row r="341" spans="1:12" ht="15.75">
      <c r="A341" s="676" t="s">
        <v>337</v>
      </c>
      <c r="B341" s="676"/>
      <c r="C341" s="676"/>
      <c r="D341" s="676"/>
      <c r="E341" s="676"/>
      <c r="F341" s="676"/>
      <c r="G341" s="676"/>
      <c r="H341" s="286"/>
      <c r="I341" s="466"/>
      <c r="J341" s="466"/>
      <c r="K341" s="286"/>
      <c r="L341" s="286"/>
    </row>
    <row r="342" spans="1:12" ht="15.75">
      <c r="A342" s="62"/>
      <c r="B342" s="59"/>
      <c r="C342" s="59"/>
      <c r="D342" s="59"/>
      <c r="E342" s="286"/>
      <c r="F342" s="286"/>
      <c r="G342" s="286"/>
      <c r="H342" s="286"/>
      <c r="I342" s="466"/>
      <c r="J342" s="466"/>
      <c r="K342" s="286"/>
      <c r="L342" s="286"/>
    </row>
    <row r="343" spans="1:12" ht="15.75">
      <c r="A343" s="62"/>
      <c r="B343" s="59"/>
      <c r="C343" s="286"/>
      <c r="D343" s="492"/>
      <c r="E343" s="484"/>
      <c r="F343" s="198"/>
      <c r="G343" s="469"/>
      <c r="H343" s="554"/>
      <c r="I343" s="554"/>
      <c r="K343" s="286"/>
      <c r="L343" s="286"/>
    </row>
    <row r="344" spans="1:12" ht="15.75">
      <c r="A344" s="676" t="s">
        <v>348</v>
      </c>
      <c r="B344" s="676"/>
      <c r="C344" s="676"/>
      <c r="D344" s="676"/>
      <c r="E344" s="676"/>
      <c r="F344" s="676"/>
      <c r="G344" s="676"/>
      <c r="H344" s="588"/>
      <c r="I344" s="466"/>
      <c r="J344" s="466"/>
      <c r="K344" s="286"/>
      <c r="L344" s="286"/>
    </row>
    <row r="345" spans="1:12" ht="16.5" thickBot="1">
      <c r="A345" s="589" t="s">
        <v>543</v>
      </c>
      <c r="B345" s="59"/>
      <c r="D345" s="59" t="s">
        <v>329</v>
      </c>
      <c r="F345" s="182"/>
      <c r="G345" s="286"/>
      <c r="H345" s="466"/>
      <c r="I345" s="466"/>
      <c r="K345" s="286"/>
      <c r="L345" s="286"/>
    </row>
    <row r="346" spans="1:12" ht="17.25" thickBot="1" thickTop="1">
      <c r="A346" s="59"/>
      <c r="B346" s="64" t="s">
        <v>328</v>
      </c>
      <c r="C346" s="590">
        <v>0.15</v>
      </c>
      <c r="D346" s="59" t="s">
        <v>330</v>
      </c>
      <c r="F346" s="182"/>
      <c r="G346" s="286"/>
      <c r="H346" s="466"/>
      <c r="I346" s="466"/>
      <c r="K346" s="286"/>
      <c r="L346" s="286"/>
    </row>
    <row r="347" spans="1:12" ht="16.5" thickTop="1">
      <c r="A347" s="59"/>
      <c r="B347" s="59"/>
      <c r="E347" s="286" t="s">
        <v>331</v>
      </c>
      <c r="F347" s="182"/>
      <c r="G347" s="286"/>
      <c r="H347" s="466"/>
      <c r="I347" s="466"/>
      <c r="K347" s="286"/>
      <c r="L347" s="286"/>
    </row>
    <row r="348" spans="1:12" ht="15.75">
      <c r="A348" s="591"/>
      <c r="B348" s="592" t="s">
        <v>327</v>
      </c>
      <c r="D348" s="593">
        <f>C346</f>
        <v>0.15</v>
      </c>
      <c r="E348" s="593">
        <f>D348+$C$346</f>
        <v>0.3</v>
      </c>
      <c r="F348" s="593">
        <f>E348+$C$346</f>
        <v>0.44999999999999996</v>
      </c>
      <c r="G348" s="593">
        <f>F348+$C$346</f>
        <v>0.6</v>
      </c>
      <c r="H348" s="593">
        <f>G348+$C$346</f>
        <v>0.75</v>
      </c>
      <c r="I348" s="593">
        <f>H348+$C$346</f>
        <v>0.9</v>
      </c>
      <c r="K348" s="286"/>
      <c r="L348" s="286"/>
    </row>
    <row r="349" spans="1:12" ht="15.75">
      <c r="A349" s="59" t="s">
        <v>421</v>
      </c>
      <c r="B349" s="59"/>
      <c r="D349" s="594">
        <f aca="true" t="shared" si="20" ref="D349:I349">SUM($F$250:$F$255)*(1-D348)</f>
        <v>21806.910259821187</v>
      </c>
      <c r="E349" s="594">
        <f t="shared" si="20"/>
        <v>17958.631978676272</v>
      </c>
      <c r="F349" s="594">
        <f t="shared" si="20"/>
        <v>14110.353697531358</v>
      </c>
      <c r="G349" s="594">
        <f t="shared" si="20"/>
        <v>10262.075416386442</v>
      </c>
      <c r="H349" s="594">
        <f t="shared" si="20"/>
        <v>6413.797135241526</v>
      </c>
      <c r="I349" s="594">
        <f t="shared" si="20"/>
        <v>2565.51885409661</v>
      </c>
      <c r="K349" s="286"/>
      <c r="L349" s="286"/>
    </row>
    <row r="350" spans="1:12" ht="16.5" thickBot="1">
      <c r="A350" s="595" t="s">
        <v>544</v>
      </c>
      <c r="B350" s="59"/>
      <c r="D350" s="596">
        <f aca="true" t="shared" si="21" ref="D350:I350">SUM($F$257:$F$258)</f>
        <v>2798.8351271300967</v>
      </c>
      <c r="E350" s="596">
        <f t="shared" si="21"/>
        <v>2798.8351271300967</v>
      </c>
      <c r="F350" s="596">
        <f t="shared" si="21"/>
        <v>2798.8351271300967</v>
      </c>
      <c r="G350" s="596">
        <f t="shared" si="21"/>
        <v>2798.8351271300967</v>
      </c>
      <c r="H350" s="596">
        <f t="shared" si="21"/>
        <v>2798.8351271300967</v>
      </c>
      <c r="I350" s="596">
        <f t="shared" si="21"/>
        <v>2798.8351271300967</v>
      </c>
      <c r="K350" s="286"/>
      <c r="L350" s="286"/>
    </row>
    <row r="351" spans="1:12" ht="16.5" thickTop="1">
      <c r="A351" s="59" t="s">
        <v>548</v>
      </c>
      <c r="B351" s="59"/>
      <c r="D351" s="594">
        <f aca="true" t="shared" si="22" ref="D351:I351">SUM(D349:D350)</f>
        <v>24605.745386951283</v>
      </c>
      <c r="E351" s="594">
        <f t="shared" si="22"/>
        <v>20757.46710580637</v>
      </c>
      <c r="F351" s="594">
        <f t="shared" si="22"/>
        <v>16909.188824661454</v>
      </c>
      <c r="G351" s="594">
        <f t="shared" si="22"/>
        <v>13060.910543516538</v>
      </c>
      <c r="H351" s="594">
        <f t="shared" si="22"/>
        <v>9212.632262371622</v>
      </c>
      <c r="I351" s="594">
        <f t="shared" si="22"/>
        <v>5364.353981226706</v>
      </c>
      <c r="K351" s="286"/>
      <c r="L351" s="286"/>
    </row>
    <row r="352" spans="1:12" ht="15.75">
      <c r="A352" s="680" t="s">
        <v>345</v>
      </c>
      <c r="B352" s="680"/>
      <c r="C352" s="680"/>
      <c r="D352" s="59"/>
      <c r="H352" s="182"/>
      <c r="I352" s="286"/>
      <c r="J352" s="466"/>
      <c r="K352" s="286"/>
      <c r="L352" s="286"/>
    </row>
    <row r="353" spans="1:12" ht="15.75">
      <c r="A353" s="676" t="s">
        <v>332</v>
      </c>
      <c r="B353" s="676"/>
      <c r="C353" s="676"/>
      <c r="D353" s="676"/>
      <c r="E353" s="676"/>
      <c r="F353" s="676"/>
      <c r="G353" s="676"/>
      <c r="H353" s="588"/>
      <c r="I353" s="466"/>
      <c r="J353" s="466"/>
      <c r="K353" s="286"/>
      <c r="L353" s="286"/>
    </row>
    <row r="354" spans="1:12" ht="15.75">
      <c r="A354" s="283" t="s">
        <v>442</v>
      </c>
      <c r="B354" s="286"/>
      <c r="C354" s="286"/>
      <c r="D354" s="59"/>
      <c r="E354" s="286"/>
      <c r="F354" s="286"/>
      <c r="G354" s="286"/>
      <c r="H354" s="286"/>
      <c r="I354" s="466"/>
      <c r="J354" s="466"/>
      <c r="K354" s="286"/>
      <c r="L354" s="286"/>
    </row>
    <row r="355" spans="1:12" ht="16.5" thickBot="1">
      <c r="A355" s="283" t="s">
        <v>443</v>
      </c>
      <c r="B355" s="286"/>
      <c r="C355" s="286"/>
      <c r="D355" s="59"/>
      <c r="E355" s="286"/>
      <c r="F355" s="286"/>
      <c r="G355" s="286"/>
      <c r="H355" s="286"/>
      <c r="I355" s="466"/>
      <c r="J355" s="466"/>
      <c r="K355" s="286"/>
      <c r="L355" s="286"/>
    </row>
    <row r="356" spans="2:12" ht="17.25" thickBot="1" thickTop="1">
      <c r="B356" s="283"/>
      <c r="C356" s="283"/>
      <c r="D356" s="59"/>
      <c r="E356" s="283"/>
      <c r="F356" s="292" t="s">
        <v>436</v>
      </c>
      <c r="G356" s="590">
        <v>0.2</v>
      </c>
      <c r="H356" s="283"/>
      <c r="I356" s="466"/>
      <c r="J356" s="466"/>
      <c r="K356" s="286"/>
      <c r="L356" s="286"/>
    </row>
    <row r="357" spans="1:12" ht="16.5" thickTop="1">
      <c r="A357" s="283" t="s">
        <v>437</v>
      </c>
      <c r="B357" s="283"/>
      <c r="C357" s="283"/>
      <c r="D357" s="59"/>
      <c r="E357" s="283"/>
      <c r="F357" s="283"/>
      <c r="G357" s="283"/>
      <c r="H357" s="283"/>
      <c r="I357" s="466"/>
      <c r="J357" s="466"/>
      <c r="K357" s="286"/>
      <c r="L357" s="286"/>
    </row>
    <row r="358" spans="1:12" ht="50.25" customHeight="1" thickBot="1">
      <c r="A358" s="283"/>
      <c r="B358" s="283"/>
      <c r="C358" s="597" t="s">
        <v>333</v>
      </c>
      <c r="D358" s="598" t="s">
        <v>471</v>
      </c>
      <c r="E358" s="597" t="s">
        <v>334</v>
      </c>
      <c r="F358" s="597" t="s">
        <v>424</v>
      </c>
      <c r="G358" s="597" t="s">
        <v>440</v>
      </c>
      <c r="H358" s="283"/>
      <c r="I358" s="286"/>
      <c r="J358" s="286"/>
      <c r="K358" s="286"/>
      <c r="L358" s="286"/>
    </row>
    <row r="359" spans="1:12" ht="16.5" thickTop="1">
      <c r="A359" s="59" t="s">
        <v>466</v>
      </c>
      <c r="B359" s="283"/>
      <c r="C359" s="599">
        <f>$E$33</f>
        <v>1.25</v>
      </c>
      <c r="D359" s="600">
        <v>1.15</v>
      </c>
      <c r="E359" s="601">
        <f>D359/C359</f>
        <v>0.9199999999999999</v>
      </c>
      <c r="F359" s="602">
        <f>F250*(1-$G$356)</f>
        <v>10674.600727022265</v>
      </c>
      <c r="G359" s="603">
        <f>E359*F359</f>
        <v>9820.632668860484</v>
      </c>
      <c r="H359" s="283"/>
      <c r="I359" s="286"/>
      <c r="J359" s="286"/>
      <c r="K359" s="286"/>
      <c r="L359" s="286"/>
    </row>
    <row r="360" spans="1:12" ht="15.75">
      <c r="A360" s="59" t="s">
        <v>467</v>
      </c>
      <c r="B360" s="283"/>
      <c r="C360" s="604">
        <f>$E$34</f>
        <v>1.2</v>
      </c>
      <c r="D360" s="605">
        <v>1.1</v>
      </c>
      <c r="E360" s="606">
        <f>D360/C360</f>
        <v>0.9166666666666667</v>
      </c>
      <c r="F360" s="554">
        <f>F251*(1-$G$356)</f>
        <v>5923.556212963466</v>
      </c>
      <c r="G360" s="548">
        <f>E360*F360</f>
        <v>5429.926528549845</v>
      </c>
      <c r="H360" s="283"/>
      <c r="I360" s="286"/>
      <c r="J360" s="286"/>
      <c r="K360" s="286"/>
      <c r="L360" s="286"/>
    </row>
    <row r="361" spans="1:12" ht="15" customHeight="1">
      <c r="A361" s="59" t="s">
        <v>468</v>
      </c>
      <c r="B361" s="283"/>
      <c r="C361" s="604">
        <f>$E$38</f>
        <v>1</v>
      </c>
      <c r="D361" s="605">
        <v>0.9</v>
      </c>
      <c r="E361" s="606">
        <f>IF(C361=0,0,D361/C361)</f>
        <v>0.9</v>
      </c>
      <c r="F361" s="554">
        <f>F253*(1-$G$356)</f>
        <v>654.7088445906987</v>
      </c>
      <c r="G361" s="548">
        <f>E361*F361</f>
        <v>589.2379601316288</v>
      </c>
      <c r="H361" s="283"/>
      <c r="I361" s="286"/>
      <c r="J361" s="475"/>
      <c r="K361" s="475"/>
      <c r="L361" s="475"/>
    </row>
    <row r="362" spans="1:12" ht="15" customHeight="1">
      <c r="A362" s="283" t="s">
        <v>469</v>
      </c>
      <c r="B362" s="283"/>
      <c r="C362" s="604">
        <f>$E$37</f>
        <v>0.5</v>
      </c>
      <c r="D362" s="605">
        <v>0.45</v>
      </c>
      <c r="E362" s="606">
        <f>IF(C362=0,0,D362/C362)</f>
        <v>0.9</v>
      </c>
      <c r="F362" s="554">
        <f>F252*(1-$G$356)</f>
        <v>2823.9684463021863</v>
      </c>
      <c r="G362" s="548">
        <f>E362*F362</f>
        <v>2541.5716016719675</v>
      </c>
      <c r="H362" s="283"/>
      <c r="I362" s="286"/>
      <c r="J362" s="475"/>
      <c r="K362" s="475"/>
      <c r="L362" s="475"/>
    </row>
    <row r="363" spans="1:12" ht="15" customHeight="1" thickBot="1">
      <c r="A363" s="283" t="s">
        <v>470</v>
      </c>
      <c r="B363" s="283"/>
      <c r="C363" s="607">
        <f>$E$39</f>
        <v>0.55</v>
      </c>
      <c r="D363" s="608">
        <v>0.5</v>
      </c>
      <c r="E363" s="609">
        <f>IF(C363=0,0,D363/C363)</f>
        <v>0.9090909090909091</v>
      </c>
      <c r="F363" s="610">
        <f>F254*(1-$G$356)</f>
        <v>447.3166018942664</v>
      </c>
      <c r="G363" s="552">
        <f>E363*F363</f>
        <v>406.6514562675149</v>
      </c>
      <c r="H363" s="283"/>
      <c r="I363" s="286"/>
      <c r="J363" s="475"/>
      <c r="K363" s="475"/>
      <c r="L363" s="475"/>
    </row>
    <row r="364" spans="1:12" ht="15" customHeight="1" thickTop="1">
      <c r="A364" s="59"/>
      <c r="B364" s="283"/>
      <c r="C364" s="553"/>
      <c r="D364" s="611"/>
      <c r="E364" s="612" t="s">
        <v>422</v>
      </c>
      <c r="F364" s="613">
        <f>SUM(F359:F363)</f>
        <v>20524.150832772884</v>
      </c>
      <c r="G364" s="614"/>
      <c r="H364" s="283"/>
      <c r="I364" s="286"/>
      <c r="J364" s="475"/>
      <c r="K364" s="475"/>
      <c r="L364" s="475"/>
    </row>
    <row r="365" spans="1:12" ht="12" customHeight="1">
      <c r="A365" s="283"/>
      <c r="B365" s="283"/>
      <c r="C365" s="283"/>
      <c r="D365" s="283"/>
      <c r="E365" s="64" t="s">
        <v>423</v>
      </c>
      <c r="F365" s="615">
        <f>D350</f>
        <v>2798.8351271300967</v>
      </c>
      <c r="G365" s="615">
        <f>D350</f>
        <v>2798.8351271300967</v>
      </c>
      <c r="H365" s="283"/>
      <c r="I365" s="286"/>
      <c r="J365" s="286"/>
      <c r="K365" s="286"/>
      <c r="L365" s="286"/>
    </row>
    <row r="366" spans="1:12" ht="12" customHeight="1">
      <c r="A366" s="283"/>
      <c r="B366" s="283"/>
      <c r="C366" s="283"/>
      <c r="D366" s="283"/>
      <c r="E366" s="616" t="s">
        <v>438</v>
      </c>
      <c r="F366" s="477">
        <f>SUM(F364:F365)</f>
        <v>23322.98595990298</v>
      </c>
      <c r="G366" s="614"/>
      <c r="H366" s="283"/>
      <c r="I366" s="286"/>
      <c r="J366" s="286"/>
      <c r="K366" s="286"/>
      <c r="L366" s="286"/>
    </row>
    <row r="367" spans="1:12" ht="12" customHeight="1">
      <c r="A367" s="283"/>
      <c r="B367" s="283"/>
      <c r="C367" s="283"/>
      <c r="D367" s="283"/>
      <c r="E367" s="283"/>
      <c r="F367" s="292" t="s">
        <v>545</v>
      </c>
      <c r="G367" s="477">
        <f>SUM(G359:G365)</f>
        <v>21586.855342611536</v>
      </c>
      <c r="H367" s="283"/>
      <c r="I367" s="286"/>
      <c r="J367" s="286"/>
      <c r="K367" s="286"/>
      <c r="L367" s="286"/>
    </row>
    <row r="368" spans="1:12" ht="12" customHeight="1">
      <c r="A368" s="286"/>
      <c r="B368" s="286"/>
      <c r="C368" s="286"/>
      <c r="D368" s="286"/>
      <c r="E368" s="286"/>
      <c r="F368" s="286"/>
      <c r="G368" s="286"/>
      <c r="H368" s="286"/>
      <c r="I368" s="286"/>
      <c r="J368" s="286"/>
      <c r="K368" s="286"/>
      <c r="L368" s="286"/>
    </row>
    <row r="369" spans="1:12" ht="12" customHeight="1">
      <c r="A369" s="286"/>
      <c r="B369" s="286"/>
      <c r="C369" s="286"/>
      <c r="D369" s="286"/>
      <c r="E369" s="286"/>
      <c r="F369" s="286"/>
      <c r="G369" s="286"/>
      <c r="H369" s="286"/>
      <c r="I369" s="286"/>
      <c r="J369" s="286"/>
      <c r="K369" s="286"/>
      <c r="L369" s="286"/>
    </row>
    <row r="370" spans="1:12" ht="59.25" customHeight="1" thickBot="1">
      <c r="A370" s="283"/>
      <c r="B370" s="283"/>
      <c r="C370" s="597" t="s">
        <v>478</v>
      </c>
      <c r="D370" s="598" t="s">
        <v>477</v>
      </c>
      <c r="E370" s="617" t="s">
        <v>336</v>
      </c>
      <c r="F370" s="597" t="s">
        <v>424</v>
      </c>
      <c r="G370" s="597" t="s">
        <v>439</v>
      </c>
      <c r="H370" s="283"/>
      <c r="I370" s="286"/>
      <c r="J370" s="286"/>
      <c r="K370" s="286"/>
      <c r="L370" s="286"/>
    </row>
    <row r="371" spans="1:12" ht="12" customHeight="1" thickTop="1">
      <c r="A371" s="59" t="s">
        <v>472</v>
      </c>
      <c r="B371" s="283"/>
      <c r="C371" s="618">
        <f>$D$33</f>
        <v>600</v>
      </c>
      <c r="D371" s="619">
        <v>575</v>
      </c>
      <c r="E371" s="606">
        <f>D371/C371</f>
        <v>0.9583333333333334</v>
      </c>
      <c r="F371" s="602">
        <f>F250*(1-$G$356)</f>
        <v>10674.600727022265</v>
      </c>
      <c r="G371" s="603">
        <f>E371*F371</f>
        <v>10229.825696729671</v>
      </c>
      <c r="H371" s="283"/>
      <c r="I371" s="286"/>
      <c r="J371" s="286"/>
      <c r="K371" s="286"/>
      <c r="L371" s="286"/>
    </row>
    <row r="372" spans="1:12" ht="15.75">
      <c r="A372" s="59" t="s">
        <v>473</v>
      </c>
      <c r="B372" s="283"/>
      <c r="C372" s="620">
        <f>$D$34</f>
        <v>575</v>
      </c>
      <c r="D372" s="621">
        <v>550</v>
      </c>
      <c r="E372" s="606">
        <f>D372/C372</f>
        <v>0.9565217391304348</v>
      </c>
      <c r="F372" s="554">
        <f>F251*(1-$G$356)</f>
        <v>5923.556212963466</v>
      </c>
      <c r="G372" s="548">
        <f>E372*F372</f>
        <v>5666.010290660707</v>
      </c>
      <c r="H372" s="283"/>
      <c r="I372" s="286"/>
      <c r="J372" s="286"/>
      <c r="K372" s="286"/>
      <c r="L372" s="286"/>
    </row>
    <row r="373" spans="1:12" ht="15.75">
      <c r="A373" s="59" t="s">
        <v>474</v>
      </c>
      <c r="B373" s="283"/>
      <c r="C373" s="620">
        <f>$D$38</f>
        <v>900</v>
      </c>
      <c r="D373" s="621">
        <v>900</v>
      </c>
      <c r="E373" s="606">
        <f>IF(C373=0,0,D373/C373)</f>
        <v>1</v>
      </c>
      <c r="F373" s="554">
        <f>F253*(1-$G$356)</f>
        <v>654.7088445906987</v>
      </c>
      <c r="G373" s="548">
        <f>E373*F373</f>
        <v>654.7088445906987</v>
      </c>
      <c r="H373" s="283"/>
      <c r="I373" s="286"/>
      <c r="J373" s="286"/>
      <c r="K373" s="286"/>
      <c r="L373" s="286"/>
    </row>
    <row r="374" spans="1:12" ht="15.75">
      <c r="A374" s="283" t="s">
        <v>475</v>
      </c>
      <c r="B374" s="283"/>
      <c r="C374" s="622">
        <f>$D$37</f>
        <v>1250</v>
      </c>
      <c r="D374" s="621">
        <v>1200</v>
      </c>
      <c r="E374" s="606">
        <f>IF(C374=0,0,D374/C374)</f>
        <v>0.96</v>
      </c>
      <c r="F374" s="554">
        <f>F252*(1-$G$356)</f>
        <v>2823.9684463021863</v>
      </c>
      <c r="G374" s="548">
        <f>E374*F374</f>
        <v>2711.0097084500985</v>
      </c>
      <c r="H374" s="283"/>
      <c r="I374" s="286"/>
      <c r="J374" s="286"/>
      <c r="K374" s="286"/>
      <c r="L374" s="286"/>
    </row>
    <row r="375" spans="1:12" ht="16.5" thickBot="1">
      <c r="A375" s="283" t="s">
        <v>476</v>
      </c>
      <c r="B375" s="283"/>
      <c r="C375" s="623">
        <f>$D$39</f>
        <v>1800</v>
      </c>
      <c r="D375" s="624">
        <v>1800</v>
      </c>
      <c r="E375" s="609">
        <f>IF(C375=0,0,D375/C375)</f>
        <v>1</v>
      </c>
      <c r="F375" s="554">
        <f>F254*(1-$G$356)</f>
        <v>447.3166018942664</v>
      </c>
      <c r="G375" s="548">
        <f>E375*F375</f>
        <v>447.3166018942664</v>
      </c>
      <c r="H375" s="283"/>
      <c r="I375" s="286"/>
      <c r="J375" s="286"/>
      <c r="K375" s="286"/>
      <c r="L375" s="286"/>
    </row>
    <row r="376" spans="1:12" ht="16.5" thickTop="1">
      <c r="A376" s="283"/>
      <c r="B376" s="283"/>
      <c r="C376" s="283"/>
      <c r="D376" s="283"/>
      <c r="E376" s="625" t="s">
        <v>335</v>
      </c>
      <c r="F376" s="615">
        <f>SUM(F371:F375)</f>
        <v>20524.150832772884</v>
      </c>
      <c r="G376" s="626"/>
      <c r="H376" s="283"/>
      <c r="I376" s="286"/>
      <c r="J376" s="286"/>
      <c r="K376" s="286"/>
      <c r="L376" s="286"/>
    </row>
    <row r="377" spans="1:12" ht="15.75">
      <c r="A377" s="283"/>
      <c r="B377" s="283"/>
      <c r="C377" s="283"/>
      <c r="D377" s="283"/>
      <c r="E377" s="64" t="s">
        <v>423</v>
      </c>
      <c r="F377" s="554">
        <f>D350</f>
        <v>2798.8351271300967</v>
      </c>
      <c r="G377" s="615">
        <f>D350</f>
        <v>2798.8351271300967</v>
      </c>
      <c r="H377" s="283"/>
      <c r="I377" s="286"/>
      <c r="J377" s="286"/>
      <c r="K377" s="286"/>
      <c r="L377" s="286"/>
    </row>
    <row r="378" spans="1:12" ht="15.75">
      <c r="A378" s="283"/>
      <c r="E378" s="616" t="s">
        <v>438</v>
      </c>
      <c r="F378" s="546">
        <f>SUM(F376:F377)</f>
        <v>23322.98595990298</v>
      </c>
      <c r="G378" s="626"/>
      <c r="H378" s="283"/>
      <c r="I378" s="286"/>
      <c r="J378" s="286"/>
      <c r="K378" s="286"/>
      <c r="L378" s="286"/>
    </row>
    <row r="379" spans="1:12" ht="15.75">
      <c r="A379" s="283"/>
      <c r="B379" s="283"/>
      <c r="C379" s="283"/>
      <c r="D379" s="283"/>
      <c r="F379" s="292" t="s">
        <v>546</v>
      </c>
      <c r="G379" s="477">
        <f>SUM(G371:G378)</f>
        <v>22507.70626945554</v>
      </c>
      <c r="H379" s="283"/>
      <c r="I379" s="286"/>
      <c r="J379" s="286"/>
      <c r="K379" s="286"/>
      <c r="L379" s="286"/>
    </row>
    <row r="380" spans="1:12" ht="15.75">
      <c r="A380" s="283"/>
      <c r="B380" s="283"/>
      <c r="C380" s="283"/>
      <c r="D380" s="283"/>
      <c r="E380" s="283"/>
      <c r="F380" s="283"/>
      <c r="G380" s="283"/>
      <c r="H380" s="283"/>
      <c r="I380" s="286"/>
      <c r="J380" s="286"/>
      <c r="K380" s="286"/>
      <c r="L380" s="286"/>
    </row>
    <row r="381" spans="1:12" ht="94.5">
      <c r="A381" s="283"/>
      <c r="B381" s="283"/>
      <c r="D381" s="597" t="s">
        <v>434</v>
      </c>
      <c r="E381" s="627" t="s">
        <v>334</v>
      </c>
      <c r="F381" s="617" t="s">
        <v>336</v>
      </c>
      <c r="G381" s="597" t="s">
        <v>479</v>
      </c>
      <c r="H381" s="283"/>
      <c r="I381" s="286"/>
      <c r="J381" s="286"/>
      <c r="K381" s="286"/>
      <c r="L381" s="286"/>
    </row>
    <row r="382" spans="1:12" ht="15.75">
      <c r="A382" s="59" t="s">
        <v>321</v>
      </c>
      <c r="B382" s="283"/>
      <c r="D382" s="628">
        <f>F250*(1-$G$356)</f>
        <v>10674.600727022265</v>
      </c>
      <c r="E382" s="601">
        <f>$E$359</f>
        <v>0.9199999999999999</v>
      </c>
      <c r="F382" s="601">
        <f>$E$371</f>
        <v>0.9583333333333334</v>
      </c>
      <c r="G382" s="603">
        <f>$D$382*$E$382*$F$382</f>
        <v>9411.439640991297</v>
      </c>
      <c r="H382" s="283"/>
      <c r="I382" s="286"/>
      <c r="J382" s="286"/>
      <c r="K382" s="286"/>
      <c r="L382" s="286"/>
    </row>
    <row r="383" spans="1:12" ht="15.75">
      <c r="A383" s="59" t="s">
        <v>322</v>
      </c>
      <c r="B383" s="283"/>
      <c r="D383" s="629">
        <f>F251*(1-$G$356)</f>
        <v>5923.556212963466</v>
      </c>
      <c r="E383" s="606">
        <f>$E$360</f>
        <v>0.9166666666666667</v>
      </c>
      <c r="F383" s="606">
        <f>$E$372</f>
        <v>0.9565217391304348</v>
      </c>
      <c r="G383" s="548">
        <f>$D$383*$E$383*$F$383</f>
        <v>5193.842766438982</v>
      </c>
      <c r="H383" s="283"/>
      <c r="I383" s="286"/>
      <c r="J383" s="286"/>
      <c r="K383" s="286"/>
      <c r="L383" s="286"/>
    </row>
    <row r="384" spans="1:12" ht="15.75">
      <c r="A384" s="59" t="s">
        <v>23</v>
      </c>
      <c r="B384" s="283"/>
      <c r="D384" s="629">
        <f>F253*(1-$G$356)</f>
        <v>654.7088445906987</v>
      </c>
      <c r="E384" s="606">
        <f>$E$361</f>
        <v>0.9</v>
      </c>
      <c r="F384" s="606">
        <f>$E$373</f>
        <v>1</v>
      </c>
      <c r="G384" s="548">
        <f>D384*E384*F384</f>
        <v>589.2379601316288</v>
      </c>
      <c r="H384" s="283"/>
      <c r="I384" s="286"/>
      <c r="J384" s="286"/>
      <c r="K384" s="286"/>
      <c r="L384" s="286"/>
    </row>
    <row r="385" spans="1:12" ht="15.75">
      <c r="A385" s="283" t="s">
        <v>340</v>
      </c>
      <c r="B385" s="283"/>
      <c r="D385" s="629">
        <f>F252*(1-$G$356)</f>
        <v>2823.9684463021863</v>
      </c>
      <c r="E385" s="606">
        <f>E362</f>
        <v>0.9</v>
      </c>
      <c r="F385" s="606">
        <f>E374</f>
        <v>0.96</v>
      </c>
      <c r="G385" s="548">
        <f>D385*E385*F385</f>
        <v>2439.908737605089</v>
      </c>
      <c r="H385" s="283"/>
      <c r="I385" s="286"/>
      <c r="J385" s="286"/>
      <c r="K385" s="286"/>
      <c r="L385" s="286"/>
    </row>
    <row r="386" spans="1:12" ht="15.75">
      <c r="A386" s="283" t="s">
        <v>341</v>
      </c>
      <c r="B386" s="283"/>
      <c r="D386" s="551">
        <f>F254*(1-$G$356)</f>
        <v>447.3166018942664</v>
      </c>
      <c r="E386" s="609">
        <f>E363</f>
        <v>0.9090909090909091</v>
      </c>
      <c r="F386" s="609">
        <f>E375</f>
        <v>1</v>
      </c>
      <c r="G386" s="552">
        <f>D386*E386*F386</f>
        <v>406.6514562675149</v>
      </c>
      <c r="H386" s="283"/>
      <c r="I386" s="286"/>
      <c r="J386" s="286"/>
      <c r="K386" s="286"/>
      <c r="L386" s="286"/>
    </row>
    <row r="387" spans="1:12" ht="15.75">
      <c r="A387" s="283"/>
      <c r="B387" s="283"/>
      <c r="D387" s="554"/>
      <c r="E387" s="283"/>
      <c r="F387" s="616" t="s">
        <v>433</v>
      </c>
      <c r="G387" s="630">
        <f>SUM(G382:G386)</f>
        <v>18041.08056143451</v>
      </c>
      <c r="H387" s="283"/>
      <c r="I387" s="286"/>
      <c r="J387" s="286"/>
      <c r="K387" s="286"/>
      <c r="L387" s="286"/>
    </row>
    <row r="388" spans="1:12" ht="15.75">
      <c r="A388" s="283"/>
      <c r="B388" s="283"/>
      <c r="D388" s="283"/>
      <c r="E388" s="283"/>
      <c r="F388" s="64" t="s">
        <v>432</v>
      </c>
      <c r="G388" s="615">
        <f>D350</f>
        <v>2798.8351271300967</v>
      </c>
      <c r="H388" s="283"/>
      <c r="I388" s="286"/>
      <c r="J388" s="286"/>
      <c r="K388" s="286"/>
      <c r="L388" s="286"/>
    </row>
    <row r="389" spans="1:12" ht="15.75">
      <c r="A389" s="286"/>
      <c r="B389" s="283"/>
      <c r="D389" s="283"/>
      <c r="E389" s="283"/>
      <c r="F389" s="292" t="s">
        <v>547</v>
      </c>
      <c r="G389" s="477">
        <f>SUM(G387:G388)</f>
        <v>20839.915688564608</v>
      </c>
      <c r="H389" s="286"/>
      <c r="I389" s="286"/>
      <c r="J389" s="286"/>
      <c r="K389" s="286"/>
      <c r="L389" s="286"/>
    </row>
    <row r="390" spans="1:12" ht="15.75">
      <c r="A390" s="286"/>
      <c r="B390" s="286"/>
      <c r="C390" s="286"/>
      <c r="D390" s="286"/>
      <c r="E390" s="286"/>
      <c r="F390" s="286"/>
      <c r="G390" s="286"/>
      <c r="H390" s="286"/>
      <c r="I390" s="286"/>
      <c r="J390" s="286"/>
      <c r="K390" s="286"/>
      <c r="L390" s="286"/>
    </row>
    <row r="391" spans="1:12" ht="15.75">
      <c r="A391" s="286"/>
      <c r="B391" s="286"/>
      <c r="C391" s="286"/>
      <c r="D391" s="286"/>
      <c r="E391" s="286"/>
      <c r="F391" s="286"/>
      <c r="G391" s="286"/>
      <c r="H391" s="286"/>
      <c r="I391" s="286"/>
      <c r="J391" s="286"/>
      <c r="K391" s="286"/>
      <c r="L391" s="286"/>
    </row>
    <row r="392" spans="9:12" ht="15.75">
      <c r="I392" s="286"/>
      <c r="J392" s="286"/>
      <c r="K392" s="286"/>
      <c r="L392" s="286"/>
    </row>
    <row r="393" spans="9:12" ht="15.75">
      <c r="I393" s="286"/>
      <c r="J393" s="286"/>
      <c r="K393" s="286"/>
      <c r="L393" s="286"/>
    </row>
    <row r="394" spans="9:12" ht="15.75">
      <c r="I394" s="286"/>
      <c r="J394" s="286"/>
      <c r="K394" s="286"/>
      <c r="L394" s="286"/>
    </row>
    <row r="395" spans="9:12" ht="15.75">
      <c r="I395" s="286"/>
      <c r="J395" s="286"/>
      <c r="K395" s="286"/>
      <c r="L395" s="286"/>
    </row>
    <row r="396" spans="9:12" ht="15.75">
      <c r="I396" s="286"/>
      <c r="J396" s="286"/>
      <c r="K396" s="286"/>
      <c r="L396" s="286"/>
    </row>
    <row r="397" spans="9:12" ht="15.75">
      <c r="I397" s="286"/>
      <c r="J397" s="286"/>
      <c r="K397" s="286"/>
      <c r="L397" s="286"/>
    </row>
    <row r="398" spans="9:12" ht="15.75">
      <c r="I398" s="286"/>
      <c r="J398" s="286"/>
      <c r="K398" s="286"/>
      <c r="L398" s="286"/>
    </row>
    <row r="399" spans="9:12" ht="15.75">
      <c r="I399" s="286"/>
      <c r="J399" s="286"/>
      <c r="K399" s="286"/>
      <c r="L399" s="286"/>
    </row>
    <row r="400" spans="9:12" ht="15.75">
      <c r="I400" s="286"/>
      <c r="J400" s="286"/>
      <c r="K400" s="286"/>
      <c r="L400" s="286"/>
    </row>
    <row r="401" spans="9:12" ht="15.75">
      <c r="I401" s="286"/>
      <c r="J401" s="286"/>
      <c r="K401" s="286"/>
      <c r="L401" s="286"/>
    </row>
    <row r="402" spans="9:12" ht="15.75">
      <c r="I402" s="286"/>
      <c r="J402" s="286"/>
      <c r="K402" s="286"/>
      <c r="L402" s="286"/>
    </row>
    <row r="403" spans="9:12" ht="15.75">
      <c r="I403" s="286"/>
      <c r="J403" s="286"/>
      <c r="K403" s="286"/>
      <c r="L403" s="286"/>
    </row>
    <row r="404" spans="9:12" ht="15.75">
      <c r="I404" s="286"/>
      <c r="J404" s="286"/>
      <c r="K404" s="286"/>
      <c r="L404" s="286"/>
    </row>
    <row r="405" spans="9:12" ht="15.75">
      <c r="I405" s="286"/>
      <c r="J405" s="286"/>
      <c r="K405" s="286"/>
      <c r="L405" s="286"/>
    </row>
    <row r="406" spans="9:12" ht="15.75">
      <c r="I406" s="286"/>
      <c r="J406" s="286"/>
      <c r="K406" s="286"/>
      <c r="L406" s="286"/>
    </row>
    <row r="407" spans="9:12" ht="15.75">
      <c r="I407" s="286"/>
      <c r="J407" s="286"/>
      <c r="K407" s="286"/>
      <c r="L407" s="286"/>
    </row>
    <row r="408" spans="9:12" ht="15.75">
      <c r="I408" s="286"/>
      <c r="J408" s="286"/>
      <c r="K408" s="286"/>
      <c r="L408" s="286"/>
    </row>
    <row r="409" spans="9:12" ht="15.75">
      <c r="I409" s="286"/>
      <c r="J409" s="286"/>
      <c r="K409" s="286"/>
      <c r="L409" s="286"/>
    </row>
    <row r="410" spans="1:12" ht="15.75">
      <c r="A410" s="286"/>
      <c r="B410" s="286"/>
      <c r="C410" s="286"/>
      <c r="D410" s="286"/>
      <c r="E410" s="286"/>
      <c r="F410" s="286"/>
      <c r="G410" s="286"/>
      <c r="H410" s="286"/>
      <c r="I410" s="286"/>
      <c r="J410" s="286"/>
      <c r="K410" s="286"/>
      <c r="L410" s="286"/>
    </row>
    <row r="411" spans="1:12" ht="15.75">
      <c r="A411" s="286"/>
      <c r="B411" s="286"/>
      <c r="C411" s="286"/>
      <c r="D411" s="286"/>
      <c r="E411" s="286"/>
      <c r="F411" s="286"/>
      <c r="G411" s="286"/>
      <c r="H411" s="286"/>
      <c r="I411" s="286"/>
      <c r="J411" s="286"/>
      <c r="K411" s="286"/>
      <c r="L411" s="286"/>
    </row>
    <row r="412" spans="10:12" ht="15.75">
      <c r="J412" s="286"/>
      <c r="K412" s="286"/>
      <c r="L412" s="286"/>
    </row>
    <row r="413" spans="10:12" ht="15.75">
      <c r="J413" s="286"/>
      <c r="K413" s="286"/>
      <c r="L413" s="286"/>
    </row>
    <row r="414" spans="10:12" ht="15.75">
      <c r="J414" s="286"/>
      <c r="K414" s="286"/>
      <c r="L414" s="286"/>
    </row>
    <row r="415" spans="10:12" ht="15.75">
      <c r="J415" s="286"/>
      <c r="K415" s="286"/>
      <c r="L415" s="286"/>
    </row>
    <row r="416" spans="10:12" ht="15.75">
      <c r="J416" s="286"/>
      <c r="K416" s="286"/>
      <c r="L416" s="286"/>
    </row>
    <row r="417" spans="10:12" ht="15.75">
      <c r="J417" s="286"/>
      <c r="K417" s="286"/>
      <c r="L417" s="286"/>
    </row>
    <row r="418" spans="10:12" ht="15.75">
      <c r="J418" s="286"/>
      <c r="K418" s="286"/>
      <c r="L418" s="286"/>
    </row>
    <row r="419" spans="10:12" ht="15.75">
      <c r="J419" s="286"/>
      <c r="K419" s="286"/>
      <c r="L419" s="286"/>
    </row>
    <row r="420" spans="10:12" ht="15.75">
      <c r="J420" s="286"/>
      <c r="K420" s="286"/>
      <c r="L420" s="286"/>
    </row>
    <row r="421" spans="10:12" ht="15.75">
      <c r="J421" s="286"/>
      <c r="K421" s="286"/>
      <c r="L421" s="286"/>
    </row>
    <row r="422" spans="10:12" ht="15.75">
      <c r="J422" s="286"/>
      <c r="K422" s="286"/>
      <c r="L422" s="286"/>
    </row>
    <row r="423" spans="10:12" ht="15.75">
      <c r="J423" s="286"/>
      <c r="K423" s="286"/>
      <c r="L423" s="286"/>
    </row>
    <row r="424" spans="10:12" ht="15.75">
      <c r="J424" s="286"/>
      <c r="K424" s="286"/>
      <c r="L424" s="286"/>
    </row>
    <row r="425" spans="10:12" ht="15.75">
      <c r="J425" s="286"/>
      <c r="K425" s="286"/>
      <c r="L425" s="286"/>
    </row>
    <row r="426" spans="10:12" ht="15.75">
      <c r="J426" s="286"/>
      <c r="K426" s="286"/>
      <c r="L426" s="286"/>
    </row>
    <row r="427" spans="10:12" ht="15.75">
      <c r="J427" s="286"/>
      <c r="K427" s="286"/>
      <c r="L427" s="286"/>
    </row>
    <row r="428" spans="10:12" ht="15.75">
      <c r="J428" s="286"/>
      <c r="K428" s="286"/>
      <c r="L428" s="286"/>
    </row>
    <row r="429" spans="10:12" ht="15.75">
      <c r="J429" s="286"/>
      <c r="K429" s="286"/>
      <c r="L429" s="286"/>
    </row>
    <row r="430" spans="10:12" ht="15.75">
      <c r="J430" s="286"/>
      <c r="K430" s="286"/>
      <c r="L430" s="286"/>
    </row>
    <row r="431" spans="10:12" ht="15.75">
      <c r="J431" s="286"/>
      <c r="K431" s="286"/>
      <c r="L431" s="286"/>
    </row>
    <row r="432" spans="10:12" ht="15.75">
      <c r="J432" s="286"/>
      <c r="K432" s="286"/>
      <c r="L432" s="286"/>
    </row>
    <row r="433" spans="10:12" ht="15.75">
      <c r="J433" s="286"/>
      <c r="K433" s="286"/>
      <c r="L433" s="286"/>
    </row>
    <row r="434" spans="10:12" ht="15.75">
      <c r="J434" s="286"/>
      <c r="K434" s="286"/>
      <c r="L434" s="286"/>
    </row>
    <row r="435" spans="10:12" ht="15.75">
      <c r="J435" s="286"/>
      <c r="K435" s="286"/>
      <c r="L435" s="286"/>
    </row>
    <row r="436" spans="10:12" ht="15.75">
      <c r="J436" s="286"/>
      <c r="K436" s="286"/>
      <c r="L436" s="286"/>
    </row>
    <row r="437" spans="10:12" ht="15.75">
      <c r="J437" s="286"/>
      <c r="K437" s="286"/>
      <c r="L437" s="286"/>
    </row>
    <row r="438" spans="10:12" ht="15.75">
      <c r="J438" s="286"/>
      <c r="K438" s="286"/>
      <c r="L438" s="286"/>
    </row>
    <row r="439" spans="10:12" ht="15.75">
      <c r="J439" s="286"/>
      <c r="K439" s="286"/>
      <c r="L439" s="286"/>
    </row>
    <row r="440" spans="1:12" ht="15.75">
      <c r="A440" s="286"/>
      <c r="B440" s="286"/>
      <c r="C440" s="286"/>
      <c r="D440" s="286"/>
      <c r="E440" s="286"/>
      <c r="F440" s="286"/>
      <c r="G440" s="286"/>
      <c r="H440" s="286"/>
      <c r="I440" s="286"/>
      <c r="J440" s="286"/>
      <c r="K440" s="286"/>
      <c r="L440" s="286"/>
    </row>
    <row r="441" spans="1:12" ht="15.75">
      <c r="A441" s="62"/>
      <c r="B441" s="286"/>
      <c r="C441" s="286"/>
      <c r="D441" s="286"/>
      <c r="E441" s="286"/>
      <c r="F441" s="286"/>
      <c r="G441" s="286"/>
      <c r="H441" s="286"/>
      <c r="I441" s="286"/>
      <c r="J441" s="286"/>
      <c r="K441" s="286"/>
      <c r="L441" s="286"/>
    </row>
    <row r="442" spans="1:12" ht="15.75">
      <c r="A442" s="286"/>
      <c r="B442" s="286"/>
      <c r="C442" s="286"/>
      <c r="D442" s="286"/>
      <c r="E442" s="286"/>
      <c r="F442" s="286"/>
      <c r="G442" s="286"/>
      <c r="H442" s="286"/>
      <c r="I442" s="286"/>
      <c r="J442" s="286"/>
      <c r="K442" s="286"/>
      <c r="L442" s="286"/>
    </row>
    <row r="443" spans="1:12" ht="15.75">
      <c r="A443" s="286"/>
      <c r="B443" s="286"/>
      <c r="C443" s="286"/>
      <c r="D443" s="286"/>
      <c r="E443" s="286"/>
      <c r="F443" s="286"/>
      <c r="G443" s="286"/>
      <c r="H443" s="286"/>
      <c r="I443" s="286"/>
      <c r="J443" s="286"/>
      <c r="K443" s="286"/>
      <c r="L443" s="286"/>
    </row>
    <row r="444" spans="1:12" ht="15.75">
      <c r="A444" s="286"/>
      <c r="B444" s="286"/>
      <c r="C444" s="286"/>
      <c r="D444" s="286"/>
      <c r="E444" s="286"/>
      <c r="F444" s="286"/>
      <c r="G444" s="286"/>
      <c r="H444" s="286"/>
      <c r="I444" s="286"/>
      <c r="J444" s="286"/>
      <c r="K444" s="286"/>
      <c r="L444" s="286"/>
    </row>
  </sheetData>
  <sheetProtection/>
  <mergeCells count="40">
    <mergeCell ref="H282:I282"/>
    <mergeCell ref="E282:F282"/>
    <mergeCell ref="A252:C252"/>
    <mergeCell ref="D246:E247"/>
    <mergeCell ref="F262:G262"/>
    <mergeCell ref="G226:G229"/>
    <mergeCell ref="F226:F229"/>
    <mergeCell ref="B131:C131"/>
    <mergeCell ref="B132:C132"/>
    <mergeCell ref="B133:C133"/>
    <mergeCell ref="A352:C352"/>
    <mergeCell ref="A48:B48"/>
    <mergeCell ref="A230:C230"/>
    <mergeCell ref="A49:B49"/>
    <mergeCell ref="C302:G302"/>
    <mergeCell ref="B116:D116"/>
    <mergeCell ref="B117:D117"/>
    <mergeCell ref="F243:G243"/>
    <mergeCell ref="A212:A213"/>
    <mergeCell ref="F244:G244"/>
    <mergeCell ref="A353:G353"/>
    <mergeCell ref="A292:G292"/>
    <mergeCell ref="C312:G312"/>
    <mergeCell ref="D248:E248"/>
    <mergeCell ref="A341:G341"/>
    <mergeCell ref="C332:G332"/>
    <mergeCell ref="C321:G321"/>
    <mergeCell ref="A344:G344"/>
    <mergeCell ref="C322:G322"/>
    <mergeCell ref="D262:E262"/>
    <mergeCell ref="C294:G294"/>
    <mergeCell ref="C293:G293"/>
    <mergeCell ref="A246:C246"/>
    <mergeCell ref="A287:D287"/>
    <mergeCell ref="A288:D288"/>
    <mergeCell ref="A289:D289"/>
    <mergeCell ref="A257:C257"/>
    <mergeCell ref="A258:C258"/>
    <mergeCell ref="B260:C260"/>
    <mergeCell ref="A254:C254"/>
  </mergeCells>
  <printOptions horizontalCentered="1"/>
  <pageMargins left="0.4" right="0.4" top="0.333" bottom="0.333" header="0.5" footer="0.5"/>
  <pageSetup fitToHeight="1" fitToWidth="1" horizontalDpi="300" verticalDpi="300" orientation="portrait" scale="85" r:id="rId4"/>
  <drawing r:id="rId3"/>
  <legacyDrawing r:id="rId2"/>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J86"/>
  <sheetViews>
    <sheetView showGridLines="0" zoomScalePageLayoutView="0" workbookViewId="0" topLeftCell="A1">
      <selection activeCell="A1" sqref="A1"/>
    </sheetView>
  </sheetViews>
  <sheetFormatPr defaultColWidth="9.7109375" defaultRowHeight="12.75"/>
  <cols>
    <col min="1" max="1" width="38.421875" style="0" customWidth="1"/>
    <col min="2" max="2" width="15.7109375" style="0" customWidth="1"/>
    <col min="3" max="3" width="14.00390625" style="0" customWidth="1"/>
    <col min="4" max="4" width="13.140625" style="0" customWidth="1"/>
    <col min="5" max="5" width="12.7109375" style="0" customWidth="1"/>
    <col min="6" max="6" width="11.7109375" style="0" customWidth="1"/>
    <col min="7" max="7" width="3.7109375" style="0" customWidth="1"/>
    <col min="9" max="9" width="6.7109375" style="0" customWidth="1"/>
  </cols>
  <sheetData>
    <row r="1" spans="1:9" ht="12.75">
      <c r="A1" s="113" t="s">
        <v>300</v>
      </c>
      <c r="B1" s="113"/>
      <c r="C1" s="113"/>
      <c r="D1" s="113"/>
      <c r="E1" s="113"/>
      <c r="F1" s="113"/>
      <c r="G1" s="114"/>
      <c r="H1" s="115"/>
      <c r="I1" s="115"/>
    </row>
    <row r="2" spans="1:9" ht="12.75">
      <c r="A2" s="113"/>
      <c r="B2" s="113"/>
      <c r="C2" s="113"/>
      <c r="D2" s="113"/>
      <c r="E2" s="113"/>
      <c r="F2" s="113"/>
      <c r="G2" s="114"/>
      <c r="H2" s="115"/>
      <c r="I2" s="115"/>
    </row>
    <row r="3" spans="1:9" ht="12.75">
      <c r="A3" s="113"/>
      <c r="B3" s="113"/>
      <c r="C3" s="113"/>
      <c r="D3" s="113"/>
      <c r="E3" s="113"/>
      <c r="F3" s="113"/>
      <c r="G3" s="114"/>
      <c r="H3" s="115"/>
      <c r="I3" s="115"/>
    </row>
    <row r="4" spans="1:9" ht="12.75">
      <c r="A4" s="113"/>
      <c r="B4" s="113"/>
      <c r="C4" s="113"/>
      <c r="D4" s="113"/>
      <c r="E4" s="113"/>
      <c r="F4" s="113"/>
      <c r="G4" s="114"/>
      <c r="H4" s="115"/>
      <c r="I4" s="115"/>
    </row>
    <row r="5" spans="1:9" ht="12.75">
      <c r="A5" s="113"/>
      <c r="B5" s="113"/>
      <c r="C5" s="113"/>
      <c r="D5" s="113"/>
      <c r="E5" s="113"/>
      <c r="F5" s="113"/>
      <c r="G5" s="114"/>
      <c r="H5" s="115"/>
      <c r="I5" s="115"/>
    </row>
    <row r="6" spans="1:9" ht="12.75">
      <c r="A6" s="113"/>
      <c r="B6" s="113"/>
      <c r="C6" s="113"/>
      <c r="D6" s="113"/>
      <c r="E6" s="113"/>
      <c r="F6" s="113"/>
      <c r="G6" s="114"/>
      <c r="H6" s="115"/>
      <c r="I6" s="115"/>
    </row>
    <row r="7" spans="1:9" ht="12.75">
      <c r="A7" s="113"/>
      <c r="B7" s="113"/>
      <c r="C7" s="113"/>
      <c r="D7" s="113"/>
      <c r="E7" s="113"/>
      <c r="F7" s="113"/>
      <c r="G7" s="114"/>
      <c r="H7" s="115"/>
      <c r="I7" s="115"/>
    </row>
    <row r="8" spans="1:9" ht="12.75">
      <c r="A8" s="113"/>
      <c r="B8" s="113"/>
      <c r="C8" s="113"/>
      <c r="D8" s="113"/>
      <c r="E8" s="113"/>
      <c r="F8" s="113"/>
      <c r="G8" s="114"/>
      <c r="H8" s="115"/>
      <c r="I8" s="115"/>
    </row>
    <row r="9" spans="1:9" ht="12.75">
      <c r="A9" s="113"/>
      <c r="B9" s="113"/>
      <c r="C9" s="113"/>
      <c r="D9" s="113"/>
      <c r="E9" s="113"/>
      <c r="F9" s="113"/>
      <c r="G9" s="114"/>
      <c r="H9" s="115"/>
      <c r="I9" s="115"/>
    </row>
    <row r="10" spans="1:9" ht="12.75">
      <c r="A10" s="113"/>
      <c r="B10" s="113"/>
      <c r="C10" s="113"/>
      <c r="D10" s="113"/>
      <c r="E10" s="113"/>
      <c r="F10" s="113"/>
      <c r="G10" s="114"/>
      <c r="H10" s="115"/>
      <c r="I10" s="115"/>
    </row>
    <row r="11" spans="1:9" ht="12.75">
      <c r="A11" s="114" t="s">
        <v>301</v>
      </c>
      <c r="B11" s="113"/>
      <c r="C11" s="116"/>
      <c r="D11" s="117" t="s">
        <v>302</v>
      </c>
      <c r="E11" s="113"/>
      <c r="F11" s="113"/>
      <c r="G11" s="114"/>
      <c r="H11" s="115"/>
      <c r="I11" s="115"/>
    </row>
    <row r="12" spans="1:9" ht="13.5" thickBot="1">
      <c r="A12" s="113" t="s">
        <v>303</v>
      </c>
      <c r="B12" s="113"/>
      <c r="C12" s="695"/>
      <c r="D12" s="695"/>
      <c r="E12" s="695"/>
      <c r="F12" s="695"/>
      <c r="G12" s="114"/>
      <c r="H12" s="115"/>
      <c r="I12" s="115"/>
    </row>
    <row r="13" spans="1:9" ht="13.5" thickBot="1">
      <c r="A13" s="118" t="s">
        <v>196</v>
      </c>
      <c r="B13" s="119"/>
      <c r="C13" s="119"/>
      <c r="D13" s="120"/>
      <c r="E13" s="119"/>
      <c r="F13" s="121"/>
      <c r="G13" s="114"/>
      <c r="H13" s="115"/>
      <c r="I13" s="115"/>
    </row>
    <row r="14" spans="1:9" ht="13.5" thickBot="1">
      <c r="A14" s="122"/>
      <c r="B14" s="113"/>
      <c r="C14" s="113"/>
      <c r="D14" s="113"/>
      <c r="E14" s="113"/>
      <c r="F14" s="123"/>
      <c r="G14" s="114"/>
      <c r="H14" s="115"/>
      <c r="I14" s="115"/>
    </row>
    <row r="15" spans="1:9" ht="13.5" thickTop="1">
      <c r="A15" s="696" t="s">
        <v>304</v>
      </c>
      <c r="B15" s="697"/>
      <c r="C15" s="124">
        <v>83.2</v>
      </c>
      <c r="D15" s="113"/>
      <c r="E15" s="113" t="s">
        <v>305</v>
      </c>
      <c r="F15" s="123"/>
      <c r="G15" s="114"/>
      <c r="H15" s="115"/>
      <c r="I15" s="115"/>
    </row>
    <row r="16" spans="1:9" ht="12.75">
      <c r="A16" s="696" t="s">
        <v>306</v>
      </c>
      <c r="B16" s="697"/>
      <c r="C16" s="125">
        <v>628</v>
      </c>
      <c r="D16" s="113"/>
      <c r="E16" s="126">
        <f>C15*C16/100</f>
        <v>522.496</v>
      </c>
      <c r="F16" s="123"/>
      <c r="G16" s="114"/>
      <c r="H16" s="115"/>
      <c r="I16" s="115"/>
    </row>
    <row r="17" spans="1:9" ht="13.5" thickBot="1">
      <c r="A17" s="696" t="s">
        <v>198</v>
      </c>
      <c r="B17" s="697"/>
      <c r="C17" s="110">
        <v>257</v>
      </c>
      <c r="D17" s="113"/>
      <c r="E17" s="113"/>
      <c r="F17" s="123"/>
      <c r="G17" s="114"/>
      <c r="H17" s="115"/>
      <c r="I17" s="115"/>
    </row>
    <row r="18" spans="1:9" ht="13.5" thickTop="1">
      <c r="A18" s="111"/>
      <c r="B18" s="113"/>
      <c r="C18" s="113"/>
      <c r="D18" s="113"/>
      <c r="E18" s="113"/>
      <c r="F18" s="123"/>
      <c r="G18" s="114"/>
      <c r="H18" s="115"/>
      <c r="I18" s="115"/>
    </row>
    <row r="19" spans="1:9" ht="13.5" thickBot="1">
      <c r="A19" s="122" t="s">
        <v>199</v>
      </c>
      <c r="B19" s="127" t="s">
        <v>200</v>
      </c>
      <c r="C19" s="127" t="s">
        <v>201</v>
      </c>
      <c r="D19" s="106" t="s">
        <v>202</v>
      </c>
      <c r="E19" s="106" t="s">
        <v>203</v>
      </c>
      <c r="F19" s="123"/>
      <c r="G19" s="114"/>
      <c r="H19" s="115"/>
      <c r="I19" s="115"/>
    </row>
    <row r="20" spans="1:9" ht="13.5" thickTop="1">
      <c r="A20" s="128" t="s">
        <v>204</v>
      </c>
      <c r="B20" s="129"/>
      <c r="C20" s="92">
        <v>0</v>
      </c>
      <c r="D20" s="130">
        <v>0</v>
      </c>
      <c r="E20" s="116">
        <f aca="true" t="shared" si="0" ref="E20:E29">C20*D20</f>
        <v>0</v>
      </c>
      <c r="F20" s="123"/>
      <c r="G20" s="114"/>
      <c r="H20" s="115"/>
      <c r="I20" s="115"/>
    </row>
    <row r="21" spans="1:9" ht="12.75">
      <c r="A21" s="128" t="s">
        <v>205</v>
      </c>
      <c r="B21" s="131" t="s">
        <v>206</v>
      </c>
      <c r="C21" s="88">
        <v>15</v>
      </c>
      <c r="D21" s="132">
        <v>0.03</v>
      </c>
      <c r="E21" s="116">
        <f t="shared" si="0"/>
        <v>0.44999999999999996</v>
      </c>
      <c r="F21" s="123"/>
      <c r="G21" s="114"/>
      <c r="H21" s="115"/>
      <c r="I21" s="115"/>
    </row>
    <row r="22" spans="1:9" ht="12.75">
      <c r="A22" s="128" t="s">
        <v>207</v>
      </c>
      <c r="B22" s="131" t="s">
        <v>208</v>
      </c>
      <c r="C22" s="88">
        <v>0.06</v>
      </c>
      <c r="D22" s="132">
        <v>0.08</v>
      </c>
      <c r="E22" s="116">
        <f t="shared" si="0"/>
        <v>0.0048</v>
      </c>
      <c r="F22" s="123"/>
      <c r="G22" s="114"/>
      <c r="H22" s="115"/>
      <c r="I22" s="115"/>
    </row>
    <row r="23" spans="1:9" ht="12.75">
      <c r="A23" s="128" t="s">
        <v>209</v>
      </c>
      <c r="B23" s="133"/>
      <c r="C23" s="88">
        <v>0</v>
      </c>
      <c r="D23" s="132">
        <v>0</v>
      </c>
      <c r="E23" s="116">
        <f t="shared" si="0"/>
        <v>0</v>
      </c>
      <c r="F23" s="123"/>
      <c r="G23" s="114"/>
      <c r="H23" s="115"/>
      <c r="I23" s="115"/>
    </row>
    <row r="24" spans="1:9" ht="12.75">
      <c r="A24" s="128" t="s">
        <v>210</v>
      </c>
      <c r="B24" s="133"/>
      <c r="C24" s="88">
        <v>0</v>
      </c>
      <c r="D24" s="132">
        <v>0</v>
      </c>
      <c r="E24" s="116">
        <f t="shared" si="0"/>
        <v>0</v>
      </c>
      <c r="F24" s="123"/>
      <c r="G24" s="114"/>
      <c r="H24" s="115"/>
      <c r="I24" s="115"/>
    </row>
    <row r="25" spans="1:9" ht="12.75">
      <c r="A25" s="128" t="s">
        <v>211</v>
      </c>
      <c r="B25" s="133"/>
      <c r="C25" s="88">
        <v>0</v>
      </c>
      <c r="D25" s="132">
        <v>0</v>
      </c>
      <c r="E25" s="116">
        <f t="shared" si="0"/>
        <v>0</v>
      </c>
      <c r="F25" s="123"/>
      <c r="G25" s="114"/>
      <c r="H25" s="115"/>
      <c r="I25" s="115"/>
    </row>
    <row r="26" spans="1:9" ht="12.75">
      <c r="A26" s="128" t="s">
        <v>212</v>
      </c>
      <c r="B26" s="133"/>
      <c r="C26" s="88">
        <v>0</v>
      </c>
      <c r="D26" s="132">
        <v>0</v>
      </c>
      <c r="E26" s="116">
        <f t="shared" si="0"/>
        <v>0</v>
      </c>
      <c r="F26" s="123"/>
      <c r="G26" s="114"/>
      <c r="H26" s="115"/>
      <c r="I26" s="115"/>
    </row>
    <row r="27" spans="1:9" ht="12.75">
      <c r="A27" s="128" t="s">
        <v>213</v>
      </c>
      <c r="B27" s="133"/>
      <c r="C27" s="88">
        <v>0</v>
      </c>
      <c r="D27" s="132">
        <v>0</v>
      </c>
      <c r="E27" s="116">
        <f t="shared" si="0"/>
        <v>0</v>
      </c>
      <c r="F27" s="123"/>
      <c r="G27" s="114"/>
      <c r="H27" s="115"/>
      <c r="I27" s="115"/>
    </row>
    <row r="28" spans="1:9" ht="12.75">
      <c r="A28" s="128" t="s">
        <v>214</v>
      </c>
      <c r="B28" s="133"/>
      <c r="C28" s="88">
        <v>0</v>
      </c>
      <c r="D28" s="132">
        <v>0</v>
      </c>
      <c r="E28" s="116">
        <f t="shared" si="0"/>
        <v>0</v>
      </c>
      <c r="F28" s="123"/>
      <c r="G28" s="114"/>
      <c r="H28" s="115"/>
      <c r="I28" s="115"/>
    </row>
    <row r="29" spans="1:9" ht="13.5" thickBot="1">
      <c r="A29" s="128" t="s">
        <v>215</v>
      </c>
      <c r="B29" s="134"/>
      <c r="C29" s="89">
        <v>0</v>
      </c>
      <c r="D29" s="135">
        <v>0</v>
      </c>
      <c r="E29" s="116">
        <f t="shared" si="0"/>
        <v>0</v>
      </c>
      <c r="F29" s="123"/>
      <c r="G29" s="114"/>
      <c r="H29" s="115"/>
      <c r="I29" s="115"/>
    </row>
    <row r="30" spans="1:9" ht="13.5" thickTop="1">
      <c r="A30" s="128" t="s">
        <v>216</v>
      </c>
      <c r="B30" s="136"/>
      <c r="C30" s="116">
        <f>SUM(C20:C29)</f>
        <v>15.06</v>
      </c>
      <c r="D30" s="116">
        <f>SUM(D20:D29)</f>
        <v>0.11</v>
      </c>
      <c r="E30" s="116">
        <f>SUM(E20:E29)</f>
        <v>0.4548</v>
      </c>
      <c r="F30" s="123"/>
      <c r="G30" s="114"/>
      <c r="H30" s="115"/>
      <c r="I30" s="115"/>
    </row>
    <row r="31" spans="1:9" ht="13.5" thickBot="1">
      <c r="A31" s="111"/>
      <c r="B31" s="113"/>
      <c r="C31" s="113"/>
      <c r="D31" s="113"/>
      <c r="E31" s="113"/>
      <c r="F31" s="123"/>
      <c r="G31" s="114"/>
      <c r="H31" s="115"/>
      <c r="I31" s="115"/>
    </row>
    <row r="32" spans="1:9" ht="13.5" thickTop="1">
      <c r="A32" s="122" t="s">
        <v>217</v>
      </c>
      <c r="B32" s="136"/>
      <c r="C32" s="114"/>
      <c r="D32" s="137">
        <v>180</v>
      </c>
      <c r="E32" s="113"/>
      <c r="F32" s="123"/>
      <c r="G32" s="114"/>
      <c r="H32" s="115"/>
      <c r="I32" s="115"/>
    </row>
    <row r="33" spans="1:9" ht="12.75">
      <c r="A33" s="122" t="s">
        <v>218</v>
      </c>
      <c r="B33" s="136"/>
      <c r="C33" s="114"/>
      <c r="D33" s="75">
        <v>1.25</v>
      </c>
      <c r="E33" s="113"/>
      <c r="F33" s="123"/>
      <c r="G33" s="114"/>
      <c r="H33" s="115"/>
      <c r="I33" s="115"/>
    </row>
    <row r="34" spans="1:9" ht="12.75">
      <c r="A34" s="122" t="s">
        <v>307</v>
      </c>
      <c r="B34" s="136"/>
      <c r="C34" s="114"/>
      <c r="D34" s="82">
        <v>10</v>
      </c>
      <c r="E34" s="113"/>
      <c r="F34" s="123"/>
      <c r="G34" s="114"/>
      <c r="H34" s="115"/>
      <c r="I34" s="115"/>
    </row>
    <row r="35" spans="1:9" ht="12.75">
      <c r="A35" s="122" t="s">
        <v>220</v>
      </c>
      <c r="B35" s="136"/>
      <c r="C35" s="114"/>
      <c r="D35" s="138">
        <v>0</v>
      </c>
      <c r="E35" s="113"/>
      <c r="F35" s="123"/>
      <c r="G35" s="114"/>
      <c r="H35" s="115"/>
      <c r="I35" s="115"/>
    </row>
    <row r="36" spans="1:9" ht="12.75">
      <c r="A36" s="122" t="s">
        <v>221</v>
      </c>
      <c r="B36" s="136"/>
      <c r="C36" s="114"/>
      <c r="D36" s="138">
        <v>5.25</v>
      </c>
      <c r="E36" s="113"/>
      <c r="F36" s="123"/>
      <c r="G36" s="114"/>
      <c r="H36" s="115"/>
      <c r="I36" s="115"/>
    </row>
    <row r="37" spans="1:9" ht="12.75">
      <c r="A37" s="122" t="s">
        <v>222</v>
      </c>
      <c r="B37" s="136"/>
      <c r="C37" s="114"/>
      <c r="D37" s="138">
        <v>0</v>
      </c>
      <c r="E37" s="113"/>
      <c r="F37" s="123"/>
      <c r="G37" s="114"/>
      <c r="H37" s="115"/>
      <c r="I37" s="115"/>
    </row>
    <row r="38" spans="1:9" ht="12.75">
      <c r="A38" s="122" t="s">
        <v>223</v>
      </c>
      <c r="B38" s="136"/>
      <c r="C38" s="114"/>
      <c r="D38" s="138">
        <v>3</v>
      </c>
      <c r="E38" s="113"/>
      <c r="F38" s="123"/>
      <c r="G38" s="114"/>
      <c r="H38" s="115"/>
      <c r="I38" s="115"/>
    </row>
    <row r="39" spans="1:9" ht="12.75">
      <c r="A39" s="122" t="s">
        <v>224</v>
      </c>
      <c r="B39" s="136"/>
      <c r="C39" s="114"/>
      <c r="D39" s="138">
        <v>400</v>
      </c>
      <c r="E39" s="113"/>
      <c r="F39" s="123"/>
      <c r="G39" s="114"/>
      <c r="H39" s="115"/>
      <c r="I39" s="115"/>
    </row>
    <row r="40" spans="1:9" ht="13.5" thickBot="1">
      <c r="A40" s="122" t="s">
        <v>308</v>
      </c>
      <c r="B40" s="136"/>
      <c r="C40" s="114"/>
      <c r="D40" s="139">
        <v>1350</v>
      </c>
      <c r="E40" s="53" t="s">
        <v>225</v>
      </c>
      <c r="F40" s="123"/>
      <c r="G40" s="114"/>
      <c r="H40" s="115"/>
      <c r="I40" s="115"/>
    </row>
    <row r="41" spans="1:9" ht="14.25" thickBot="1" thickTop="1">
      <c r="A41" s="122" t="s">
        <v>227</v>
      </c>
      <c r="B41" s="127" t="s">
        <v>135</v>
      </c>
      <c r="C41" s="106" t="s">
        <v>203</v>
      </c>
      <c r="D41" s="106" t="s">
        <v>228</v>
      </c>
      <c r="E41" s="106" t="s">
        <v>309</v>
      </c>
      <c r="F41" s="123"/>
      <c r="G41" s="114"/>
      <c r="H41" s="115"/>
      <c r="I41" s="115"/>
    </row>
    <row r="42" spans="1:9" ht="13.5" thickTop="1">
      <c r="A42" s="128" t="s">
        <v>229</v>
      </c>
      <c r="B42" s="129"/>
      <c r="C42" s="140">
        <v>0</v>
      </c>
      <c r="D42" s="141">
        <v>0</v>
      </c>
      <c r="E42" s="142">
        <f aca="true" t="shared" si="1" ref="E42:E51">IF(D42&gt;0,C42/D42,0)</f>
        <v>0</v>
      </c>
      <c r="F42" s="123"/>
      <c r="G42" s="114"/>
      <c r="H42" s="115"/>
      <c r="I42" s="115"/>
    </row>
    <row r="43" spans="1:9" ht="12.75">
      <c r="A43" s="128" t="s">
        <v>230</v>
      </c>
      <c r="B43" s="133"/>
      <c r="C43" s="143">
        <v>0</v>
      </c>
      <c r="D43" s="144">
        <v>0</v>
      </c>
      <c r="E43" s="142">
        <f t="shared" si="1"/>
        <v>0</v>
      </c>
      <c r="F43" s="123"/>
      <c r="G43" s="114"/>
      <c r="H43" s="115"/>
      <c r="I43" s="115"/>
    </row>
    <row r="44" spans="1:9" ht="12.75">
      <c r="A44" s="128" t="s">
        <v>231</v>
      </c>
      <c r="B44" s="133"/>
      <c r="C44" s="143">
        <v>0</v>
      </c>
      <c r="D44" s="144">
        <v>0</v>
      </c>
      <c r="E44" s="142">
        <f t="shared" si="1"/>
        <v>0</v>
      </c>
      <c r="F44" s="123"/>
      <c r="G44" s="114"/>
      <c r="H44" s="115"/>
      <c r="I44" s="115"/>
    </row>
    <row r="45" spans="1:9" ht="12.75">
      <c r="A45" s="128" t="s">
        <v>232</v>
      </c>
      <c r="B45" s="133"/>
      <c r="C45" s="143">
        <v>0</v>
      </c>
      <c r="D45" s="144">
        <v>0</v>
      </c>
      <c r="E45" s="142">
        <f t="shared" si="1"/>
        <v>0</v>
      </c>
      <c r="F45" s="123"/>
      <c r="G45" s="114"/>
      <c r="H45" s="115"/>
      <c r="I45" s="115"/>
    </row>
    <row r="46" spans="1:9" ht="12.75">
      <c r="A46" s="128" t="s">
        <v>210</v>
      </c>
      <c r="B46" s="133"/>
      <c r="C46" s="143">
        <v>0</v>
      </c>
      <c r="D46" s="144">
        <v>0</v>
      </c>
      <c r="E46" s="142">
        <f t="shared" si="1"/>
        <v>0</v>
      </c>
      <c r="F46" s="123"/>
      <c r="G46" s="114"/>
      <c r="H46" s="115"/>
      <c r="I46" s="115"/>
    </row>
    <row r="47" spans="1:9" ht="12.75">
      <c r="A47" s="128" t="s">
        <v>211</v>
      </c>
      <c r="B47" s="133"/>
      <c r="C47" s="143">
        <v>0</v>
      </c>
      <c r="D47" s="144">
        <v>0</v>
      </c>
      <c r="E47" s="142">
        <f t="shared" si="1"/>
        <v>0</v>
      </c>
      <c r="F47" s="123"/>
      <c r="G47" s="114"/>
      <c r="H47" s="115"/>
      <c r="I47" s="115"/>
    </row>
    <row r="48" spans="1:9" ht="12.75">
      <c r="A48" s="128" t="s">
        <v>212</v>
      </c>
      <c r="B48" s="133"/>
      <c r="C48" s="143">
        <v>0</v>
      </c>
      <c r="D48" s="144">
        <v>0</v>
      </c>
      <c r="E48" s="142">
        <f t="shared" si="1"/>
        <v>0</v>
      </c>
      <c r="F48" s="123"/>
      <c r="G48" s="114"/>
      <c r="H48" s="115"/>
      <c r="I48" s="115"/>
    </row>
    <row r="49" spans="1:9" ht="12.75">
      <c r="A49" s="128" t="s">
        <v>213</v>
      </c>
      <c r="B49" s="133"/>
      <c r="C49" s="143">
        <v>0</v>
      </c>
      <c r="D49" s="144">
        <v>0</v>
      </c>
      <c r="E49" s="142">
        <f t="shared" si="1"/>
        <v>0</v>
      </c>
      <c r="F49" s="123"/>
      <c r="G49" s="114"/>
      <c r="H49" s="115"/>
      <c r="I49" s="115"/>
    </row>
    <row r="50" spans="1:9" ht="12.75">
      <c r="A50" s="128" t="s">
        <v>214</v>
      </c>
      <c r="B50" s="133"/>
      <c r="C50" s="143">
        <v>0</v>
      </c>
      <c r="D50" s="144">
        <v>0</v>
      </c>
      <c r="E50" s="142">
        <f t="shared" si="1"/>
        <v>0</v>
      </c>
      <c r="F50" s="123"/>
      <c r="G50" s="114"/>
      <c r="H50" s="115"/>
      <c r="I50" s="115"/>
    </row>
    <row r="51" spans="1:9" ht="13.5" thickBot="1">
      <c r="A51" s="128" t="s">
        <v>215</v>
      </c>
      <c r="B51" s="134"/>
      <c r="C51" s="145">
        <v>0</v>
      </c>
      <c r="D51" s="146">
        <v>0</v>
      </c>
      <c r="E51" s="142">
        <f t="shared" si="1"/>
        <v>0</v>
      </c>
      <c r="F51" s="123"/>
      <c r="G51" s="114"/>
      <c r="H51" s="115"/>
      <c r="I51" s="10"/>
    </row>
    <row r="52" spans="1:9" ht="13.5" thickTop="1">
      <c r="A52" s="128" t="s">
        <v>233</v>
      </c>
      <c r="B52" s="136"/>
      <c r="C52" s="142">
        <f>SUM(C42:C51)</f>
        <v>0</v>
      </c>
      <c r="D52" s="136"/>
      <c r="E52" s="142">
        <f>SUM(E42:E51)</f>
        <v>0</v>
      </c>
      <c r="F52" s="123"/>
      <c r="G52" s="114"/>
      <c r="H52" s="115"/>
      <c r="I52" s="115"/>
    </row>
    <row r="53" spans="1:9" ht="13.5" thickBot="1">
      <c r="A53" s="111"/>
      <c r="B53" s="113"/>
      <c r="C53" s="113"/>
      <c r="D53" s="113"/>
      <c r="E53" s="113"/>
      <c r="F53" s="123"/>
      <c r="G53" s="114"/>
      <c r="H53" s="115"/>
      <c r="I53" s="115"/>
    </row>
    <row r="54" spans="1:10" ht="13.5" thickTop="1">
      <c r="A54" s="122" t="s">
        <v>234</v>
      </c>
      <c r="B54" s="136"/>
      <c r="C54" s="114"/>
      <c r="D54" s="147">
        <v>0</v>
      </c>
      <c r="E54" s="113"/>
      <c r="F54" s="123"/>
      <c r="G54" s="114"/>
      <c r="H54" s="115"/>
      <c r="I54" s="115"/>
      <c r="J54" s="4"/>
    </row>
    <row r="55" spans="1:10" ht="12.75">
      <c r="A55" s="148" t="s">
        <v>310</v>
      </c>
      <c r="B55" s="136"/>
      <c r="C55" s="114"/>
      <c r="D55" s="138">
        <v>0</v>
      </c>
      <c r="E55" s="113"/>
      <c r="F55" s="123"/>
      <c r="G55" s="114"/>
      <c r="H55" s="115"/>
      <c r="I55" s="115"/>
      <c r="J55" s="4"/>
    </row>
    <row r="56" spans="1:9" ht="12.75">
      <c r="A56" s="122" t="s">
        <v>311</v>
      </c>
      <c r="B56" s="136"/>
      <c r="C56" s="114"/>
      <c r="D56" s="82">
        <v>2</v>
      </c>
      <c r="E56" s="113"/>
      <c r="F56" s="123"/>
      <c r="G56" s="114"/>
      <c r="H56" s="115"/>
      <c r="I56" s="115"/>
    </row>
    <row r="57" spans="1:9" ht="12.75">
      <c r="A57" s="122" t="s">
        <v>312</v>
      </c>
      <c r="B57" s="136"/>
      <c r="C57" s="114"/>
      <c r="D57" s="82">
        <v>0</v>
      </c>
      <c r="E57" s="149"/>
      <c r="F57" s="150"/>
      <c r="G57" s="114"/>
      <c r="H57" s="115"/>
      <c r="I57" s="115"/>
    </row>
    <row r="58" spans="1:9" ht="12.75">
      <c r="A58" s="122" t="s">
        <v>313</v>
      </c>
      <c r="B58" s="136"/>
      <c r="C58" s="114"/>
      <c r="D58" s="82">
        <v>3</v>
      </c>
      <c r="E58" s="113"/>
      <c r="F58" s="123"/>
      <c r="G58" s="114"/>
      <c r="H58" s="115"/>
      <c r="I58" s="115"/>
    </row>
    <row r="59" spans="1:9" ht="12.75">
      <c r="A59" s="122" t="s">
        <v>314</v>
      </c>
      <c r="B59" s="136"/>
      <c r="C59" s="114"/>
      <c r="D59" s="138">
        <v>8</v>
      </c>
      <c r="E59" s="51"/>
      <c r="F59" s="123"/>
      <c r="G59" s="114"/>
      <c r="H59" s="115"/>
      <c r="I59" s="115"/>
    </row>
    <row r="60" spans="1:9" ht="12.75">
      <c r="A60" s="122" t="s">
        <v>315</v>
      </c>
      <c r="B60" s="136"/>
      <c r="C60" s="114"/>
      <c r="D60" s="138">
        <v>1</v>
      </c>
      <c r="E60" s="113"/>
      <c r="F60" s="123"/>
      <c r="G60" s="114"/>
      <c r="H60" s="115"/>
      <c r="I60" s="115"/>
    </row>
    <row r="61" spans="1:10" ht="12.75">
      <c r="A61" s="122" t="s">
        <v>316</v>
      </c>
      <c r="B61" s="136"/>
      <c r="C61" s="114"/>
      <c r="D61" s="138">
        <v>0</v>
      </c>
      <c r="E61" s="113"/>
      <c r="F61" s="123"/>
      <c r="G61" s="114"/>
      <c r="H61" s="115"/>
      <c r="I61" s="115"/>
      <c r="J61" s="4"/>
    </row>
    <row r="62" spans="1:9" ht="13.5" thickBot="1">
      <c r="A62" s="122" t="s">
        <v>317</v>
      </c>
      <c r="B62" s="136"/>
      <c r="C62" s="114"/>
      <c r="D62" s="139">
        <v>75</v>
      </c>
      <c r="E62" s="113"/>
      <c r="F62" s="123"/>
      <c r="G62" s="114"/>
      <c r="H62" s="115"/>
      <c r="I62" s="115"/>
    </row>
    <row r="63" spans="1:9" ht="17.25" thickBot="1" thickTop="1">
      <c r="A63" s="693" t="s">
        <v>235</v>
      </c>
      <c r="B63" s="694"/>
      <c r="C63" s="694"/>
      <c r="D63" s="151"/>
      <c r="E63" s="151"/>
      <c r="F63" s="152"/>
      <c r="G63" s="114"/>
      <c r="H63" s="115"/>
      <c r="I63" s="115"/>
    </row>
    <row r="64" spans="1:10" ht="12.75">
      <c r="A64" s="153" t="s">
        <v>236</v>
      </c>
      <c r="B64" s="51"/>
      <c r="C64" s="114"/>
      <c r="D64" s="154">
        <f>(((1-(D57/100))*C16)+(D33*D32))*(1-(D58/100))</f>
        <v>827.41</v>
      </c>
      <c r="E64" s="113"/>
      <c r="F64" s="123"/>
      <c r="G64" s="114"/>
      <c r="H64" s="115"/>
      <c r="I64" s="115"/>
      <c r="J64" s="4"/>
    </row>
    <row r="65" spans="1:9" ht="12.75">
      <c r="A65" s="153" t="s">
        <v>238</v>
      </c>
      <c r="B65" s="51"/>
      <c r="C65" s="114"/>
      <c r="D65" s="155">
        <f>((C52/2)*(D34/100)/C17)+((D32/365)*(D34/100)*(((C15*C16)/100)+D37+(D39/C17)))+((E30*D32+D35+D54*D32+D36+D61/C17+D40/C17+D60)*(D34/100)*D32/730)</f>
        <v>28.145878982996642</v>
      </c>
      <c r="E65" s="114"/>
      <c r="F65" s="123"/>
      <c r="G65" s="114"/>
      <c r="H65" s="115"/>
      <c r="I65" s="115"/>
    </row>
    <row r="66" spans="1:9" ht="12.75">
      <c r="A66" s="153" t="s">
        <v>239</v>
      </c>
      <c r="B66" s="51"/>
      <c r="C66" s="114"/>
      <c r="D66" s="156">
        <f>(D39+D40+D61+E52)/C17+(E30+D54)*D32+D35+D36+D37+D38+D59+D60+D65+D62*(D64/100)*(D56/100)+(D55*D32*D33)</f>
        <v>146.4803675043974</v>
      </c>
      <c r="E66" s="113"/>
      <c r="F66" s="123"/>
      <c r="G66" s="114"/>
      <c r="H66" s="115"/>
      <c r="I66" s="115"/>
    </row>
    <row r="67" spans="1:9" ht="12.75">
      <c r="A67" s="122" t="s">
        <v>240</v>
      </c>
      <c r="B67" s="136"/>
      <c r="C67" s="114"/>
      <c r="D67" s="156">
        <f>D66+E16</f>
        <v>668.9763675043973</v>
      </c>
      <c r="E67" s="113"/>
      <c r="F67" s="123"/>
      <c r="G67" s="114"/>
      <c r="H67" s="115"/>
      <c r="I67" s="115"/>
    </row>
    <row r="68" spans="1:9" ht="12.75">
      <c r="A68" s="153" t="s">
        <v>241</v>
      </c>
      <c r="B68" s="51"/>
      <c r="C68" s="114"/>
      <c r="D68" s="156">
        <f>D66/D32</f>
        <v>0.8137798194688745</v>
      </c>
      <c r="E68" s="113"/>
      <c r="F68" s="123"/>
      <c r="G68" s="114"/>
      <c r="H68" s="115"/>
      <c r="I68" s="115"/>
    </row>
    <row r="69" spans="1:9" ht="12.75">
      <c r="A69" s="153" t="s">
        <v>242</v>
      </c>
      <c r="B69" s="51"/>
      <c r="C69" s="114"/>
      <c r="D69" s="157">
        <f>D66/(D64-C16)</f>
        <v>0.7345688155277942</v>
      </c>
      <c r="E69" s="113"/>
      <c r="F69" s="123"/>
      <c r="G69" s="114"/>
      <c r="H69" s="115"/>
      <c r="I69" s="115"/>
    </row>
    <row r="70" spans="1:9" ht="12.75">
      <c r="A70" s="158"/>
      <c r="B70" s="51"/>
      <c r="C70" s="114"/>
      <c r="D70" s="136"/>
      <c r="E70" s="113"/>
      <c r="F70" s="123"/>
      <c r="G70" s="114"/>
      <c r="H70" s="115"/>
      <c r="I70" s="115"/>
    </row>
    <row r="71" spans="1:9" ht="12.75">
      <c r="A71" s="153" t="s">
        <v>243</v>
      </c>
      <c r="B71" s="51"/>
      <c r="C71" s="114"/>
      <c r="D71" s="159">
        <f>(D66+E16)/(D64/100)</f>
        <v>80.85185911511795</v>
      </c>
      <c r="E71" s="113"/>
      <c r="F71" s="123"/>
      <c r="G71" s="114"/>
      <c r="H71" s="115"/>
      <c r="I71" s="115"/>
    </row>
    <row r="72" spans="1:9" ht="12.75">
      <c r="A72" s="153" t="s">
        <v>244</v>
      </c>
      <c r="B72" s="51"/>
      <c r="C72" s="114"/>
      <c r="D72" s="156">
        <f>(D74-D66)*100/C16</f>
        <v>75.48998925089212</v>
      </c>
      <c r="E72" s="113"/>
      <c r="F72" s="123"/>
      <c r="G72" s="114"/>
      <c r="H72" s="115"/>
      <c r="I72" s="115"/>
    </row>
    <row r="73" spans="1:9" ht="12.75">
      <c r="A73" s="153"/>
      <c r="B73" s="160"/>
      <c r="C73" s="114"/>
      <c r="D73" s="161"/>
      <c r="E73" s="113"/>
      <c r="F73" s="123"/>
      <c r="G73" s="114"/>
      <c r="H73" s="115"/>
      <c r="I73" s="115"/>
    </row>
    <row r="74" spans="1:9" ht="12.75">
      <c r="A74" s="158" t="s">
        <v>318</v>
      </c>
      <c r="B74" s="51"/>
      <c r="C74" s="114"/>
      <c r="D74" s="162">
        <f>D62*D64/100</f>
        <v>620.5575</v>
      </c>
      <c r="E74" s="113"/>
      <c r="F74" s="123"/>
      <c r="G74" s="114"/>
      <c r="H74" s="115"/>
      <c r="I74" s="115"/>
    </row>
    <row r="75" spans="1:9" ht="12.75">
      <c r="A75" s="153" t="s">
        <v>245</v>
      </c>
      <c r="B75" s="51"/>
      <c r="C75" s="168"/>
      <c r="D75" s="156">
        <f>D74-E16-D66</f>
        <v>-48.41886750439738</v>
      </c>
      <c r="E75" s="169"/>
      <c r="F75" s="123"/>
      <c r="G75" s="114"/>
      <c r="H75" s="115"/>
      <c r="I75" s="115"/>
    </row>
    <row r="76" spans="1:9" ht="13.5" thickBot="1">
      <c r="A76" s="163" t="s">
        <v>246</v>
      </c>
      <c r="B76" s="164"/>
      <c r="C76" s="170"/>
      <c r="D76" s="171">
        <f>D75*C17</f>
        <v>-12443.648948630127</v>
      </c>
      <c r="E76" s="172"/>
      <c r="F76" s="165"/>
      <c r="G76" s="114"/>
      <c r="H76" s="115"/>
      <c r="I76" s="115"/>
    </row>
    <row r="77" spans="1:9" ht="12.75">
      <c r="A77" s="115"/>
      <c r="B77" s="115"/>
      <c r="C77" s="115"/>
      <c r="D77" s="115"/>
      <c r="E77" s="115"/>
      <c r="F77" s="115"/>
      <c r="G77" s="115"/>
      <c r="H77" s="115"/>
      <c r="I77" s="115"/>
    </row>
    <row r="78" spans="1:9" ht="12.75">
      <c r="A78" s="115"/>
      <c r="B78" s="115"/>
      <c r="C78" s="115"/>
      <c r="D78" s="115"/>
      <c r="E78" s="115"/>
      <c r="F78" s="115"/>
      <c r="G78" s="115"/>
      <c r="H78" s="115"/>
      <c r="I78" s="115"/>
    </row>
    <row r="79" ht="12.75">
      <c r="H79" s="115"/>
    </row>
    <row r="80" ht="12.75">
      <c r="H80" s="115"/>
    </row>
    <row r="81" spans="1:8" ht="12.75">
      <c r="A81" s="113"/>
      <c r="B81" s="113"/>
      <c r="C81" s="113"/>
      <c r="D81" s="113"/>
      <c r="E81" s="113"/>
      <c r="F81" s="113"/>
      <c r="G81" s="114"/>
      <c r="H81" s="115"/>
    </row>
    <row r="82" spans="1:7" ht="12.75">
      <c r="A82" s="113"/>
      <c r="B82" s="113"/>
      <c r="C82" s="113"/>
      <c r="D82" s="113"/>
      <c r="E82" s="113"/>
      <c r="F82" s="113"/>
      <c r="G82" s="114"/>
    </row>
    <row r="83" spans="1:7" ht="12.75">
      <c r="A83" s="113"/>
      <c r="B83" s="113"/>
      <c r="C83" s="113"/>
      <c r="D83" s="113"/>
      <c r="E83" s="113"/>
      <c r="F83" s="113"/>
      <c r="G83" s="114"/>
    </row>
    <row r="84" spans="1:7" ht="12.75">
      <c r="A84" s="113"/>
      <c r="B84" s="113"/>
      <c r="C84" s="113"/>
      <c r="D84" s="113"/>
      <c r="E84" s="113"/>
      <c r="F84" s="113"/>
      <c r="G84" s="114"/>
    </row>
    <row r="85" spans="1:7" ht="12.75">
      <c r="A85" s="166"/>
      <c r="B85" s="166"/>
      <c r="C85" s="166"/>
      <c r="D85" s="166"/>
      <c r="E85" s="166"/>
      <c r="F85" s="166"/>
      <c r="G85" s="167"/>
    </row>
    <row r="86" spans="1:7" ht="12.75">
      <c r="A86" s="167"/>
      <c r="B86" s="167"/>
      <c r="C86" s="167"/>
      <c r="D86" s="167"/>
      <c r="E86" s="167"/>
      <c r="F86" s="167"/>
      <c r="G86" s="167"/>
    </row>
  </sheetData>
  <sheetProtection sheet="1" objects="1" scenarios="1" formatCells="0" formatColumns="0" formatRows="0"/>
  <mergeCells count="5">
    <mergeCell ref="A63:C63"/>
    <mergeCell ref="C12:F12"/>
    <mergeCell ref="A15:B15"/>
    <mergeCell ref="A16:B16"/>
    <mergeCell ref="A17:B17"/>
  </mergeCells>
  <printOptions horizontalCentered="1"/>
  <pageMargins left="0.4" right="0.4" top="0.333" bottom="0.333" header="0.5" footer="0.5"/>
  <pageSetup fitToHeight="1" fitToWidth="1" horizontalDpi="300" verticalDpi="300" orientation="portrait" scale="76" r:id="rId4"/>
  <drawing r:id="rId3"/>
  <legacyDrawing r:id="rId2"/>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T60"/>
  <sheetViews>
    <sheetView showGridLines="0" zoomScale="90" zoomScaleNormal="90" zoomScalePageLayoutView="0" workbookViewId="0" topLeftCell="A1">
      <selection activeCell="B4" sqref="B4"/>
    </sheetView>
  </sheetViews>
  <sheetFormatPr defaultColWidth="9.7109375" defaultRowHeight="12.75"/>
  <cols>
    <col min="1" max="1" width="6.7109375" style="0" customWidth="1"/>
    <col min="2" max="2" width="39.00390625" style="0" customWidth="1"/>
    <col min="3" max="3" width="15.7109375" style="0" customWidth="1"/>
    <col min="4" max="4" width="15.421875" style="0" customWidth="1"/>
    <col min="5" max="20" width="9.7109375" style="0" customWidth="1"/>
  </cols>
  <sheetData>
    <row r="1" spans="1:20" ht="12.75">
      <c r="A1" s="115"/>
      <c r="B1" s="1"/>
      <c r="C1" s="1"/>
      <c r="D1" s="1"/>
      <c r="E1" s="1"/>
      <c r="F1" s="1"/>
      <c r="G1" s="1"/>
      <c r="H1" s="1"/>
      <c r="I1" s="1"/>
      <c r="J1" s="1"/>
      <c r="K1" s="1"/>
      <c r="L1" s="1"/>
      <c r="M1" s="1"/>
      <c r="N1" s="1"/>
      <c r="O1" s="1"/>
      <c r="P1" s="1"/>
      <c r="Q1" s="1"/>
      <c r="R1" s="1"/>
      <c r="S1" s="1"/>
      <c r="T1" s="1"/>
    </row>
    <row r="2" spans="1:20" ht="12.75">
      <c r="A2" s="115"/>
      <c r="B2" s="1"/>
      <c r="C2" s="1"/>
      <c r="D2" s="1"/>
      <c r="E2" s="1"/>
      <c r="F2" s="1"/>
      <c r="G2" s="1"/>
      <c r="H2" s="1"/>
      <c r="I2" s="1"/>
      <c r="J2" s="1"/>
      <c r="K2" s="1"/>
      <c r="L2" s="1"/>
      <c r="M2" s="1"/>
      <c r="N2" s="1"/>
      <c r="O2" s="1"/>
      <c r="P2" s="1"/>
      <c r="Q2" s="1"/>
      <c r="R2" s="1"/>
      <c r="S2" s="1"/>
      <c r="T2" s="1"/>
    </row>
    <row r="3" spans="1:20" ht="12.75">
      <c r="A3" s="115"/>
      <c r="B3" s="1"/>
      <c r="C3" s="1"/>
      <c r="D3" s="1"/>
      <c r="E3" s="1"/>
      <c r="F3" s="1"/>
      <c r="G3" s="1"/>
      <c r="H3" s="1"/>
      <c r="I3" s="1"/>
      <c r="J3" s="1"/>
      <c r="K3" s="1"/>
      <c r="L3" s="1"/>
      <c r="M3" s="1"/>
      <c r="N3" s="1"/>
      <c r="O3" s="1"/>
      <c r="P3" s="1"/>
      <c r="Q3" s="1"/>
      <c r="R3" s="1"/>
      <c r="S3" s="1"/>
      <c r="T3" s="1"/>
    </row>
    <row r="4" spans="1:20" ht="12.75">
      <c r="A4" s="115"/>
      <c r="B4" s="1"/>
      <c r="C4" s="1"/>
      <c r="D4" s="1"/>
      <c r="E4" s="1"/>
      <c r="F4" s="1"/>
      <c r="G4" s="1"/>
      <c r="H4" s="1"/>
      <c r="I4" s="1"/>
      <c r="J4" s="1"/>
      <c r="K4" s="1"/>
      <c r="L4" s="1"/>
      <c r="M4" s="1"/>
      <c r="N4" s="1"/>
      <c r="O4" s="1"/>
      <c r="P4" s="1"/>
      <c r="Q4" s="1"/>
      <c r="R4" s="1"/>
      <c r="S4" s="1"/>
      <c r="T4" s="1"/>
    </row>
    <row r="5" spans="1:20" ht="12.75">
      <c r="A5" s="115"/>
      <c r="B5" s="1"/>
      <c r="C5" s="1"/>
      <c r="D5" s="1"/>
      <c r="E5" s="1"/>
      <c r="F5" s="1"/>
      <c r="G5" s="1"/>
      <c r="H5" s="1"/>
      <c r="I5" s="1"/>
      <c r="J5" s="1"/>
      <c r="K5" s="1"/>
      <c r="L5" s="1"/>
      <c r="M5" s="1"/>
      <c r="N5" s="1"/>
      <c r="O5" s="1"/>
      <c r="P5" s="1"/>
      <c r="Q5" s="1"/>
      <c r="R5" s="1"/>
      <c r="S5" s="1"/>
      <c r="T5" s="1"/>
    </row>
    <row r="6" spans="1:20" ht="16.5" customHeight="1" thickBot="1">
      <c r="A6" s="115"/>
      <c r="B6" s="3" t="s">
        <v>247</v>
      </c>
      <c r="C6" s="1"/>
      <c r="D6" s="2"/>
      <c r="E6" s="1"/>
      <c r="F6" s="1"/>
      <c r="G6" s="1"/>
      <c r="H6" s="1"/>
      <c r="I6" s="1"/>
      <c r="J6" s="1"/>
      <c r="K6" s="1"/>
      <c r="L6" s="1"/>
      <c r="M6" s="1"/>
      <c r="N6" s="1"/>
      <c r="O6" s="1"/>
      <c r="P6" s="1"/>
      <c r="Q6" s="1"/>
      <c r="R6" s="1"/>
      <c r="S6" s="1"/>
      <c r="T6" s="1"/>
    </row>
    <row r="7" spans="1:20" ht="15" customHeight="1" thickBot="1" thickTop="1">
      <c r="A7" s="115"/>
      <c r="B7" s="25" t="s">
        <v>196</v>
      </c>
      <c r="C7" s="26"/>
      <c r="D7" s="27"/>
      <c r="E7" s="26"/>
      <c r="F7" s="28"/>
      <c r="G7" s="1"/>
      <c r="H7" s="1"/>
      <c r="I7" s="1"/>
      <c r="J7" s="1"/>
      <c r="K7" s="1"/>
      <c r="L7" s="1"/>
      <c r="M7" s="1"/>
      <c r="N7" s="1"/>
      <c r="O7" s="1"/>
      <c r="P7" s="1"/>
      <c r="Q7" s="1"/>
      <c r="R7" s="1"/>
      <c r="S7" s="1"/>
      <c r="T7" s="1"/>
    </row>
    <row r="8" spans="1:20" ht="12.75" customHeight="1" thickBot="1">
      <c r="A8" s="115"/>
      <c r="B8" s="13" t="s">
        <v>248</v>
      </c>
      <c r="C8" s="1"/>
      <c r="D8" s="2"/>
      <c r="E8" s="115"/>
      <c r="F8" s="8"/>
      <c r="G8" s="1"/>
      <c r="H8" s="1"/>
      <c r="I8" s="1"/>
      <c r="J8" s="1"/>
      <c r="K8" s="1"/>
      <c r="L8" s="1"/>
      <c r="M8" s="1"/>
      <c r="N8" s="1"/>
      <c r="O8" s="1"/>
      <c r="P8" s="1"/>
      <c r="Q8" s="1"/>
      <c r="R8" s="1"/>
      <c r="S8" s="1"/>
      <c r="T8" s="1"/>
    </row>
    <row r="9" spans="1:20" ht="12.75" customHeight="1" thickTop="1">
      <c r="A9" s="115"/>
      <c r="B9" s="13" t="s">
        <v>249</v>
      </c>
      <c r="C9" s="1"/>
      <c r="D9" s="174">
        <v>73</v>
      </c>
      <c r="E9" s="115"/>
      <c r="F9" s="8"/>
      <c r="G9" s="1"/>
      <c r="H9" s="1"/>
      <c r="I9" s="1"/>
      <c r="J9" s="1"/>
      <c r="K9" s="1"/>
      <c r="L9" s="1"/>
      <c r="M9" s="1"/>
      <c r="N9" s="1"/>
      <c r="O9" s="1"/>
      <c r="P9" s="1"/>
      <c r="Q9" s="1"/>
      <c r="R9" s="1"/>
      <c r="S9" s="1"/>
      <c r="T9" s="1"/>
    </row>
    <row r="10" spans="1:20" ht="12.75" customHeight="1">
      <c r="A10" s="115"/>
      <c r="B10" s="13" t="s">
        <v>250</v>
      </c>
      <c r="C10" s="1"/>
      <c r="D10" s="175">
        <v>825</v>
      </c>
      <c r="E10" s="115"/>
      <c r="F10" s="8"/>
      <c r="G10" s="1"/>
      <c r="H10" s="1"/>
      <c r="I10" s="1"/>
      <c r="J10" s="1"/>
      <c r="K10" s="1"/>
      <c r="L10" s="1"/>
      <c r="M10" s="1"/>
      <c r="N10" s="1"/>
      <c r="O10" s="1"/>
      <c r="P10" s="1"/>
      <c r="Q10" s="1"/>
      <c r="R10" s="1"/>
      <c r="S10" s="1"/>
      <c r="T10" s="1"/>
    </row>
    <row r="11" spans="1:20" ht="12.75" customHeight="1">
      <c r="A11" s="115"/>
      <c r="B11" s="13" t="s">
        <v>251</v>
      </c>
      <c r="C11" s="1"/>
      <c r="D11" s="176">
        <v>250</v>
      </c>
      <c r="E11" s="115"/>
      <c r="F11" s="8"/>
      <c r="G11" s="1"/>
      <c r="H11" s="1"/>
      <c r="I11" s="1"/>
      <c r="J11" s="1"/>
      <c r="K11" s="1"/>
      <c r="L11" s="1"/>
      <c r="M11" s="1"/>
      <c r="N11" s="1"/>
      <c r="O11" s="1"/>
      <c r="P11" s="1"/>
      <c r="Q11" s="1"/>
      <c r="R11" s="1"/>
      <c r="S11" s="1"/>
      <c r="T11" s="1"/>
    </row>
    <row r="12" spans="1:20" ht="12.75" customHeight="1">
      <c r="A12" s="115"/>
      <c r="B12" s="13" t="s">
        <v>252</v>
      </c>
      <c r="C12" s="1"/>
      <c r="D12" s="40">
        <f>15*0.7</f>
        <v>10.5</v>
      </c>
      <c r="E12" s="115"/>
      <c r="F12" s="8"/>
      <c r="G12" s="1"/>
      <c r="H12" s="1"/>
      <c r="I12" s="1"/>
      <c r="J12" s="1"/>
      <c r="K12" s="1"/>
      <c r="L12" s="1"/>
      <c r="M12" s="1"/>
      <c r="N12" s="1"/>
      <c r="O12" s="1"/>
      <c r="P12" s="1"/>
      <c r="Q12" s="1"/>
      <c r="R12" s="1"/>
      <c r="S12" s="1"/>
      <c r="T12" s="1"/>
    </row>
    <row r="13" spans="1:20" ht="12.75" customHeight="1">
      <c r="A13" s="115"/>
      <c r="B13" s="13" t="s">
        <v>253</v>
      </c>
      <c r="C13" s="1"/>
      <c r="D13" s="42">
        <v>150</v>
      </c>
      <c r="E13" s="115"/>
      <c r="F13" s="8"/>
      <c r="G13" s="1"/>
      <c r="H13" s="1"/>
      <c r="I13" s="1"/>
      <c r="J13" s="1"/>
      <c r="K13" s="1"/>
      <c r="L13" s="1"/>
      <c r="M13" s="1"/>
      <c r="N13" s="1"/>
      <c r="O13" s="1"/>
      <c r="P13" s="1"/>
      <c r="Q13" s="1"/>
      <c r="R13" s="1"/>
      <c r="S13" s="1"/>
      <c r="T13" s="1"/>
    </row>
    <row r="14" spans="1:20" ht="12.75" customHeight="1">
      <c r="A14" s="115"/>
      <c r="B14" s="13" t="s">
        <v>254</v>
      </c>
      <c r="C14" s="1"/>
      <c r="D14" s="40">
        <v>1.5</v>
      </c>
      <c r="E14" s="115"/>
      <c r="F14" s="8"/>
      <c r="G14" s="1"/>
      <c r="H14" s="1"/>
      <c r="I14" s="1"/>
      <c r="J14" s="1"/>
      <c r="K14" s="1"/>
      <c r="L14" s="1"/>
      <c r="M14" s="1"/>
      <c r="N14" s="1"/>
      <c r="O14" s="1"/>
      <c r="P14" s="1"/>
      <c r="Q14" s="1"/>
      <c r="R14" s="1"/>
      <c r="S14" s="1"/>
      <c r="T14" s="1"/>
    </row>
    <row r="15" spans="1:20" ht="12.75" customHeight="1">
      <c r="A15" s="115"/>
      <c r="B15" s="13" t="s">
        <v>255</v>
      </c>
      <c r="C15" s="1"/>
      <c r="D15" s="40">
        <v>10</v>
      </c>
      <c r="E15" s="115"/>
      <c r="F15" s="8"/>
      <c r="G15" s="1"/>
      <c r="H15" s="1"/>
      <c r="I15" s="1"/>
      <c r="J15" s="1"/>
      <c r="K15" s="1"/>
      <c r="L15" s="1"/>
      <c r="M15" s="1"/>
      <c r="N15" s="1"/>
      <c r="O15" s="1"/>
      <c r="P15" s="1"/>
      <c r="Q15" s="1"/>
      <c r="R15" s="1"/>
      <c r="S15" s="1"/>
      <c r="T15" s="1"/>
    </row>
    <row r="16" spans="1:20" ht="12.75" customHeight="1">
      <c r="A16" s="115"/>
      <c r="B16" s="13" t="s">
        <v>256</v>
      </c>
      <c r="C16" s="1"/>
      <c r="D16" s="173"/>
      <c r="E16" s="115"/>
      <c r="F16" s="8"/>
      <c r="G16" s="1"/>
      <c r="H16" s="1"/>
      <c r="I16" s="1"/>
      <c r="J16" s="1"/>
      <c r="K16" s="1"/>
      <c r="L16" s="1"/>
      <c r="M16" s="1"/>
      <c r="N16" s="1"/>
      <c r="O16" s="1"/>
      <c r="P16" s="1"/>
      <c r="Q16" s="1"/>
      <c r="R16" s="1"/>
      <c r="S16" s="1"/>
      <c r="T16" s="1"/>
    </row>
    <row r="17" spans="1:20" ht="12.75" customHeight="1">
      <c r="A17" s="115"/>
      <c r="B17" s="13" t="s">
        <v>257</v>
      </c>
      <c r="C17" s="1"/>
      <c r="D17" s="40">
        <v>3.5</v>
      </c>
      <c r="E17" s="115"/>
      <c r="F17" s="8"/>
      <c r="G17" s="1"/>
      <c r="H17" s="1"/>
      <c r="I17" s="1"/>
      <c r="J17" s="1"/>
      <c r="K17" s="1"/>
      <c r="L17" s="1"/>
      <c r="M17" s="1"/>
      <c r="N17" s="1"/>
      <c r="O17" s="1"/>
      <c r="P17" s="1"/>
      <c r="Q17" s="1"/>
      <c r="R17" s="1"/>
      <c r="S17" s="1"/>
      <c r="T17" s="1"/>
    </row>
    <row r="18" spans="1:20" ht="12.75" customHeight="1">
      <c r="A18" s="115"/>
      <c r="B18" s="13" t="s">
        <v>258</v>
      </c>
      <c r="C18" s="1"/>
      <c r="D18" s="40">
        <v>2</v>
      </c>
      <c r="E18" s="115"/>
      <c r="F18" s="8"/>
      <c r="G18" s="1"/>
      <c r="H18" s="1"/>
      <c r="I18" s="1"/>
      <c r="J18" s="1"/>
      <c r="K18" s="1"/>
      <c r="L18" s="1"/>
      <c r="M18" s="1"/>
      <c r="N18" s="1"/>
      <c r="O18" s="1"/>
      <c r="P18" s="1"/>
      <c r="Q18" s="1"/>
      <c r="R18" s="1"/>
      <c r="S18" s="1"/>
      <c r="T18" s="1"/>
    </row>
    <row r="19" spans="1:20" ht="12.75" customHeight="1">
      <c r="A19" s="115"/>
      <c r="B19" s="13" t="s">
        <v>259</v>
      </c>
      <c r="C19" s="1"/>
      <c r="D19" s="40">
        <v>2</v>
      </c>
      <c r="E19" s="115"/>
      <c r="F19" s="8"/>
      <c r="G19" s="1"/>
      <c r="H19" s="1"/>
      <c r="I19" s="1"/>
      <c r="J19" s="1"/>
      <c r="K19" s="1"/>
      <c r="L19" s="1"/>
      <c r="M19" s="1"/>
      <c r="N19" s="1"/>
      <c r="O19" s="1"/>
      <c r="P19" s="1"/>
      <c r="Q19" s="1"/>
      <c r="R19" s="1"/>
      <c r="S19" s="1"/>
      <c r="T19" s="1"/>
    </row>
    <row r="20" spans="1:20" ht="12.75" customHeight="1">
      <c r="A20" s="115"/>
      <c r="B20" s="13" t="s">
        <v>260</v>
      </c>
      <c r="C20" s="1"/>
      <c r="D20" s="40">
        <v>0</v>
      </c>
      <c r="E20" s="115"/>
      <c r="F20" s="8"/>
      <c r="G20" s="1"/>
      <c r="H20" s="1"/>
      <c r="I20" s="1"/>
      <c r="J20" s="1"/>
      <c r="K20" s="1"/>
      <c r="L20" s="1"/>
      <c r="M20" s="1"/>
      <c r="N20" s="1"/>
      <c r="O20" s="1"/>
      <c r="P20" s="1"/>
      <c r="Q20" s="1"/>
      <c r="R20" s="1"/>
      <c r="S20" s="1"/>
      <c r="T20" s="1"/>
    </row>
    <row r="21" spans="1:20" ht="12.75" customHeight="1">
      <c r="A21" s="115"/>
      <c r="B21" s="13" t="s">
        <v>261</v>
      </c>
      <c r="C21" s="1"/>
      <c r="D21" s="40">
        <v>4</v>
      </c>
      <c r="E21" s="115"/>
      <c r="F21" s="8"/>
      <c r="G21" s="1"/>
      <c r="H21" s="1"/>
      <c r="I21" s="1"/>
      <c r="J21" s="1"/>
      <c r="K21" s="1"/>
      <c r="L21" s="1"/>
      <c r="M21" s="1"/>
      <c r="N21" s="1"/>
      <c r="O21" s="1"/>
      <c r="P21" s="1"/>
      <c r="Q21" s="1"/>
      <c r="R21" s="1"/>
      <c r="S21" s="1"/>
      <c r="T21" s="1"/>
    </row>
    <row r="22" spans="1:20" ht="12.75" customHeight="1">
      <c r="A22" s="115"/>
      <c r="B22" s="13" t="s">
        <v>262</v>
      </c>
      <c r="C22" s="1"/>
      <c r="D22" s="40">
        <v>0</v>
      </c>
      <c r="E22" s="115"/>
      <c r="F22" s="8"/>
      <c r="G22" s="1"/>
      <c r="H22" s="1"/>
      <c r="I22" s="1"/>
      <c r="J22" s="1"/>
      <c r="K22" s="1"/>
      <c r="L22" s="1"/>
      <c r="M22" s="1"/>
      <c r="N22" s="1"/>
      <c r="O22" s="1"/>
      <c r="P22" s="1"/>
      <c r="Q22" s="1"/>
      <c r="R22" s="1"/>
      <c r="S22" s="1"/>
      <c r="T22" s="1"/>
    </row>
    <row r="23" spans="1:20" ht="12.75" customHeight="1" thickBot="1">
      <c r="A23" s="115"/>
      <c r="B23" s="13" t="s">
        <v>263</v>
      </c>
      <c r="C23" s="1"/>
      <c r="D23" s="41">
        <v>200</v>
      </c>
      <c r="E23" s="115"/>
      <c r="F23" s="14" t="s">
        <v>225</v>
      </c>
      <c r="G23" s="1"/>
      <c r="H23" s="1"/>
      <c r="I23" s="1"/>
      <c r="J23" s="1"/>
      <c r="K23" s="1"/>
      <c r="L23" s="1"/>
      <c r="M23" s="1"/>
      <c r="N23" s="1"/>
      <c r="O23" s="1"/>
      <c r="P23" s="1"/>
      <c r="Q23" s="1"/>
      <c r="R23" s="1"/>
      <c r="S23" s="1"/>
      <c r="T23" s="1"/>
    </row>
    <row r="24" spans="1:20" ht="12.75" customHeight="1" thickTop="1">
      <c r="A24" s="115"/>
      <c r="B24" s="13" t="s">
        <v>264</v>
      </c>
      <c r="C24" s="1"/>
      <c r="D24" s="2"/>
      <c r="E24" s="115"/>
      <c r="F24" s="14" t="s">
        <v>226</v>
      </c>
      <c r="G24" s="1"/>
      <c r="H24" s="1"/>
      <c r="I24" s="1"/>
      <c r="J24" s="1"/>
      <c r="K24" s="1"/>
      <c r="L24" s="1"/>
      <c r="M24" s="1"/>
      <c r="N24" s="1"/>
      <c r="O24" s="1"/>
      <c r="P24" s="1"/>
      <c r="Q24" s="1"/>
      <c r="R24" s="1"/>
      <c r="S24" s="1"/>
      <c r="T24" s="1"/>
    </row>
    <row r="25" spans="1:20" ht="12.75" customHeight="1" thickBot="1">
      <c r="A25" s="115"/>
      <c r="B25" s="13" t="s">
        <v>265</v>
      </c>
      <c r="C25" s="5" t="s">
        <v>135</v>
      </c>
      <c r="D25" s="11" t="s">
        <v>203</v>
      </c>
      <c r="E25" s="6" t="s">
        <v>228</v>
      </c>
      <c r="F25" s="15" t="s">
        <v>184</v>
      </c>
      <c r="G25" s="1"/>
      <c r="H25" s="1"/>
      <c r="I25" s="1"/>
      <c r="J25" s="1"/>
      <c r="K25" s="1"/>
      <c r="L25" s="1"/>
      <c r="M25" s="1"/>
      <c r="N25" s="1"/>
      <c r="O25" s="1"/>
      <c r="P25" s="1"/>
      <c r="Q25" s="1"/>
      <c r="R25" s="1"/>
      <c r="S25" s="1"/>
      <c r="T25" s="1"/>
    </row>
    <row r="26" spans="1:20" ht="12.75" customHeight="1" thickTop="1">
      <c r="A26" s="115"/>
      <c r="B26" s="16" t="s">
        <v>229</v>
      </c>
      <c r="C26" s="84" t="s">
        <v>266</v>
      </c>
      <c r="D26" s="33">
        <v>800</v>
      </c>
      <c r="E26" s="34">
        <v>7</v>
      </c>
      <c r="F26" s="29">
        <f aca="true" t="shared" si="0" ref="F26:F35">IF(E26&gt;0,D26/E26,0)</f>
        <v>114.28571428571429</v>
      </c>
      <c r="G26" s="1"/>
      <c r="H26" s="1"/>
      <c r="I26" s="1"/>
      <c r="J26" s="1"/>
      <c r="K26" s="1"/>
      <c r="L26" s="1"/>
      <c r="M26" s="1"/>
      <c r="N26" s="1"/>
      <c r="O26" s="1"/>
      <c r="P26" s="1"/>
      <c r="Q26" s="1"/>
      <c r="R26" s="1"/>
      <c r="S26" s="1"/>
      <c r="T26" s="1"/>
    </row>
    <row r="27" spans="1:20" ht="12.75" customHeight="1">
      <c r="A27" s="115"/>
      <c r="B27" s="16" t="s">
        <v>267</v>
      </c>
      <c r="C27" s="85" t="s">
        <v>268</v>
      </c>
      <c r="D27" s="35">
        <v>600</v>
      </c>
      <c r="E27" s="36">
        <v>7</v>
      </c>
      <c r="F27" s="29">
        <f t="shared" si="0"/>
        <v>85.71428571428571</v>
      </c>
      <c r="G27" s="1"/>
      <c r="H27" s="1"/>
      <c r="I27" s="1"/>
      <c r="J27" s="1"/>
      <c r="K27" s="1"/>
      <c r="L27" s="1"/>
      <c r="M27" s="1"/>
      <c r="N27" s="1"/>
      <c r="O27" s="1"/>
      <c r="P27" s="1"/>
      <c r="Q27" s="1"/>
      <c r="R27" s="1"/>
      <c r="S27" s="1"/>
      <c r="T27" s="1"/>
    </row>
    <row r="28" spans="1:20" ht="12.75" customHeight="1">
      <c r="A28" s="115"/>
      <c r="B28" s="16" t="s">
        <v>269</v>
      </c>
      <c r="C28" s="86"/>
      <c r="D28" s="35">
        <v>0</v>
      </c>
      <c r="E28" s="36">
        <v>0</v>
      </c>
      <c r="F28" s="29">
        <f t="shared" si="0"/>
        <v>0</v>
      </c>
      <c r="G28" s="1"/>
      <c r="H28" s="1"/>
      <c r="I28" s="1"/>
      <c r="J28" s="1"/>
      <c r="K28" s="1"/>
      <c r="L28" s="1"/>
      <c r="M28" s="1"/>
      <c r="N28" s="1"/>
      <c r="O28" s="1"/>
      <c r="P28" s="1"/>
      <c r="Q28" s="1"/>
      <c r="R28" s="1"/>
      <c r="S28" s="1"/>
      <c r="T28" s="1"/>
    </row>
    <row r="29" spans="1:20" ht="12.75" customHeight="1">
      <c r="A29" s="115"/>
      <c r="B29" s="16" t="s">
        <v>270</v>
      </c>
      <c r="C29" s="86"/>
      <c r="D29" s="35">
        <v>0</v>
      </c>
      <c r="E29" s="36">
        <v>0</v>
      </c>
      <c r="F29" s="29">
        <f t="shared" si="0"/>
        <v>0</v>
      </c>
      <c r="G29" s="1"/>
      <c r="H29" s="1"/>
      <c r="I29" s="1"/>
      <c r="J29" s="1"/>
      <c r="K29" s="1"/>
      <c r="L29" s="1"/>
      <c r="M29" s="1"/>
      <c r="N29" s="1"/>
      <c r="O29" s="1"/>
      <c r="P29" s="1"/>
      <c r="Q29" s="1"/>
      <c r="R29" s="1"/>
      <c r="S29" s="1"/>
      <c r="T29" s="1"/>
    </row>
    <row r="30" spans="1:20" ht="12.75" customHeight="1">
      <c r="A30" s="115"/>
      <c r="B30" s="16" t="s">
        <v>210</v>
      </c>
      <c r="C30" s="86"/>
      <c r="D30" s="35">
        <v>0</v>
      </c>
      <c r="E30" s="36">
        <v>0</v>
      </c>
      <c r="F30" s="29">
        <f t="shared" si="0"/>
        <v>0</v>
      </c>
      <c r="G30" s="1"/>
      <c r="H30" s="1"/>
      <c r="I30" s="1"/>
      <c r="J30" s="1"/>
      <c r="K30" s="1"/>
      <c r="L30" s="1"/>
      <c r="M30" s="1"/>
      <c r="N30" s="1"/>
      <c r="O30" s="1"/>
      <c r="P30" s="1"/>
      <c r="Q30" s="1"/>
      <c r="R30" s="1"/>
      <c r="S30" s="1"/>
      <c r="T30" s="1"/>
    </row>
    <row r="31" spans="1:20" ht="12.75" customHeight="1">
      <c r="A31" s="115"/>
      <c r="B31" s="16" t="s">
        <v>211</v>
      </c>
      <c r="C31" s="86"/>
      <c r="D31" s="35">
        <v>0</v>
      </c>
      <c r="E31" s="36">
        <v>0</v>
      </c>
      <c r="F31" s="29">
        <f t="shared" si="0"/>
        <v>0</v>
      </c>
      <c r="G31" s="1"/>
      <c r="H31" s="1"/>
      <c r="I31" s="1"/>
      <c r="J31" s="1"/>
      <c r="K31" s="1"/>
      <c r="L31" s="1"/>
      <c r="M31" s="1"/>
      <c r="N31" s="1"/>
      <c r="O31" s="1"/>
      <c r="P31" s="1"/>
      <c r="Q31" s="1"/>
      <c r="R31" s="1"/>
      <c r="S31" s="1"/>
      <c r="T31" s="1"/>
    </row>
    <row r="32" spans="1:20" ht="12.75" customHeight="1">
      <c r="A32" s="115"/>
      <c r="B32" s="16" t="s">
        <v>212</v>
      </c>
      <c r="C32" s="86"/>
      <c r="D32" s="35">
        <v>0</v>
      </c>
      <c r="E32" s="36">
        <v>0</v>
      </c>
      <c r="F32" s="29">
        <f t="shared" si="0"/>
        <v>0</v>
      </c>
      <c r="G32" s="1"/>
      <c r="H32" s="1"/>
      <c r="I32" s="1"/>
      <c r="J32" s="1"/>
      <c r="K32" s="1"/>
      <c r="L32" s="1"/>
      <c r="M32" s="1"/>
      <c r="N32" s="1"/>
      <c r="O32" s="1"/>
      <c r="P32" s="1"/>
      <c r="Q32" s="1"/>
      <c r="R32" s="1"/>
      <c r="S32" s="1"/>
      <c r="T32" s="1"/>
    </row>
    <row r="33" spans="1:20" ht="12.75" customHeight="1">
      <c r="A33" s="115"/>
      <c r="B33" s="16" t="s">
        <v>213</v>
      </c>
      <c r="C33" s="86"/>
      <c r="D33" s="35">
        <v>0</v>
      </c>
      <c r="E33" s="36">
        <v>0</v>
      </c>
      <c r="F33" s="29">
        <f t="shared" si="0"/>
        <v>0</v>
      </c>
      <c r="G33" s="1"/>
      <c r="H33" s="1"/>
      <c r="I33" s="1"/>
      <c r="J33" s="1"/>
      <c r="K33" s="1"/>
      <c r="L33" s="1"/>
      <c r="M33" s="1"/>
      <c r="N33" s="1"/>
      <c r="O33" s="1"/>
      <c r="P33" s="1"/>
      <c r="Q33" s="1"/>
      <c r="R33" s="1"/>
      <c r="S33" s="1"/>
      <c r="T33" s="1"/>
    </row>
    <row r="34" spans="1:20" ht="12.75" customHeight="1">
      <c r="A34" s="115"/>
      <c r="B34" s="16" t="s">
        <v>214</v>
      </c>
      <c r="C34" s="86"/>
      <c r="D34" s="35">
        <v>0</v>
      </c>
      <c r="E34" s="36">
        <v>0</v>
      </c>
      <c r="F34" s="29">
        <f t="shared" si="0"/>
        <v>0</v>
      </c>
      <c r="G34" s="1"/>
      <c r="H34" s="1"/>
      <c r="I34" s="1"/>
      <c r="J34" s="1"/>
      <c r="K34" s="1"/>
      <c r="L34" s="1"/>
      <c r="M34" s="1"/>
      <c r="N34" s="1"/>
      <c r="O34" s="1"/>
      <c r="P34" s="1"/>
      <c r="Q34" s="1"/>
      <c r="R34" s="1"/>
      <c r="S34" s="1"/>
      <c r="T34" s="1"/>
    </row>
    <row r="35" spans="1:20" ht="12.75" customHeight="1" thickBot="1">
      <c r="A35" s="115"/>
      <c r="B35" s="16" t="s">
        <v>215</v>
      </c>
      <c r="C35" s="87"/>
      <c r="D35" s="37">
        <v>0</v>
      </c>
      <c r="E35" s="38">
        <v>0</v>
      </c>
      <c r="F35" s="30">
        <f t="shared" si="0"/>
        <v>0</v>
      </c>
      <c r="G35" s="1"/>
      <c r="H35" s="1"/>
      <c r="I35" s="1"/>
      <c r="J35" s="1"/>
      <c r="K35" s="1"/>
      <c r="L35" s="1"/>
      <c r="M35" s="1"/>
      <c r="N35" s="1"/>
      <c r="O35" s="1"/>
      <c r="P35" s="1"/>
      <c r="Q35" s="1"/>
      <c r="R35" s="1"/>
      <c r="S35" s="1"/>
      <c r="T35" s="1"/>
    </row>
    <row r="36" spans="1:20" ht="12.75" customHeight="1" thickTop="1">
      <c r="A36" s="115"/>
      <c r="B36" s="16" t="s">
        <v>271</v>
      </c>
      <c r="C36" s="1"/>
      <c r="D36" s="31">
        <f>SUM(D26:D35)</f>
        <v>1400</v>
      </c>
      <c r="E36" s="32"/>
      <c r="F36" s="29">
        <f>SUM(F26:F35)</f>
        <v>200</v>
      </c>
      <c r="G36" s="1"/>
      <c r="H36" s="1"/>
      <c r="I36" s="1"/>
      <c r="J36" s="1"/>
      <c r="K36" s="1"/>
      <c r="L36" s="1"/>
      <c r="M36" s="1"/>
      <c r="N36" s="1"/>
      <c r="O36" s="1"/>
      <c r="P36" s="1"/>
      <c r="Q36" s="1"/>
      <c r="R36" s="1"/>
      <c r="S36" s="1"/>
      <c r="T36" s="1"/>
    </row>
    <row r="37" spans="1:20" ht="12.75" customHeight="1" thickBot="1">
      <c r="A37" s="115"/>
      <c r="B37" s="17"/>
      <c r="C37" s="1"/>
      <c r="D37" s="2"/>
      <c r="E37" s="115"/>
      <c r="F37" s="8"/>
      <c r="G37" s="1"/>
      <c r="H37" s="1"/>
      <c r="I37" s="1"/>
      <c r="J37" s="1"/>
      <c r="K37" s="1"/>
      <c r="L37" s="1"/>
      <c r="M37" s="1"/>
      <c r="N37" s="1"/>
      <c r="O37" s="1"/>
      <c r="P37" s="1"/>
      <c r="Q37" s="1"/>
      <c r="R37" s="1"/>
      <c r="S37" s="1"/>
      <c r="T37" s="1"/>
    </row>
    <row r="38" spans="1:20" ht="12.75" customHeight="1" thickTop="1">
      <c r="A38" s="115"/>
      <c r="B38" s="13" t="s">
        <v>272</v>
      </c>
      <c r="C38" s="1"/>
      <c r="D38" s="39">
        <v>1</v>
      </c>
      <c r="E38" s="115"/>
      <c r="F38" s="8"/>
      <c r="G38" s="1"/>
      <c r="H38" s="1"/>
      <c r="I38" s="1"/>
      <c r="J38" s="1"/>
      <c r="K38" s="1"/>
      <c r="L38" s="1"/>
      <c r="M38" s="1"/>
      <c r="N38" s="1"/>
      <c r="O38" s="1"/>
      <c r="P38" s="1"/>
      <c r="Q38" s="1"/>
      <c r="R38" s="1"/>
      <c r="S38" s="1"/>
      <c r="T38" s="1"/>
    </row>
    <row r="39" spans="1:20" ht="12.75" customHeight="1">
      <c r="A39" s="115"/>
      <c r="B39" s="13" t="s">
        <v>273</v>
      </c>
      <c r="C39" s="1"/>
      <c r="D39" s="40">
        <v>0</v>
      </c>
      <c r="E39" s="115"/>
      <c r="F39" s="8"/>
      <c r="G39" s="1"/>
      <c r="H39" s="1"/>
      <c r="I39" s="1"/>
      <c r="J39" s="1"/>
      <c r="K39" s="1"/>
      <c r="L39" s="1"/>
      <c r="M39" s="1"/>
      <c r="N39" s="1"/>
      <c r="O39" s="1"/>
      <c r="P39" s="1"/>
      <c r="Q39" s="1"/>
      <c r="R39" s="1"/>
      <c r="S39" s="1"/>
      <c r="T39" s="1"/>
    </row>
    <row r="40" spans="1:20" ht="12.75" customHeight="1">
      <c r="A40" s="115"/>
      <c r="B40" s="13" t="s">
        <v>274</v>
      </c>
      <c r="C40" s="1"/>
      <c r="D40" s="40">
        <v>3</v>
      </c>
      <c r="E40" s="115"/>
      <c r="F40" s="8"/>
      <c r="G40" s="1"/>
      <c r="H40" s="1"/>
      <c r="I40" s="1"/>
      <c r="J40" s="1"/>
      <c r="K40" s="1"/>
      <c r="L40" s="1"/>
      <c r="M40" s="1"/>
      <c r="N40" s="1"/>
      <c r="O40" s="1"/>
      <c r="P40" s="1"/>
      <c r="Q40" s="1"/>
      <c r="R40" s="1"/>
      <c r="S40" s="1"/>
      <c r="T40" s="1"/>
    </row>
    <row r="41" spans="1:20" ht="12.75" customHeight="1">
      <c r="A41" s="115"/>
      <c r="B41" s="13" t="s">
        <v>275</v>
      </c>
      <c r="C41" s="1"/>
      <c r="D41" s="40">
        <v>12</v>
      </c>
      <c r="E41" s="115"/>
      <c r="F41" s="8"/>
      <c r="G41" s="1"/>
      <c r="H41" s="1"/>
      <c r="I41" s="1"/>
      <c r="J41" s="1"/>
      <c r="K41" s="1"/>
      <c r="L41" s="1"/>
      <c r="M41" s="1"/>
      <c r="N41" s="1"/>
      <c r="O41" s="1"/>
      <c r="P41" s="1"/>
      <c r="Q41" s="1"/>
      <c r="R41" s="1"/>
      <c r="S41" s="1"/>
      <c r="T41" s="1"/>
    </row>
    <row r="42" spans="1:20" ht="12.75" customHeight="1">
      <c r="A42" s="115"/>
      <c r="B42" s="13" t="s">
        <v>276</v>
      </c>
      <c r="C42" s="1"/>
      <c r="D42" s="40">
        <v>0.5</v>
      </c>
      <c r="E42" s="115"/>
      <c r="F42" s="8"/>
      <c r="G42" s="1"/>
      <c r="H42" s="1"/>
      <c r="I42" s="1"/>
      <c r="J42" s="1"/>
      <c r="K42" s="1"/>
      <c r="L42" s="1"/>
      <c r="M42" s="1"/>
      <c r="N42" s="1"/>
      <c r="O42" s="1"/>
      <c r="P42" s="1"/>
      <c r="Q42" s="1"/>
      <c r="R42" s="1"/>
      <c r="S42" s="1"/>
      <c r="T42" s="1"/>
    </row>
    <row r="43" spans="1:20" ht="12.75" customHeight="1">
      <c r="A43" s="115"/>
      <c r="B43" s="13" t="s">
        <v>277</v>
      </c>
      <c r="C43" s="1"/>
      <c r="D43" s="40">
        <v>0</v>
      </c>
      <c r="E43" s="115"/>
      <c r="F43" s="8"/>
      <c r="G43" s="1"/>
      <c r="H43" s="1"/>
      <c r="I43" s="1"/>
      <c r="J43" s="3" t="s">
        <v>197</v>
      </c>
      <c r="K43" s="2">
        <f>D9*D10/100</f>
        <v>602.25</v>
      </c>
      <c r="L43" s="1"/>
      <c r="M43" s="1"/>
      <c r="N43" s="1"/>
      <c r="O43" s="1"/>
      <c r="P43" s="1"/>
      <c r="Q43" s="1"/>
      <c r="R43" s="1"/>
      <c r="S43" s="1"/>
      <c r="T43" s="1"/>
    </row>
    <row r="44" spans="1:20" ht="12.75" customHeight="1" thickBot="1">
      <c r="A44" s="115"/>
      <c r="B44" s="13" t="s">
        <v>278</v>
      </c>
      <c r="C44" s="1"/>
      <c r="D44" s="41">
        <v>71</v>
      </c>
      <c r="E44" s="115"/>
      <c r="F44" s="8"/>
      <c r="G44" s="1"/>
      <c r="H44" s="1"/>
      <c r="I44" s="1"/>
      <c r="J44" s="3" t="s">
        <v>219</v>
      </c>
      <c r="K44" s="1">
        <f>D15/100</f>
        <v>0.1</v>
      </c>
      <c r="L44" s="1"/>
      <c r="M44" s="1"/>
      <c r="N44" s="1"/>
      <c r="O44" s="1"/>
      <c r="P44" s="1"/>
      <c r="Q44" s="1"/>
      <c r="R44" s="1"/>
      <c r="S44" s="1"/>
      <c r="T44" s="1"/>
    </row>
    <row r="45" spans="1:20" ht="12.75" customHeight="1" thickTop="1">
      <c r="A45" s="115"/>
      <c r="B45" s="17"/>
      <c r="C45" s="1"/>
      <c r="D45" s="2"/>
      <c r="E45" s="115"/>
      <c r="F45" s="8"/>
      <c r="G45" s="1"/>
      <c r="H45" s="1"/>
      <c r="I45" s="1"/>
      <c r="J45" s="3" t="s">
        <v>237</v>
      </c>
      <c r="K45" s="2">
        <f>D44*D47/100</f>
        <v>723.135</v>
      </c>
      <c r="L45" s="1">
        <f>(+D36/2)*K44/D11</f>
        <v>0.28</v>
      </c>
      <c r="M45" s="1">
        <f>(D13/365)*K44*(((D9*D10)/100)+D20+(D22/D11))</f>
        <v>24.75</v>
      </c>
      <c r="N45" s="1">
        <f>(((D12/30)*D13)+D17+D18+D43/D11+D19+D23/D11+D42)*K44*D13/730</f>
        <v>1.2595890410958903</v>
      </c>
      <c r="O45" s="1"/>
      <c r="P45" s="1"/>
      <c r="Q45" s="1"/>
      <c r="R45" s="1"/>
      <c r="S45" s="1"/>
      <c r="T45" s="1"/>
    </row>
    <row r="46" spans="1:20" ht="12.75" customHeight="1" thickBot="1">
      <c r="A46" s="115"/>
      <c r="B46" s="18" t="s">
        <v>235</v>
      </c>
      <c r="C46" s="9"/>
      <c r="D46" s="12"/>
      <c r="E46" s="115"/>
      <c r="F46" s="8"/>
      <c r="G46" s="1"/>
      <c r="H46" s="1"/>
      <c r="I46" s="1"/>
      <c r="N46" s="1"/>
      <c r="O46" s="1"/>
      <c r="P46" s="1"/>
      <c r="Q46" s="1"/>
      <c r="R46" s="1"/>
      <c r="S46" s="1"/>
      <c r="T46" s="1"/>
    </row>
    <row r="47" spans="1:20" ht="15" customHeight="1">
      <c r="A47" s="115"/>
      <c r="B47" s="13" t="s">
        <v>279</v>
      </c>
      <c r="C47" s="1"/>
      <c r="D47" s="43">
        <f>(((1-(D39/100))*D10)+(D14*D13))*(1-(D40/100))</f>
        <v>1018.5</v>
      </c>
      <c r="E47" s="115"/>
      <c r="F47" s="8"/>
      <c r="G47" s="1"/>
      <c r="H47" s="1"/>
      <c r="I47" s="1"/>
      <c r="N47" s="1"/>
      <c r="O47" s="1"/>
      <c r="P47" s="1"/>
      <c r="Q47" s="1"/>
      <c r="R47" s="1"/>
      <c r="S47" s="1"/>
      <c r="T47" s="1"/>
    </row>
    <row r="48" spans="1:20" ht="15" customHeight="1">
      <c r="A48" s="115"/>
      <c r="B48" s="13" t="s">
        <v>280</v>
      </c>
      <c r="C48" s="1"/>
      <c r="D48" s="44">
        <f>M45+L45+N45</f>
        <v>26.28958904109589</v>
      </c>
      <c r="E48" s="115"/>
      <c r="F48" s="8"/>
      <c r="G48" s="1"/>
      <c r="H48" s="1"/>
      <c r="I48" s="1"/>
      <c r="N48" s="1"/>
      <c r="O48" s="1"/>
      <c r="P48" s="1"/>
      <c r="Q48" s="1"/>
      <c r="R48" s="1"/>
      <c r="S48" s="1"/>
      <c r="T48" s="1"/>
    </row>
    <row r="49" spans="1:20" ht="15" customHeight="1">
      <c r="A49" s="115"/>
      <c r="B49" s="13" t="s">
        <v>281</v>
      </c>
      <c r="C49" s="1"/>
      <c r="D49" s="44">
        <f>((D12/30)*D13)+D17+D18+D19+D20+D21+D22/D11+D23/D11+D41+D42+(D44*(D47/100)*(D38/100))+D48+D43/D11+F36/D11</f>
        <v>111.6209390410959</v>
      </c>
      <c r="E49" s="115"/>
      <c r="F49" s="8"/>
      <c r="G49" s="1"/>
      <c r="H49" s="1"/>
      <c r="I49" s="1"/>
      <c r="N49" s="1"/>
      <c r="O49" s="1"/>
      <c r="P49" s="1"/>
      <c r="Q49" s="1"/>
      <c r="R49" s="1"/>
      <c r="S49" s="1"/>
      <c r="T49" s="1"/>
    </row>
    <row r="50" spans="1:20" ht="15.75" customHeight="1">
      <c r="A50" s="115"/>
      <c r="B50" s="19" t="s">
        <v>282</v>
      </c>
      <c r="C50" s="2"/>
      <c r="D50" s="44">
        <f>K43+D49</f>
        <v>713.8709390410959</v>
      </c>
      <c r="E50" s="115"/>
      <c r="F50" s="8"/>
      <c r="G50" s="1"/>
      <c r="H50" s="1"/>
      <c r="I50" s="1"/>
      <c r="N50" s="1"/>
      <c r="O50" s="1"/>
      <c r="P50" s="1"/>
      <c r="Q50" s="1"/>
      <c r="R50" s="1"/>
      <c r="S50" s="1"/>
      <c r="T50" s="1"/>
    </row>
    <row r="51" spans="1:20" ht="15" customHeight="1">
      <c r="A51" s="115"/>
      <c r="B51" s="13" t="s">
        <v>283</v>
      </c>
      <c r="C51" s="1"/>
      <c r="D51" s="44">
        <f>D49/D13</f>
        <v>0.744139593607306</v>
      </c>
      <c r="E51" s="115"/>
      <c r="F51" s="8"/>
      <c r="G51" s="1"/>
      <c r="H51" s="1"/>
      <c r="I51" s="1"/>
      <c r="N51" s="1"/>
      <c r="O51" s="1"/>
      <c r="P51" s="1"/>
      <c r="Q51" s="1"/>
      <c r="R51" s="1"/>
      <c r="S51" s="1"/>
      <c r="T51" s="1"/>
    </row>
    <row r="52" spans="1:20" ht="15" customHeight="1">
      <c r="A52" s="115"/>
      <c r="B52" s="13" t="s">
        <v>284</v>
      </c>
      <c r="C52" s="1"/>
      <c r="D52" s="24">
        <f>D49/(D47-D10)</f>
        <v>0.5768523981451984</v>
      </c>
      <c r="E52" s="115"/>
      <c r="F52" s="8"/>
      <c r="G52" s="1"/>
      <c r="H52" s="1"/>
      <c r="I52" s="1"/>
      <c r="N52" s="1"/>
      <c r="O52" s="1"/>
      <c r="P52" s="1"/>
      <c r="Q52" s="1"/>
      <c r="R52" s="1"/>
      <c r="S52" s="1"/>
      <c r="T52" s="1"/>
    </row>
    <row r="53" spans="1:20" ht="15" customHeight="1">
      <c r="A53" s="115"/>
      <c r="B53" s="17"/>
      <c r="C53" s="1"/>
      <c r="D53" s="22"/>
      <c r="E53" s="115"/>
      <c r="F53" s="8"/>
      <c r="G53" s="1"/>
      <c r="H53" s="1"/>
      <c r="I53" s="1"/>
      <c r="N53" s="1"/>
      <c r="O53" s="1"/>
      <c r="P53" s="1"/>
      <c r="Q53" s="1"/>
      <c r="R53" s="1"/>
      <c r="S53" s="1"/>
      <c r="T53" s="1"/>
    </row>
    <row r="54" spans="1:20" ht="15" customHeight="1">
      <c r="A54" s="115"/>
      <c r="B54" s="13" t="s">
        <v>285</v>
      </c>
      <c r="C54" s="1"/>
      <c r="D54" s="45">
        <f>(D49+K43)/(D47/100)</f>
        <v>70.09042111350965</v>
      </c>
      <c r="E54" s="115"/>
      <c r="F54" s="8"/>
      <c r="G54" s="1"/>
      <c r="H54" s="1"/>
      <c r="I54" s="1"/>
      <c r="N54" s="1"/>
      <c r="O54" s="1"/>
      <c r="P54" s="1"/>
      <c r="Q54" s="1"/>
      <c r="R54" s="1"/>
      <c r="S54" s="1"/>
      <c r="T54" s="1"/>
    </row>
    <row r="55" spans="1:20" ht="15" customHeight="1">
      <c r="A55" s="115"/>
      <c r="B55" s="13" t="s">
        <v>286</v>
      </c>
      <c r="C55" s="1"/>
      <c r="D55" s="24">
        <f>(K45-D49)*100/D10</f>
        <v>74.12291647986716</v>
      </c>
      <c r="E55" s="115"/>
      <c r="F55" s="8"/>
      <c r="G55" s="1"/>
      <c r="H55" s="1"/>
      <c r="I55" s="1"/>
      <c r="N55" s="1"/>
      <c r="O55" s="1"/>
      <c r="P55" s="1"/>
      <c r="Q55" s="1"/>
      <c r="R55" s="1"/>
      <c r="S55" s="1"/>
      <c r="T55" s="1"/>
    </row>
    <row r="56" spans="1:20" ht="15" customHeight="1">
      <c r="A56" s="115"/>
      <c r="B56" s="17"/>
      <c r="C56" s="1"/>
      <c r="D56" s="22"/>
      <c r="E56" s="115"/>
      <c r="F56" s="8"/>
      <c r="G56" s="1"/>
      <c r="H56" s="1"/>
      <c r="I56" s="1"/>
      <c r="N56" s="1"/>
      <c r="O56" s="1"/>
      <c r="P56" s="1"/>
      <c r="Q56" s="1"/>
      <c r="R56" s="1"/>
      <c r="S56" s="1"/>
      <c r="T56" s="1"/>
    </row>
    <row r="57" spans="1:20" ht="15" customHeight="1">
      <c r="A57" s="115"/>
      <c r="B57" s="13" t="s">
        <v>287</v>
      </c>
      <c r="C57" s="1"/>
      <c r="D57" s="45">
        <f>K45-K43-D49</f>
        <v>9.264060958904096</v>
      </c>
      <c r="E57" s="115"/>
      <c r="F57" s="8"/>
      <c r="G57" s="1"/>
      <c r="H57" s="1"/>
      <c r="I57" s="1"/>
      <c r="N57" s="1"/>
      <c r="O57" s="1"/>
      <c r="P57" s="1"/>
      <c r="Q57" s="1"/>
      <c r="R57" s="1"/>
      <c r="S57" s="1"/>
      <c r="T57" s="1"/>
    </row>
    <row r="58" spans="1:20" ht="15" customHeight="1" thickBot="1">
      <c r="A58" s="115"/>
      <c r="B58" s="20" t="s">
        <v>288</v>
      </c>
      <c r="C58" s="21"/>
      <c r="D58" s="46">
        <f>D57*D11</f>
        <v>2316.015239726024</v>
      </c>
      <c r="E58" s="21"/>
      <c r="F58" s="7"/>
      <c r="G58" s="1"/>
      <c r="H58" s="1"/>
      <c r="I58" s="1"/>
      <c r="N58" s="1"/>
      <c r="O58" s="1"/>
      <c r="P58" s="1"/>
      <c r="Q58" s="1"/>
      <c r="R58" s="1"/>
      <c r="S58" s="1"/>
      <c r="T58" s="1"/>
    </row>
    <row r="59" spans="1:20" ht="13.5" thickTop="1">
      <c r="A59" s="115"/>
      <c r="B59" s="115"/>
      <c r="C59" s="115"/>
      <c r="D59" s="115"/>
      <c r="E59" s="115"/>
      <c r="F59" s="115"/>
      <c r="G59" s="1"/>
      <c r="H59" s="1"/>
      <c r="I59" s="1"/>
      <c r="N59" s="1"/>
      <c r="O59" s="1"/>
      <c r="P59" s="1"/>
      <c r="Q59" s="1"/>
      <c r="R59" s="1"/>
      <c r="S59" s="1"/>
      <c r="T59" s="1"/>
    </row>
    <row r="60" spans="1:8" ht="12.75">
      <c r="A60" s="115"/>
      <c r="B60" s="115"/>
      <c r="C60" s="115"/>
      <c r="D60" s="115"/>
      <c r="E60" s="115"/>
      <c r="F60" s="115"/>
      <c r="G60" s="115"/>
      <c r="H60" s="115"/>
    </row>
  </sheetData>
  <sheetProtection sheet="1" objects="1" scenarios="1"/>
  <printOptions horizontalCentered="1"/>
  <pageMargins left="0.4" right="0.4" top="0.333" bottom="0.333" header="0.5" footer="0.5"/>
  <pageSetup fitToHeight="1" fitToWidth="1" horizontalDpi="300" verticalDpi="300" orientation="portrait" scale="56" r:id="rId3"/>
  <legacyDrawing r:id="rId2"/>
</worksheet>
</file>

<file path=xl/worksheets/sheet4.xml><?xml version="1.0" encoding="utf-8"?>
<worksheet xmlns="http://schemas.openxmlformats.org/spreadsheetml/2006/main" xmlns:r="http://schemas.openxmlformats.org/officeDocument/2006/relationships">
  <sheetPr codeName="Sheet5" transitionEvaluation="1">
    <pageSetUpPr fitToPage="1"/>
  </sheetPr>
  <dimension ref="A5:H46"/>
  <sheetViews>
    <sheetView showGridLines="0" zoomScalePageLayoutView="0" workbookViewId="0" topLeftCell="A1">
      <selection activeCell="A33" sqref="A33"/>
    </sheetView>
  </sheetViews>
  <sheetFormatPr defaultColWidth="9.7109375" defaultRowHeight="12.75"/>
  <sheetData>
    <row r="5" spans="1:7" ht="12.75">
      <c r="A5" s="23"/>
      <c r="G5" s="23"/>
    </row>
    <row r="6" spans="2:8" ht="12.75">
      <c r="B6" s="4"/>
      <c r="H6" s="4"/>
    </row>
    <row r="7" spans="2:8" ht="12.75">
      <c r="B7" s="4"/>
      <c r="H7" s="4"/>
    </row>
    <row r="8" spans="2:8" ht="12.75">
      <c r="B8" s="4"/>
      <c r="H8" s="4"/>
    </row>
    <row r="9" spans="2:8" ht="12.75">
      <c r="B9" s="4"/>
      <c r="H9" s="4"/>
    </row>
    <row r="10" spans="2:8" ht="12.75">
      <c r="B10" s="4"/>
      <c r="H10" s="4"/>
    </row>
    <row r="11" spans="2:8" ht="12.75">
      <c r="B11" s="4"/>
      <c r="H11" s="4"/>
    </row>
    <row r="12" spans="2:8" ht="12.75">
      <c r="B12" s="4"/>
      <c r="H12" s="4"/>
    </row>
    <row r="13" spans="2:8" ht="12.75">
      <c r="B13" s="4"/>
      <c r="H13" s="4"/>
    </row>
    <row r="14" spans="2:8" ht="12.75">
      <c r="B14" s="4"/>
      <c r="H14" s="4"/>
    </row>
    <row r="15" spans="2:8" ht="12.75">
      <c r="B15" s="4"/>
      <c r="H15" s="4"/>
    </row>
    <row r="16" spans="2:8" ht="12.75">
      <c r="B16" s="4"/>
      <c r="H16" s="4"/>
    </row>
    <row r="17" spans="2:8" ht="12.75">
      <c r="B17" s="4"/>
      <c r="H17" s="4"/>
    </row>
    <row r="18" spans="2:8" ht="12.75">
      <c r="B18" s="4"/>
      <c r="H18" s="4"/>
    </row>
    <row r="19" spans="2:8" ht="12.75">
      <c r="B19" s="4"/>
      <c r="H19" s="4"/>
    </row>
    <row r="20" spans="1:8" ht="12.75">
      <c r="A20" s="23"/>
      <c r="H20" s="4"/>
    </row>
    <row r="21" spans="2:8" ht="12.75">
      <c r="B21" s="4"/>
      <c r="H21" s="4"/>
    </row>
    <row r="22" spans="2:8" ht="12.75">
      <c r="B22" s="4"/>
      <c r="H22" s="4"/>
    </row>
    <row r="23" spans="2:8" ht="12.75">
      <c r="B23" s="4"/>
      <c r="H23" s="4"/>
    </row>
    <row r="24" spans="2:8" ht="12.75">
      <c r="B24" s="4"/>
      <c r="H24" s="4"/>
    </row>
    <row r="25" spans="2:8" ht="12.75">
      <c r="B25" s="4"/>
      <c r="H25" s="4"/>
    </row>
    <row r="26" spans="2:8" ht="12.75">
      <c r="B26" s="4"/>
      <c r="H26" s="4"/>
    </row>
    <row r="27" ht="12.75">
      <c r="H27" s="4"/>
    </row>
    <row r="28" ht="12.75">
      <c r="H28" s="4"/>
    </row>
    <row r="30" ht="12.75">
      <c r="A30" s="23" t="s">
        <v>289</v>
      </c>
    </row>
    <row r="31" ht="12.75">
      <c r="B31" s="4"/>
    </row>
    <row r="32" spans="2:8" ht="12.75">
      <c r="B32" s="4"/>
      <c r="H32" s="23" t="s">
        <v>290</v>
      </c>
    </row>
    <row r="33" spans="2:8" ht="12.75">
      <c r="B33" s="4"/>
      <c r="H33" s="4"/>
    </row>
    <row r="34" spans="2:8" ht="12.75">
      <c r="B34" s="4"/>
      <c r="H34" s="4"/>
    </row>
    <row r="35" spans="2:8" ht="12.75">
      <c r="B35" s="4"/>
      <c r="H35" s="4"/>
    </row>
    <row r="36" spans="2:8" ht="12.75">
      <c r="B36" s="4"/>
      <c r="H36" s="4"/>
    </row>
    <row r="37" ht="12.75">
      <c r="H37" s="4"/>
    </row>
    <row r="38" ht="12.75">
      <c r="H38" s="4"/>
    </row>
    <row r="39" spans="1:8" ht="12.75">
      <c r="A39" s="23" t="s">
        <v>291</v>
      </c>
      <c r="H39" s="4"/>
    </row>
    <row r="40" spans="2:8" ht="12.75">
      <c r="B40" s="4"/>
      <c r="H40" s="4"/>
    </row>
    <row r="41" spans="2:8" ht="12.75">
      <c r="B41" s="4"/>
      <c r="H41" s="4"/>
    </row>
    <row r="42" spans="2:8" ht="12.75">
      <c r="B42" s="4"/>
      <c r="H42" s="4"/>
    </row>
    <row r="43" spans="2:8" ht="12.75">
      <c r="B43" s="4"/>
      <c r="H43" s="4"/>
    </row>
    <row r="44" ht="12.75">
      <c r="H44" s="4"/>
    </row>
    <row r="45" ht="12.75">
      <c r="H45" s="4"/>
    </row>
    <row r="46" ht="12.75">
      <c r="H46" s="4"/>
    </row>
  </sheetData>
  <sheetProtection sheet="1" objects="1" scenarios="1"/>
  <printOptions horizontalCentered="1"/>
  <pageMargins left="0.4" right="0.4" top="0.333" bottom="0.333" header="0.5" footer="0.5"/>
  <pageSetup fitToHeight="1" fitToWidth="1" horizontalDpi="300" verticalDpi="3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H158"/>
  <sheetViews>
    <sheetView showGridLines="0" zoomScalePageLayoutView="0" workbookViewId="0" topLeftCell="A87">
      <selection activeCell="F93" sqref="F93:F94"/>
    </sheetView>
  </sheetViews>
  <sheetFormatPr defaultColWidth="9.140625" defaultRowHeight="12.75"/>
  <cols>
    <col min="1" max="1" width="20.8515625" style="0" customWidth="1"/>
    <col min="2" max="2" width="24.57421875" style="0" customWidth="1"/>
    <col min="3" max="3" width="15.57421875" style="0" customWidth="1"/>
    <col min="4" max="4" width="14.7109375" style="0" customWidth="1"/>
    <col min="5" max="5" width="13.57421875" style="0" customWidth="1"/>
    <col min="6" max="6" width="14.00390625" style="0" customWidth="1"/>
  </cols>
  <sheetData>
    <row r="1" spans="1:6" ht="12.75">
      <c r="A1" s="47" t="s">
        <v>0</v>
      </c>
      <c r="B1" s="47"/>
      <c r="C1" s="47"/>
      <c r="D1" s="47"/>
      <c r="E1" s="47"/>
      <c r="F1" s="47"/>
    </row>
    <row r="2" spans="1:6" ht="13.5" thickBot="1">
      <c r="A2" s="113"/>
      <c r="B2" s="50" t="s">
        <v>1</v>
      </c>
      <c r="C2" s="113"/>
      <c r="D2" s="113"/>
      <c r="E2" s="113"/>
      <c r="F2" s="113"/>
    </row>
    <row r="3" spans="1:6" ht="14.25" thickBot="1" thickTop="1">
      <c r="A3" s="50" t="s">
        <v>2</v>
      </c>
      <c r="B3" s="51"/>
      <c r="C3" s="255"/>
      <c r="D3" s="50" t="s">
        <v>3</v>
      </c>
      <c r="E3" s="51"/>
      <c r="F3" s="187"/>
    </row>
    <row r="4" spans="1:6" ht="14.25" thickBot="1" thickTop="1">
      <c r="A4" s="50" t="s">
        <v>4</v>
      </c>
      <c r="B4" s="51"/>
      <c r="C4" s="256"/>
      <c r="D4" s="50" t="s">
        <v>5</v>
      </c>
      <c r="E4" s="51"/>
      <c r="F4" s="190"/>
    </row>
    <row r="5" spans="1:6" ht="14.25" thickBot="1" thickTop="1">
      <c r="A5" s="50" t="s">
        <v>6</v>
      </c>
      <c r="B5" s="113"/>
      <c r="C5" s="257"/>
      <c r="D5" s="50" t="s">
        <v>7</v>
      </c>
      <c r="E5" s="113"/>
      <c r="F5" s="69"/>
    </row>
    <row r="6" spans="1:6" ht="13.5" thickTop="1">
      <c r="A6" s="191"/>
      <c r="B6" s="191"/>
      <c r="C6" s="191"/>
      <c r="D6" s="191"/>
      <c r="E6" s="191"/>
      <c r="F6" s="191"/>
    </row>
    <row r="7" spans="1:6" ht="12.75">
      <c r="A7" s="113"/>
      <c r="B7" s="113"/>
      <c r="C7" s="50" t="s">
        <v>8</v>
      </c>
      <c r="D7" s="113"/>
      <c r="E7" s="113"/>
      <c r="F7" s="113"/>
    </row>
    <row r="8" spans="1:6" ht="15.75">
      <c r="A8" s="117"/>
      <c r="B8" s="52" t="s">
        <v>9</v>
      </c>
      <c r="C8" s="52"/>
      <c r="D8" s="52"/>
      <c r="E8" s="52"/>
      <c r="F8" s="52"/>
    </row>
    <row r="9" spans="1:5" ht="12.75">
      <c r="A9" s="113"/>
      <c r="B9" s="113"/>
      <c r="C9" s="113"/>
      <c r="D9" s="53" t="s">
        <v>347</v>
      </c>
      <c r="E9" s="53" t="s">
        <v>10</v>
      </c>
    </row>
    <row r="10" spans="1:5" ht="13.5" thickBot="1">
      <c r="A10" s="113"/>
      <c r="B10" s="113"/>
      <c r="C10" s="53" t="s">
        <v>13</v>
      </c>
      <c r="D10" s="53" t="s">
        <v>14</v>
      </c>
      <c r="E10" s="53" t="s">
        <v>15</v>
      </c>
    </row>
    <row r="11" spans="1:5" ht="13.5" thickTop="1">
      <c r="A11" s="50" t="s">
        <v>19</v>
      </c>
      <c r="B11" s="57"/>
      <c r="C11" s="193"/>
      <c r="D11" s="258"/>
      <c r="E11" s="259"/>
    </row>
    <row r="12" spans="1:5" ht="13.5" thickBot="1">
      <c r="A12" s="50" t="s">
        <v>21</v>
      </c>
      <c r="B12" s="51"/>
      <c r="C12" s="193"/>
      <c r="D12" s="260"/>
      <c r="E12" s="261"/>
    </row>
    <row r="13" spans="1:5" ht="13.5" thickTop="1">
      <c r="A13" s="50" t="s">
        <v>22</v>
      </c>
      <c r="B13" s="51"/>
      <c r="C13" s="258"/>
      <c r="D13" s="248"/>
      <c r="E13" s="261"/>
    </row>
    <row r="14" spans="1:5" ht="12.75">
      <c r="A14" s="50" t="s">
        <v>23</v>
      </c>
      <c r="B14" s="51"/>
      <c r="C14" s="260"/>
      <c r="D14" s="248"/>
      <c r="E14" s="261"/>
    </row>
    <row r="15" spans="1:5" ht="12.75">
      <c r="A15" s="698" t="s">
        <v>24</v>
      </c>
      <c r="B15" s="699"/>
      <c r="C15" s="272"/>
      <c r="D15" s="248"/>
      <c r="E15" s="262"/>
    </row>
    <row r="16" spans="1:5" ht="13.5" thickBot="1">
      <c r="A16" s="166" t="s">
        <v>392</v>
      </c>
      <c r="B16" s="49"/>
      <c r="C16" s="273"/>
      <c r="D16" s="274"/>
      <c r="E16" s="263"/>
    </row>
    <row r="17" spans="1:5" ht="13.5" thickTop="1">
      <c r="A17" s="51"/>
      <c r="B17" s="58" t="s">
        <v>25</v>
      </c>
      <c r="C17" s="201"/>
      <c r="D17" s="192"/>
      <c r="E17" s="192"/>
    </row>
    <row r="18" spans="1:5" ht="12.75">
      <c r="A18" s="51"/>
      <c r="B18" s="51"/>
      <c r="C18" s="113"/>
      <c r="D18" s="113"/>
      <c r="E18" s="194" t="s">
        <v>26</v>
      </c>
    </row>
    <row r="19" spans="1:5" ht="12.75">
      <c r="A19" s="195"/>
      <c r="B19" s="189"/>
      <c r="C19" s="192"/>
      <c r="D19" s="192"/>
      <c r="E19" s="192"/>
    </row>
    <row r="20" spans="1:5" ht="15.75">
      <c r="A20" s="91"/>
      <c r="B20" s="112"/>
      <c r="C20" s="51"/>
      <c r="D20" s="51"/>
      <c r="E20" s="53" t="s">
        <v>10</v>
      </c>
    </row>
    <row r="21" spans="1:5" ht="16.5" thickBot="1">
      <c r="A21" s="670" t="s">
        <v>28</v>
      </c>
      <c r="B21" s="670"/>
      <c r="C21" s="53" t="s">
        <v>13</v>
      </c>
      <c r="D21" s="61" t="s">
        <v>14</v>
      </c>
      <c r="E21" s="53" t="s">
        <v>15</v>
      </c>
    </row>
    <row r="22" spans="1:5" ht="14.25" thickBot="1" thickTop="1">
      <c r="A22" s="700" t="s">
        <v>30</v>
      </c>
      <c r="B22" s="701"/>
      <c r="C22" s="264"/>
      <c r="D22" s="265"/>
      <c r="E22" s="266"/>
    </row>
    <row r="23" spans="1:6" ht="17.25" thickBot="1" thickTop="1">
      <c r="A23" s="107" t="s">
        <v>299</v>
      </c>
      <c r="B23" s="196"/>
      <c r="C23" s="108" t="s">
        <v>32</v>
      </c>
      <c r="D23" s="109"/>
      <c r="E23" s="109"/>
      <c r="F23" s="196"/>
    </row>
    <row r="24" spans="1:5" ht="13.5" thickTop="1">
      <c r="A24" s="50" t="s">
        <v>33</v>
      </c>
      <c r="B24" s="51"/>
      <c r="C24" s="267"/>
      <c r="D24" s="268"/>
      <c r="E24" s="269"/>
    </row>
    <row r="25" spans="1:5" ht="13.5" thickBot="1">
      <c r="A25" s="50" t="s">
        <v>357</v>
      </c>
      <c r="B25" s="51"/>
      <c r="C25" s="270"/>
      <c r="D25" s="251"/>
      <c r="E25" s="271"/>
    </row>
    <row r="26" spans="1:5" ht="13.5" thickTop="1">
      <c r="A26" s="113"/>
      <c r="B26" s="51"/>
      <c r="C26" s="117"/>
      <c r="D26" s="113"/>
      <c r="E26" s="113"/>
    </row>
    <row r="30" spans="1:8" ht="18.75">
      <c r="A30" s="102"/>
      <c r="B30" s="183" t="s">
        <v>349</v>
      </c>
      <c r="C30" s="183"/>
      <c r="D30" s="103"/>
      <c r="E30" s="103"/>
      <c r="F30" s="103"/>
      <c r="G30" s="103"/>
      <c r="H30" s="103"/>
    </row>
    <row r="31" spans="1:8" ht="12.75">
      <c r="A31" s="177"/>
      <c r="B31" s="177"/>
      <c r="C31" s="60"/>
      <c r="D31" s="51"/>
      <c r="E31" s="51"/>
      <c r="F31" s="51"/>
      <c r="G31" s="53" t="s">
        <v>54</v>
      </c>
      <c r="H31" s="53" t="s">
        <v>55</v>
      </c>
    </row>
    <row r="32" spans="1:8" ht="16.5" thickBot="1">
      <c r="A32" s="62" t="s">
        <v>56</v>
      </c>
      <c r="B32" s="51"/>
      <c r="C32" s="53" t="s">
        <v>57</v>
      </c>
      <c r="D32" s="53" t="s">
        <v>13</v>
      </c>
      <c r="E32" s="53" t="s">
        <v>10</v>
      </c>
      <c r="F32" s="53" t="s">
        <v>54</v>
      </c>
      <c r="G32" s="53" t="s">
        <v>29</v>
      </c>
      <c r="H32" s="53" t="s">
        <v>58</v>
      </c>
    </row>
    <row r="33" spans="1:8" ht="13.5" thickTop="1">
      <c r="A33" s="68" t="s">
        <v>60</v>
      </c>
      <c r="B33" s="219"/>
      <c r="C33" s="245"/>
      <c r="D33" s="246"/>
      <c r="E33" s="247"/>
      <c r="F33" s="54"/>
      <c r="G33" s="56"/>
      <c r="H33" s="215"/>
    </row>
    <row r="34" spans="1:8" ht="12.75">
      <c r="A34" s="70" t="s">
        <v>63</v>
      </c>
      <c r="B34" s="221"/>
      <c r="C34" s="248"/>
      <c r="D34" s="249"/>
      <c r="E34" s="250"/>
      <c r="F34" s="54"/>
      <c r="G34" s="56"/>
      <c r="H34" s="218"/>
    </row>
    <row r="35" spans="1:8" ht="12.75">
      <c r="A35" s="70" t="s">
        <v>66</v>
      </c>
      <c r="B35" s="221"/>
      <c r="C35" s="248"/>
      <c r="D35" s="232"/>
      <c r="E35" s="250"/>
      <c r="F35" s="54"/>
      <c r="G35" s="56"/>
      <c r="H35" s="218"/>
    </row>
    <row r="36" spans="1:8" ht="12.75">
      <c r="A36" s="70" t="s">
        <v>67</v>
      </c>
      <c r="B36" s="221"/>
      <c r="C36" s="248"/>
      <c r="D36" s="232"/>
      <c r="E36" s="250"/>
      <c r="F36" s="54"/>
      <c r="G36" s="56"/>
      <c r="H36" s="218"/>
    </row>
    <row r="37" spans="1:8" ht="12.75">
      <c r="A37" s="70" t="s">
        <v>68</v>
      </c>
      <c r="B37" s="221"/>
      <c r="C37" s="248"/>
      <c r="D37" s="232"/>
      <c r="E37" s="250"/>
      <c r="F37" s="54"/>
      <c r="G37" s="56"/>
      <c r="H37" s="218"/>
    </row>
    <row r="38" spans="1:8" ht="12.75">
      <c r="A38" s="70" t="s">
        <v>69</v>
      </c>
      <c r="B38" s="221"/>
      <c r="C38" s="248"/>
      <c r="D38" s="249"/>
      <c r="E38" s="250"/>
      <c r="F38" s="54"/>
      <c r="G38" s="56"/>
      <c r="H38" s="218"/>
    </row>
    <row r="39" spans="1:8" ht="12.75">
      <c r="A39" s="70" t="s">
        <v>70</v>
      </c>
      <c r="B39" s="221"/>
      <c r="C39" s="248"/>
      <c r="D39" s="249"/>
      <c r="E39" s="250"/>
      <c r="F39" s="54"/>
      <c r="G39" s="56"/>
      <c r="H39" s="218"/>
    </row>
    <row r="40" spans="1:8" ht="12.75">
      <c r="A40" s="70" t="s">
        <v>71</v>
      </c>
      <c r="B40" s="221"/>
      <c r="C40" s="248"/>
      <c r="D40" s="249"/>
      <c r="E40" s="250"/>
      <c r="F40" s="54"/>
      <c r="G40" s="56"/>
      <c r="H40" s="218"/>
    </row>
    <row r="41" spans="1:8" ht="12.75">
      <c r="A41" s="70" t="s">
        <v>72</v>
      </c>
      <c r="B41" s="221"/>
      <c r="C41" s="248"/>
      <c r="D41" s="249"/>
      <c r="E41" s="250"/>
      <c r="F41" s="54"/>
      <c r="G41" s="56"/>
      <c r="H41" s="218"/>
    </row>
    <row r="42" spans="1:8" ht="12.75">
      <c r="A42" s="70" t="s">
        <v>73</v>
      </c>
      <c r="B42" s="221"/>
      <c r="C42" s="248"/>
      <c r="D42" s="249"/>
      <c r="E42" s="250"/>
      <c r="F42" s="54"/>
      <c r="G42" s="56"/>
      <c r="H42" s="218"/>
    </row>
    <row r="43" spans="1:8" ht="12.75">
      <c r="A43" s="70" t="s">
        <v>75</v>
      </c>
      <c r="B43" s="221"/>
      <c r="C43" s="248"/>
      <c r="D43" s="249"/>
      <c r="E43" s="250"/>
      <c r="F43" s="54"/>
      <c r="G43" s="56"/>
      <c r="H43" s="218"/>
    </row>
    <row r="44" spans="1:8" ht="13.5" thickBot="1">
      <c r="A44" s="70" t="s">
        <v>76</v>
      </c>
      <c r="B44" s="208"/>
      <c r="C44" s="251"/>
      <c r="D44" s="252"/>
      <c r="E44" s="253"/>
      <c r="F44" s="54"/>
      <c r="G44" s="56"/>
      <c r="H44" s="217"/>
    </row>
    <row r="45" spans="1:8" ht="13.5" thickTop="1">
      <c r="A45" s="70" t="s">
        <v>77</v>
      </c>
      <c r="B45" s="51"/>
      <c r="C45" s="51"/>
      <c r="D45" s="177"/>
      <c r="E45" s="177"/>
      <c r="F45" s="54"/>
      <c r="G45" s="56"/>
      <c r="H45" s="177"/>
    </row>
    <row r="46" spans="1:8" ht="12.75">
      <c r="A46" s="71" t="s">
        <v>78</v>
      </c>
      <c r="B46" s="50" t="s">
        <v>79</v>
      </c>
      <c r="C46" s="51"/>
      <c r="D46" s="177"/>
      <c r="E46" s="177"/>
      <c r="F46" s="54"/>
      <c r="G46" s="56"/>
      <c r="H46" s="177"/>
    </row>
    <row r="47" spans="1:8" ht="12.75">
      <c r="A47" s="177"/>
      <c r="B47" s="177"/>
      <c r="C47" s="177"/>
      <c r="D47" s="177"/>
      <c r="E47" s="177"/>
      <c r="F47" s="54"/>
      <c r="G47" s="94"/>
      <c r="H47" s="53" t="s">
        <v>55</v>
      </c>
    </row>
    <row r="48" spans="1:8" ht="16.5" thickBot="1">
      <c r="A48" s="62" t="s">
        <v>80</v>
      </c>
      <c r="B48" s="51"/>
      <c r="C48" s="51"/>
      <c r="D48" s="51"/>
      <c r="E48" s="51"/>
      <c r="F48" s="54"/>
      <c r="G48" s="56"/>
      <c r="H48" s="53" t="s">
        <v>58</v>
      </c>
    </row>
    <row r="49" spans="1:8" ht="13.5" thickTop="1">
      <c r="A49" s="98"/>
      <c r="B49" s="50" t="s">
        <v>81</v>
      </c>
      <c r="C49" s="51"/>
      <c r="D49" s="51"/>
      <c r="E49" s="51"/>
      <c r="F49" s="229"/>
      <c r="G49" s="56"/>
      <c r="H49" s="215"/>
    </row>
    <row r="50" spans="1:8" ht="12.75">
      <c r="A50" s="51"/>
      <c r="B50" s="50" t="s">
        <v>82</v>
      </c>
      <c r="C50" s="51"/>
      <c r="D50" s="51"/>
      <c r="E50" s="51"/>
      <c r="F50" s="237"/>
      <c r="G50" s="56"/>
      <c r="H50" s="218"/>
    </row>
    <row r="51" spans="1:8" ht="12.75">
      <c r="A51" s="51"/>
      <c r="B51" s="50" t="s">
        <v>83</v>
      </c>
      <c r="C51" s="51"/>
      <c r="D51" s="51"/>
      <c r="E51" s="51"/>
      <c r="F51" s="237"/>
      <c r="G51" s="56"/>
      <c r="H51" s="218"/>
    </row>
    <row r="52" spans="1:8" ht="13.5" thickBot="1">
      <c r="A52" s="51"/>
      <c r="B52" s="50" t="s">
        <v>84</v>
      </c>
      <c r="C52" s="51"/>
      <c r="D52" s="51"/>
      <c r="E52" s="51"/>
      <c r="F52" s="238"/>
      <c r="G52" s="56"/>
      <c r="H52" s="217"/>
    </row>
    <row r="53" spans="1:8" ht="14.25" thickBot="1" thickTop="1">
      <c r="A53" s="51"/>
      <c r="B53" s="50" t="s">
        <v>85</v>
      </c>
      <c r="C53" s="177"/>
      <c r="D53" s="50" t="s">
        <v>86</v>
      </c>
      <c r="E53" s="50" t="s">
        <v>87</v>
      </c>
      <c r="F53" s="179"/>
      <c r="G53" s="72"/>
      <c r="H53" s="72"/>
    </row>
    <row r="54" spans="1:8" ht="13.5" thickTop="1">
      <c r="A54" s="51"/>
      <c r="B54" s="48" t="s">
        <v>88</v>
      </c>
      <c r="C54" s="177"/>
      <c r="D54" s="239"/>
      <c r="E54" s="240"/>
      <c r="F54" s="100"/>
      <c r="G54" s="56"/>
      <c r="H54" s="215"/>
    </row>
    <row r="55" spans="1:8" ht="12.75">
      <c r="A55" s="51"/>
      <c r="B55" s="48" t="s">
        <v>89</v>
      </c>
      <c r="C55" s="177"/>
      <c r="D55" s="241"/>
      <c r="E55" s="242"/>
      <c r="F55" s="100"/>
      <c r="G55" s="56"/>
      <c r="H55" s="218"/>
    </row>
    <row r="56" spans="1:8" ht="13.5" thickBot="1">
      <c r="A56" s="51"/>
      <c r="B56" s="48" t="s">
        <v>90</v>
      </c>
      <c r="C56" s="177"/>
      <c r="D56" s="243"/>
      <c r="E56" s="244"/>
      <c r="F56" s="186"/>
      <c r="G56" s="56"/>
      <c r="H56" s="218"/>
    </row>
    <row r="57" spans="1:8" ht="13.5" thickTop="1">
      <c r="A57" s="51"/>
      <c r="B57" s="50" t="s">
        <v>91</v>
      </c>
      <c r="C57" s="51"/>
      <c r="D57" s="51"/>
      <c r="E57" s="51"/>
      <c r="F57" s="236"/>
      <c r="G57" s="56"/>
      <c r="H57" s="218"/>
    </row>
    <row r="58" spans="1:8" ht="12.75">
      <c r="A58" s="51"/>
      <c r="B58" s="50" t="s">
        <v>92</v>
      </c>
      <c r="C58" s="51"/>
      <c r="D58" s="51"/>
      <c r="E58" s="51"/>
      <c r="F58" s="237"/>
      <c r="G58" s="56"/>
      <c r="H58" s="218"/>
    </row>
    <row r="59" spans="1:8" ht="12.75">
      <c r="A59" s="51"/>
      <c r="B59" s="50" t="s">
        <v>93</v>
      </c>
      <c r="C59" s="51"/>
      <c r="D59" s="51"/>
      <c r="E59" s="51"/>
      <c r="F59" s="237"/>
      <c r="G59" s="56"/>
      <c r="H59" s="218"/>
    </row>
    <row r="60" spans="1:8" ht="13.5" thickBot="1">
      <c r="A60" s="51"/>
      <c r="B60" s="50" t="s">
        <v>94</v>
      </c>
      <c r="C60" s="51"/>
      <c r="D60" s="51"/>
      <c r="E60" s="51"/>
      <c r="F60" s="237"/>
      <c r="G60" s="56"/>
      <c r="H60" s="218"/>
    </row>
    <row r="61" spans="1:8" ht="13.5" thickTop="1">
      <c r="A61" s="51"/>
      <c r="B61" s="702"/>
      <c r="C61" s="703"/>
      <c r="D61" s="704"/>
      <c r="E61" s="51"/>
      <c r="F61" s="237"/>
      <c r="G61" s="56"/>
      <c r="H61" s="218"/>
    </row>
    <row r="62" spans="1:8" ht="13.5" thickBot="1">
      <c r="A62" s="51"/>
      <c r="B62" s="706"/>
      <c r="C62" s="707"/>
      <c r="D62" s="708"/>
      <c r="E62" s="51"/>
      <c r="F62" s="238"/>
      <c r="G62" s="56"/>
      <c r="H62" s="217"/>
    </row>
    <row r="63" spans="1:8" ht="17.25" thickBot="1" thickTop="1">
      <c r="A63" s="62" t="s">
        <v>96</v>
      </c>
      <c r="B63" s="51"/>
      <c r="C63" s="51"/>
      <c r="D63" s="51"/>
      <c r="E63" s="51"/>
      <c r="F63" s="180"/>
      <c r="G63" s="72"/>
      <c r="H63" s="72"/>
    </row>
    <row r="64" spans="1:8" ht="13.5" thickTop="1">
      <c r="A64" s="68" t="s">
        <v>98</v>
      </c>
      <c r="B64" s="50" t="s">
        <v>97</v>
      </c>
      <c r="C64" s="51"/>
      <c r="D64" s="51"/>
      <c r="E64" s="51"/>
      <c r="F64" s="236"/>
      <c r="G64" s="56"/>
      <c r="H64" s="215"/>
    </row>
    <row r="65" spans="1:8" ht="12.75">
      <c r="A65" s="70" t="s">
        <v>100</v>
      </c>
      <c r="B65" s="50" t="s">
        <v>99</v>
      </c>
      <c r="C65" s="51"/>
      <c r="D65" s="51"/>
      <c r="E65" s="51"/>
      <c r="F65" s="237"/>
      <c r="G65" s="56"/>
      <c r="H65" s="218"/>
    </row>
    <row r="66" spans="1:8" ht="12.75">
      <c r="A66" s="70" t="s">
        <v>102</v>
      </c>
      <c r="B66" s="50" t="s">
        <v>101</v>
      </c>
      <c r="C66" s="51"/>
      <c r="D66" s="51"/>
      <c r="E66" s="51"/>
      <c r="F66" s="238"/>
      <c r="G66" s="56"/>
      <c r="H66" s="218"/>
    </row>
    <row r="67" spans="1:8" ht="12.75">
      <c r="A67" s="70" t="s">
        <v>104</v>
      </c>
      <c r="B67" s="50" t="s">
        <v>103</v>
      </c>
      <c r="C67" s="51"/>
      <c r="D67" s="51"/>
      <c r="E67" s="51"/>
      <c r="F67" s="180"/>
      <c r="G67" s="56"/>
      <c r="H67" s="218"/>
    </row>
    <row r="68" spans="1:8" ht="12.75">
      <c r="A68" s="70" t="s">
        <v>106</v>
      </c>
      <c r="B68" s="48" t="s">
        <v>105</v>
      </c>
      <c r="C68" s="51"/>
      <c r="D68" s="51"/>
      <c r="E68" s="51"/>
      <c r="F68" s="233"/>
      <c r="G68" s="56"/>
      <c r="H68" s="218"/>
    </row>
    <row r="69" spans="1:8" ht="12.75">
      <c r="A69" s="70" t="s">
        <v>108</v>
      </c>
      <c r="B69" s="48" t="s">
        <v>107</v>
      </c>
      <c r="C69" s="51"/>
      <c r="D69" s="51"/>
      <c r="E69" s="51"/>
      <c r="F69" s="234"/>
      <c r="G69" s="56"/>
      <c r="H69" s="218"/>
    </row>
    <row r="70" spans="1:8" ht="12.75">
      <c r="A70" s="70" t="s">
        <v>110</v>
      </c>
      <c r="B70" s="48" t="s">
        <v>109</v>
      </c>
      <c r="C70" s="51"/>
      <c r="D70" s="51"/>
      <c r="E70" s="51"/>
      <c r="F70" s="234"/>
      <c r="G70" s="56"/>
      <c r="H70" s="218"/>
    </row>
    <row r="71" spans="1:8" ht="12.75">
      <c r="A71" s="70" t="s">
        <v>112</v>
      </c>
      <c r="B71" s="48" t="s">
        <v>111</v>
      </c>
      <c r="C71" s="51"/>
      <c r="D71" s="51"/>
      <c r="E71" s="51"/>
      <c r="F71" s="234"/>
      <c r="G71" s="56"/>
      <c r="H71" s="218"/>
    </row>
    <row r="72" spans="1:8" ht="12.75">
      <c r="A72" s="70" t="s">
        <v>113</v>
      </c>
      <c r="B72" s="50" t="s">
        <v>84</v>
      </c>
      <c r="C72" s="51"/>
      <c r="D72" s="51"/>
      <c r="E72" s="51"/>
      <c r="F72" s="234"/>
      <c r="G72" s="56"/>
      <c r="H72" s="218"/>
    </row>
    <row r="73" spans="1:8" ht="12.75">
      <c r="A73" s="70" t="s">
        <v>114</v>
      </c>
      <c r="B73" s="50" t="s">
        <v>116</v>
      </c>
      <c r="C73" s="51"/>
      <c r="D73" s="51"/>
      <c r="E73" s="51"/>
      <c r="F73" s="234"/>
      <c r="G73" s="56"/>
      <c r="H73" s="218"/>
    </row>
    <row r="74" spans="1:8" ht="12.75">
      <c r="A74" s="70" t="s">
        <v>115</v>
      </c>
      <c r="B74" s="50" t="s">
        <v>118</v>
      </c>
      <c r="C74" s="51"/>
      <c r="D74" s="51"/>
      <c r="E74" s="51"/>
      <c r="F74" s="234"/>
      <c r="G74" s="56"/>
      <c r="H74" s="218"/>
    </row>
    <row r="75" spans="1:8" ht="13.5" thickBot="1">
      <c r="A75" s="70" t="s">
        <v>117</v>
      </c>
      <c r="B75" s="50" t="s">
        <v>93</v>
      </c>
      <c r="C75" s="51"/>
      <c r="D75" s="51"/>
      <c r="E75" s="51"/>
      <c r="F75" s="234"/>
      <c r="G75" s="56"/>
      <c r="H75" s="218"/>
    </row>
    <row r="76" spans="1:8" ht="13.5" thickTop="1">
      <c r="A76" s="70" t="s">
        <v>119</v>
      </c>
      <c r="B76" s="702"/>
      <c r="C76" s="704"/>
      <c r="D76" s="177"/>
      <c r="E76" s="177"/>
      <c r="F76" s="234"/>
      <c r="G76" s="56"/>
      <c r="H76" s="218"/>
    </row>
    <row r="77" spans="1:8" ht="12.75">
      <c r="A77" s="73"/>
      <c r="B77" s="709"/>
      <c r="C77" s="710"/>
      <c r="D77" s="177"/>
      <c r="E77" s="177"/>
      <c r="F77" s="234"/>
      <c r="G77" s="56"/>
      <c r="H77" s="218"/>
    </row>
    <row r="78" spans="1:8" ht="13.5" thickBot="1">
      <c r="A78" s="275"/>
      <c r="B78" s="706"/>
      <c r="C78" s="708"/>
      <c r="D78" s="177"/>
      <c r="E78" s="177"/>
      <c r="F78" s="235"/>
      <c r="G78" s="56"/>
      <c r="H78" s="217"/>
    </row>
    <row r="79" spans="1:8" ht="13.5" thickTop="1">
      <c r="A79" s="95"/>
      <c r="B79" s="177"/>
      <c r="C79" s="51"/>
      <c r="D79" s="51"/>
      <c r="E79" s="51"/>
      <c r="F79" s="74"/>
      <c r="G79" s="72"/>
      <c r="H79" s="72"/>
    </row>
    <row r="80" spans="1:8" ht="12.75">
      <c r="A80" s="95"/>
      <c r="B80" s="58" t="s">
        <v>120</v>
      </c>
      <c r="C80" s="51"/>
      <c r="D80" s="51"/>
      <c r="E80" s="51"/>
      <c r="F80" s="54"/>
      <c r="G80" s="56"/>
      <c r="H80" s="177"/>
    </row>
    <row r="81" spans="1:8" ht="12.75">
      <c r="A81" s="51"/>
      <c r="B81" s="51"/>
      <c r="C81" s="51"/>
      <c r="D81" s="51"/>
      <c r="E81" s="51"/>
      <c r="F81" s="54"/>
      <c r="G81" s="56"/>
      <c r="H81" s="177"/>
    </row>
    <row r="82" spans="1:8" ht="15.75">
      <c r="A82" s="62" t="s">
        <v>121</v>
      </c>
      <c r="B82" s="51"/>
      <c r="C82" s="51"/>
      <c r="D82" s="51"/>
      <c r="E82" s="51"/>
      <c r="F82" s="54"/>
      <c r="G82" s="56"/>
      <c r="H82" s="177"/>
    </row>
    <row r="83" spans="1:8" ht="12.75">
      <c r="A83" s="51"/>
      <c r="B83" s="50" t="s">
        <v>122</v>
      </c>
      <c r="C83" s="51"/>
      <c r="D83" s="51"/>
      <c r="E83" s="51"/>
      <c r="F83" s="54"/>
      <c r="G83" s="56"/>
      <c r="H83" s="177"/>
    </row>
    <row r="84" spans="1:8" ht="13.5" thickBot="1">
      <c r="A84" s="51"/>
      <c r="B84" s="50" t="s">
        <v>123</v>
      </c>
      <c r="C84" s="51"/>
      <c r="D84" s="51"/>
      <c r="E84" s="51"/>
      <c r="F84" s="54"/>
      <c r="G84" s="56"/>
      <c r="H84" s="177"/>
    </row>
    <row r="85" spans="1:8" ht="13.5" thickTop="1">
      <c r="A85" s="51"/>
      <c r="B85" s="50" t="s">
        <v>397</v>
      </c>
      <c r="C85" s="51"/>
      <c r="D85" s="177"/>
      <c r="E85" s="215"/>
      <c r="F85" s="54"/>
      <c r="G85" s="56"/>
      <c r="H85" s="177"/>
    </row>
    <row r="86" spans="1:8" ht="12.75">
      <c r="A86" s="51"/>
      <c r="B86" s="50" t="s">
        <v>124</v>
      </c>
      <c r="C86" s="51"/>
      <c r="D86" s="177"/>
      <c r="E86" s="254"/>
      <c r="F86" s="54"/>
      <c r="G86" s="56"/>
      <c r="H86" s="53" t="s">
        <v>55</v>
      </c>
    </row>
    <row r="87" spans="1:8" ht="13.5" thickBot="1">
      <c r="A87" s="51"/>
      <c r="B87" s="50" t="s">
        <v>125</v>
      </c>
      <c r="C87" s="177"/>
      <c r="D87" s="177"/>
      <c r="E87" s="217"/>
      <c r="F87" s="54"/>
      <c r="G87" s="56"/>
      <c r="H87" s="53" t="s">
        <v>58</v>
      </c>
    </row>
    <row r="88" spans="1:8" ht="14.25" thickBot="1" thickTop="1">
      <c r="A88" s="51"/>
      <c r="B88" s="50" t="s">
        <v>398</v>
      </c>
      <c r="C88" s="177"/>
      <c r="D88" s="177"/>
      <c r="E88" s="177"/>
      <c r="F88" s="76"/>
      <c r="G88" s="77"/>
      <c r="H88" s="83"/>
    </row>
    <row r="89" spans="1:8" ht="12.75">
      <c r="A89" s="51"/>
      <c r="B89" s="51"/>
      <c r="C89" s="51"/>
      <c r="D89" s="177"/>
      <c r="E89" s="177"/>
      <c r="F89" s="54"/>
      <c r="G89" s="56"/>
      <c r="H89" s="177"/>
    </row>
    <row r="91" spans="1:8" ht="18.75">
      <c r="A91" s="104"/>
      <c r="B91" s="184" t="s">
        <v>350</v>
      </c>
      <c r="C91" s="104"/>
      <c r="D91" s="104"/>
      <c r="E91" s="104"/>
      <c r="F91" s="104"/>
      <c r="G91" s="105"/>
      <c r="H91" s="104"/>
    </row>
    <row r="92" spans="1:8" ht="15.75">
      <c r="A92" s="188" t="s">
        <v>351</v>
      </c>
      <c r="B92" s="51"/>
      <c r="C92" s="51"/>
      <c r="D92" s="51"/>
      <c r="E92" s="177"/>
      <c r="F92" s="177"/>
      <c r="G92" s="177"/>
      <c r="H92" s="177"/>
    </row>
    <row r="93" spans="1:8" ht="12.75">
      <c r="A93" s="51"/>
      <c r="B93" s="51"/>
      <c r="C93" s="53" t="s">
        <v>130</v>
      </c>
      <c r="D93" s="53" t="s">
        <v>131</v>
      </c>
      <c r="E93" s="53" t="s">
        <v>132</v>
      </c>
      <c r="F93" s="53" t="s">
        <v>133</v>
      </c>
      <c r="G93" s="53" t="s">
        <v>54</v>
      </c>
      <c r="H93" s="53" t="s">
        <v>55</v>
      </c>
    </row>
    <row r="94" spans="1:8" ht="13.5" thickBot="1">
      <c r="A94" s="58" t="s">
        <v>134</v>
      </c>
      <c r="B94" s="50" t="s">
        <v>135</v>
      </c>
      <c r="C94" s="53" t="s">
        <v>136</v>
      </c>
      <c r="D94" s="53" t="s">
        <v>137</v>
      </c>
      <c r="E94" s="53" t="s">
        <v>54</v>
      </c>
      <c r="F94" s="93" t="s">
        <v>134</v>
      </c>
      <c r="G94" s="53" t="s">
        <v>29</v>
      </c>
      <c r="H94" s="53" t="s">
        <v>58</v>
      </c>
    </row>
    <row r="95" spans="1:8" ht="13.5" thickTop="1">
      <c r="A95" s="68" t="s">
        <v>138</v>
      </c>
      <c r="B95" s="219"/>
      <c r="C95" s="203"/>
      <c r="D95" s="204"/>
      <c r="E95" s="205"/>
      <c r="F95" s="101"/>
      <c r="G95" s="56"/>
      <c r="H95" s="215"/>
    </row>
    <row r="96" spans="1:8" ht="12.75">
      <c r="A96" s="70" t="s">
        <v>139</v>
      </c>
      <c r="B96" s="221"/>
      <c r="C96" s="231"/>
      <c r="D96" s="232"/>
      <c r="E96" s="223"/>
      <c r="F96" s="101"/>
      <c r="G96" s="56"/>
      <c r="H96" s="218"/>
    </row>
    <row r="97" spans="1:8" ht="12.75">
      <c r="A97" s="70" t="s">
        <v>140</v>
      </c>
      <c r="B97" s="221"/>
      <c r="C97" s="231"/>
      <c r="D97" s="232"/>
      <c r="E97" s="223"/>
      <c r="F97" s="101"/>
      <c r="G97" s="56"/>
      <c r="H97" s="218"/>
    </row>
    <row r="98" spans="1:8" ht="12.75">
      <c r="A98" s="70" t="s">
        <v>141</v>
      </c>
      <c r="B98" s="221"/>
      <c r="C98" s="231"/>
      <c r="D98" s="232"/>
      <c r="E98" s="223"/>
      <c r="F98" s="101"/>
      <c r="G98" s="56"/>
      <c r="H98" s="218"/>
    </row>
    <row r="99" spans="1:8" ht="12.75">
      <c r="A99" s="70" t="s">
        <v>142</v>
      </c>
      <c r="B99" s="221"/>
      <c r="C99" s="231"/>
      <c r="D99" s="232"/>
      <c r="E99" s="223"/>
      <c r="F99" s="101"/>
      <c r="G99" s="56"/>
      <c r="H99" s="218"/>
    </row>
    <row r="100" spans="1:8" ht="12.75">
      <c r="A100" s="79"/>
      <c r="B100" s="221"/>
      <c r="C100" s="231"/>
      <c r="D100" s="232"/>
      <c r="E100" s="223"/>
      <c r="F100" s="101"/>
      <c r="G100" s="56"/>
      <c r="H100" s="218"/>
    </row>
    <row r="101" spans="1:8" ht="12.75">
      <c r="A101" s="70" t="s">
        <v>143</v>
      </c>
      <c r="B101" s="221"/>
      <c r="C101" s="231"/>
      <c r="D101" s="232"/>
      <c r="E101" s="223"/>
      <c r="F101" s="101"/>
      <c r="G101" s="56"/>
      <c r="H101" s="218"/>
    </row>
    <row r="102" spans="1:8" ht="12.75">
      <c r="A102" s="70" t="s">
        <v>144</v>
      </c>
      <c r="B102" s="221"/>
      <c r="C102" s="231"/>
      <c r="D102" s="232"/>
      <c r="E102" s="223"/>
      <c r="F102" s="101"/>
      <c r="G102" s="56"/>
      <c r="H102" s="218"/>
    </row>
    <row r="103" spans="1:8" ht="12.75">
      <c r="A103" s="70" t="s">
        <v>145</v>
      </c>
      <c r="B103" s="221"/>
      <c r="C103" s="231"/>
      <c r="D103" s="232"/>
      <c r="E103" s="223"/>
      <c r="F103" s="101"/>
      <c r="G103" s="56"/>
      <c r="H103" s="218"/>
    </row>
    <row r="104" spans="1:8" ht="12.75">
      <c r="A104" s="70" t="s">
        <v>146</v>
      </c>
      <c r="B104" s="221"/>
      <c r="C104" s="231"/>
      <c r="D104" s="232"/>
      <c r="E104" s="223"/>
      <c r="F104" s="101"/>
      <c r="G104" s="56"/>
      <c r="H104" s="218"/>
    </row>
    <row r="105" spans="1:8" ht="12.75">
      <c r="A105" s="70" t="s">
        <v>147</v>
      </c>
      <c r="B105" s="221"/>
      <c r="C105" s="231"/>
      <c r="D105" s="232"/>
      <c r="E105" s="223"/>
      <c r="F105" s="101"/>
      <c r="G105" s="56"/>
      <c r="H105" s="218"/>
    </row>
    <row r="106" spans="1:8" ht="13.5" thickBot="1">
      <c r="A106" s="70" t="s">
        <v>148</v>
      </c>
      <c r="B106" s="208"/>
      <c r="C106" s="209"/>
      <c r="D106" s="210"/>
      <c r="E106" s="211"/>
      <c r="F106" s="101"/>
      <c r="G106" s="56"/>
      <c r="H106" s="217"/>
    </row>
    <row r="107" spans="1:8" ht="13.5" thickTop="1">
      <c r="A107" s="71" t="s">
        <v>149</v>
      </c>
      <c r="B107" s="58" t="s">
        <v>25</v>
      </c>
      <c r="C107" s="90"/>
      <c r="D107" s="91"/>
      <c r="E107" s="90"/>
      <c r="F107" s="90"/>
      <c r="G107" s="56"/>
      <c r="H107" s="177"/>
    </row>
    <row r="108" spans="1:8" ht="13.5" thickBot="1">
      <c r="A108" s="51"/>
      <c r="B108" s="51"/>
      <c r="C108" s="51"/>
      <c r="D108" s="51"/>
      <c r="E108" s="177"/>
      <c r="F108" s="63"/>
      <c r="G108" s="56"/>
      <c r="H108" s="177"/>
    </row>
    <row r="109" spans="1:8" ht="14.25" thickBot="1" thickTop="1">
      <c r="A109" s="51"/>
      <c r="B109" s="50" t="s">
        <v>150</v>
      </c>
      <c r="C109" s="51"/>
      <c r="D109" s="51"/>
      <c r="E109" s="177"/>
      <c r="F109" s="181"/>
      <c r="G109" s="56"/>
      <c r="H109" s="215"/>
    </row>
    <row r="110" spans="1:8" ht="13.5" thickTop="1">
      <c r="A110" s="51"/>
      <c r="B110" s="50" t="s">
        <v>151</v>
      </c>
      <c r="C110" s="51"/>
      <c r="D110" s="51"/>
      <c r="E110" s="177"/>
      <c r="F110" s="229"/>
      <c r="G110" s="56"/>
      <c r="H110" s="218"/>
    </row>
    <row r="111" spans="1:8" ht="13.5" thickBot="1">
      <c r="A111" s="51"/>
      <c r="B111" s="50" t="s">
        <v>152</v>
      </c>
      <c r="C111" s="51"/>
      <c r="D111" s="51"/>
      <c r="E111" s="177"/>
      <c r="F111" s="230"/>
      <c r="G111" s="56"/>
      <c r="H111" s="217"/>
    </row>
    <row r="112" spans="1:8" ht="13.5" thickTop="1">
      <c r="A112" s="51"/>
      <c r="B112" s="51"/>
      <c r="C112" s="51"/>
      <c r="D112" s="51"/>
      <c r="E112" s="177"/>
      <c r="F112" s="54"/>
      <c r="G112" s="56"/>
      <c r="H112" s="177"/>
    </row>
    <row r="113" spans="1:8" ht="15.75">
      <c r="A113" s="188" t="s">
        <v>352</v>
      </c>
      <c r="B113" s="51"/>
      <c r="C113" s="51"/>
      <c r="D113" s="51"/>
      <c r="E113" s="177"/>
      <c r="F113" s="54"/>
      <c r="G113" s="56"/>
      <c r="H113" s="177"/>
    </row>
    <row r="114" spans="1:8" ht="12.75">
      <c r="A114" s="51"/>
      <c r="B114" s="51"/>
      <c r="C114" s="53" t="s">
        <v>130</v>
      </c>
      <c r="D114" s="53" t="s">
        <v>131</v>
      </c>
      <c r="E114" s="53" t="s">
        <v>132</v>
      </c>
      <c r="F114" s="53" t="s">
        <v>133</v>
      </c>
      <c r="G114" s="53" t="s">
        <v>54</v>
      </c>
      <c r="H114" s="53" t="s">
        <v>55</v>
      </c>
    </row>
    <row r="115" spans="1:8" ht="13.5" thickBot="1">
      <c r="A115" s="177"/>
      <c r="B115" s="50" t="s">
        <v>135</v>
      </c>
      <c r="C115" s="53" t="s">
        <v>136</v>
      </c>
      <c r="D115" s="53" t="s">
        <v>137</v>
      </c>
      <c r="E115" s="53" t="s">
        <v>54</v>
      </c>
      <c r="F115" s="93" t="s">
        <v>134</v>
      </c>
      <c r="G115" s="53" t="s">
        <v>29</v>
      </c>
      <c r="H115" s="53" t="s">
        <v>58</v>
      </c>
    </row>
    <row r="116" spans="1:8" ht="13.5" thickTop="1">
      <c r="A116" s="58" t="s">
        <v>134</v>
      </c>
      <c r="B116" s="219"/>
      <c r="C116" s="203"/>
      <c r="D116" s="204"/>
      <c r="E116" s="205"/>
      <c r="F116" s="101"/>
      <c r="G116" s="56"/>
      <c r="H116" s="215"/>
    </row>
    <row r="117" spans="1:8" ht="12.75">
      <c r="A117" s="51"/>
      <c r="B117" s="221"/>
      <c r="C117" s="231"/>
      <c r="D117" s="232"/>
      <c r="E117" s="223"/>
      <c r="F117" s="101"/>
      <c r="G117" s="56"/>
      <c r="H117" s="218"/>
    </row>
    <row r="118" spans="1:8" ht="12.75">
      <c r="A118" s="98"/>
      <c r="B118" s="221"/>
      <c r="C118" s="231"/>
      <c r="D118" s="232"/>
      <c r="E118" s="223"/>
      <c r="F118" s="101"/>
      <c r="G118" s="56"/>
      <c r="H118" s="218"/>
    </row>
    <row r="119" spans="1:8" ht="12.75">
      <c r="A119" s="51"/>
      <c r="B119" s="221"/>
      <c r="C119" s="231"/>
      <c r="D119" s="232"/>
      <c r="E119" s="223"/>
      <c r="F119" s="101"/>
      <c r="G119" s="56"/>
      <c r="H119" s="218"/>
    </row>
    <row r="120" spans="1:8" ht="12.75">
      <c r="A120" s="51"/>
      <c r="B120" s="221"/>
      <c r="C120" s="231"/>
      <c r="D120" s="232"/>
      <c r="E120" s="223"/>
      <c r="F120" s="101"/>
      <c r="G120" s="56"/>
      <c r="H120" s="218"/>
    </row>
    <row r="121" spans="1:8" ht="12.75">
      <c r="A121" s="51"/>
      <c r="B121" s="221"/>
      <c r="C121" s="231"/>
      <c r="D121" s="232"/>
      <c r="E121" s="223"/>
      <c r="F121" s="101"/>
      <c r="G121" s="56"/>
      <c r="H121" s="218"/>
    </row>
    <row r="122" spans="1:8" ht="12.75">
      <c r="A122" s="51"/>
      <c r="B122" s="221"/>
      <c r="C122" s="231"/>
      <c r="D122" s="232"/>
      <c r="E122" s="223"/>
      <c r="F122" s="101"/>
      <c r="G122" s="56"/>
      <c r="H122" s="218"/>
    </row>
    <row r="123" spans="1:8" ht="13.5" thickBot="1">
      <c r="A123" s="51"/>
      <c r="B123" s="208"/>
      <c r="C123" s="209"/>
      <c r="D123" s="210"/>
      <c r="E123" s="211"/>
      <c r="F123" s="101"/>
      <c r="G123" s="56"/>
      <c r="H123" s="217"/>
    </row>
    <row r="124" spans="1:8" ht="13.5" thickTop="1">
      <c r="A124" s="51"/>
      <c r="B124" s="58" t="s">
        <v>25</v>
      </c>
      <c r="C124" s="90"/>
      <c r="D124" s="91"/>
      <c r="E124" s="90"/>
      <c r="F124" s="63"/>
      <c r="G124" s="56"/>
      <c r="H124" s="177"/>
    </row>
    <row r="125" spans="1:8" ht="13.5" thickBot="1">
      <c r="A125" s="51"/>
      <c r="B125" s="51"/>
      <c r="C125" s="51"/>
      <c r="D125" s="51"/>
      <c r="E125" s="177"/>
      <c r="F125" s="63"/>
      <c r="G125" s="56"/>
      <c r="H125" s="177"/>
    </row>
    <row r="126" spans="1:8" ht="14.25" thickBot="1" thickTop="1">
      <c r="A126" s="51"/>
      <c r="B126" s="50" t="s">
        <v>150</v>
      </c>
      <c r="C126" s="51"/>
      <c r="D126" s="51"/>
      <c r="E126" s="177"/>
      <c r="F126" s="181"/>
      <c r="G126" s="56"/>
      <c r="H126" s="215"/>
    </row>
    <row r="127" spans="1:8" ht="13.5" thickTop="1">
      <c r="A127" s="51"/>
      <c r="B127" s="50" t="s">
        <v>153</v>
      </c>
      <c r="C127" s="51"/>
      <c r="D127" s="51"/>
      <c r="E127" s="177"/>
      <c r="F127" s="229"/>
      <c r="G127" s="56"/>
      <c r="H127" s="218"/>
    </row>
    <row r="128" spans="1:8" ht="13.5" thickBot="1">
      <c r="A128" s="51"/>
      <c r="B128" s="50" t="s">
        <v>152</v>
      </c>
      <c r="C128" s="51"/>
      <c r="D128" s="51"/>
      <c r="E128" s="177"/>
      <c r="F128" s="230"/>
      <c r="G128" s="56"/>
      <c r="H128" s="217"/>
    </row>
    <row r="129" spans="1:8" ht="13.5" thickTop="1">
      <c r="A129" s="51"/>
      <c r="B129" s="51"/>
      <c r="C129" s="51"/>
      <c r="D129" s="51"/>
      <c r="E129" s="177"/>
      <c r="F129" s="54"/>
      <c r="G129" s="55" t="s">
        <v>20</v>
      </c>
      <c r="H129" s="177"/>
    </row>
    <row r="130" spans="1:8" ht="15.75">
      <c r="A130" s="188" t="s">
        <v>353</v>
      </c>
      <c r="B130" s="51"/>
      <c r="C130" s="51"/>
      <c r="D130" s="51"/>
      <c r="E130" s="177"/>
      <c r="F130" s="54"/>
      <c r="G130" s="55" t="s">
        <v>20</v>
      </c>
      <c r="H130" s="53" t="s">
        <v>55</v>
      </c>
    </row>
    <row r="131" spans="1:8" ht="13.5" thickBot="1">
      <c r="A131" s="51"/>
      <c r="B131" s="50" t="s">
        <v>154</v>
      </c>
      <c r="C131" s="50" t="s">
        <v>155</v>
      </c>
      <c r="D131" s="50" t="s">
        <v>156</v>
      </c>
      <c r="E131" s="50" t="s">
        <v>18</v>
      </c>
      <c r="F131" s="54"/>
      <c r="G131" s="56"/>
      <c r="H131" s="53" t="s">
        <v>58</v>
      </c>
    </row>
    <row r="132" spans="1:8" ht="14.25" thickBot="1" thickTop="1">
      <c r="A132" s="68" t="s">
        <v>157</v>
      </c>
      <c r="B132" s="219"/>
      <c r="C132" s="220"/>
      <c r="D132" s="205"/>
      <c r="E132" s="101"/>
      <c r="F132" s="54"/>
      <c r="G132" s="56"/>
      <c r="H132" s="227"/>
    </row>
    <row r="133" spans="1:8" ht="13.5" thickTop="1">
      <c r="A133" s="70" t="s">
        <v>158</v>
      </c>
      <c r="B133" s="221"/>
      <c r="C133" s="222"/>
      <c r="D133" s="223"/>
      <c r="E133" s="101"/>
      <c r="F133" s="54"/>
      <c r="G133" s="56"/>
      <c r="H133" s="228"/>
    </row>
    <row r="134" spans="1:8" ht="12.75">
      <c r="A134" s="70" t="s">
        <v>159</v>
      </c>
      <c r="B134" s="221"/>
      <c r="C134" s="222"/>
      <c r="D134" s="223"/>
      <c r="E134" s="101"/>
      <c r="F134" s="54"/>
      <c r="G134" s="56"/>
      <c r="H134" s="218"/>
    </row>
    <row r="135" spans="1:8" ht="12.75">
      <c r="A135" s="70" t="s">
        <v>160</v>
      </c>
      <c r="B135" s="221"/>
      <c r="C135" s="222"/>
      <c r="D135" s="223"/>
      <c r="E135" s="101"/>
      <c r="F135" s="54"/>
      <c r="G135" s="56"/>
      <c r="H135" s="218"/>
    </row>
    <row r="136" spans="1:8" ht="12.75">
      <c r="A136" s="70" t="s">
        <v>161</v>
      </c>
      <c r="B136" s="221"/>
      <c r="C136" s="222"/>
      <c r="D136" s="223"/>
      <c r="E136" s="101"/>
      <c r="F136" s="54"/>
      <c r="G136" s="56"/>
      <c r="H136" s="218"/>
    </row>
    <row r="137" spans="1:8" ht="12.75">
      <c r="A137" s="70" t="s">
        <v>162</v>
      </c>
      <c r="B137" s="224"/>
      <c r="C137" s="222"/>
      <c r="D137" s="223"/>
      <c r="E137" s="101"/>
      <c r="F137" s="54"/>
      <c r="G137" s="56"/>
      <c r="H137" s="218"/>
    </row>
    <row r="138" spans="1:8" ht="12.75">
      <c r="A138" s="70" t="s">
        <v>163</v>
      </c>
      <c r="B138" s="224"/>
      <c r="C138" s="222"/>
      <c r="D138" s="223"/>
      <c r="E138" s="101"/>
      <c r="F138" s="54"/>
      <c r="G138" s="56"/>
      <c r="H138" s="218"/>
    </row>
    <row r="139" spans="1:8" ht="12.75">
      <c r="A139" s="70" t="s">
        <v>164</v>
      </c>
      <c r="B139" s="224"/>
      <c r="C139" s="222"/>
      <c r="D139" s="223"/>
      <c r="E139" s="101"/>
      <c r="F139" s="54"/>
      <c r="G139" s="56"/>
      <c r="H139" s="218"/>
    </row>
    <row r="140" spans="1:8" ht="12.75">
      <c r="A140" s="70" t="s">
        <v>165</v>
      </c>
      <c r="B140" s="224"/>
      <c r="C140" s="222"/>
      <c r="D140" s="223"/>
      <c r="E140" s="101"/>
      <c r="F140" s="54"/>
      <c r="G140" s="56"/>
      <c r="H140" s="218"/>
    </row>
    <row r="141" spans="1:8" ht="13.5" thickBot="1">
      <c r="A141" s="70" t="s">
        <v>166</v>
      </c>
      <c r="B141" s="225"/>
      <c r="C141" s="226"/>
      <c r="D141" s="211"/>
      <c r="E141" s="101"/>
      <c r="F141" s="54"/>
      <c r="G141" s="56"/>
      <c r="H141" s="217"/>
    </row>
    <row r="142" spans="1:8" ht="14.25" thickBot="1" thickTop="1">
      <c r="A142" s="96" t="s">
        <v>167</v>
      </c>
      <c r="B142" s="60"/>
      <c r="C142" s="60"/>
      <c r="D142" s="50" t="s">
        <v>31</v>
      </c>
      <c r="E142" s="90"/>
      <c r="F142" s="54"/>
      <c r="G142" s="56"/>
      <c r="H142" s="51"/>
    </row>
    <row r="143" spans="1:8" ht="14.25" thickBot="1" thickTop="1">
      <c r="A143" s="97" t="s">
        <v>168</v>
      </c>
      <c r="B143" s="50" t="s">
        <v>150</v>
      </c>
      <c r="C143" s="51"/>
      <c r="D143" s="51"/>
      <c r="E143" s="177"/>
      <c r="F143" s="181"/>
      <c r="G143" s="56"/>
      <c r="H143" s="215"/>
    </row>
    <row r="144" spans="1:8" ht="14.25" thickBot="1" thickTop="1">
      <c r="A144" s="95"/>
      <c r="B144" s="50" t="s">
        <v>169</v>
      </c>
      <c r="C144" s="51"/>
      <c r="D144" s="51"/>
      <c r="E144" s="177"/>
      <c r="F144" s="80"/>
      <c r="G144" s="56"/>
      <c r="H144" s="217"/>
    </row>
    <row r="145" spans="1:8" ht="13.5" thickTop="1">
      <c r="A145" s="51"/>
      <c r="B145" s="51" t="s">
        <v>459</v>
      </c>
      <c r="C145" s="51"/>
      <c r="D145" s="51"/>
      <c r="E145" s="177"/>
      <c r="F145" s="54"/>
      <c r="G145" s="55"/>
      <c r="H145" s="177"/>
    </row>
    <row r="146" spans="1:8" ht="12.75">
      <c r="A146" s="177"/>
      <c r="B146" s="51"/>
      <c r="C146" s="51"/>
      <c r="D146" s="51"/>
      <c r="E146" s="177"/>
      <c r="F146" s="54"/>
      <c r="G146" s="55" t="s">
        <v>20</v>
      </c>
      <c r="H146" s="177"/>
    </row>
    <row r="147" spans="1:8" ht="15.75">
      <c r="A147" s="188" t="s">
        <v>170</v>
      </c>
      <c r="B147" s="51"/>
      <c r="C147" s="51"/>
      <c r="D147" s="51"/>
      <c r="E147" s="177"/>
      <c r="F147" s="54"/>
      <c r="G147" s="56"/>
      <c r="H147" s="177"/>
    </row>
    <row r="148" spans="1:8" ht="12.75">
      <c r="A148" s="51"/>
      <c r="B148" s="51"/>
      <c r="C148" s="53" t="s">
        <v>130</v>
      </c>
      <c r="D148" s="53" t="s">
        <v>131</v>
      </c>
      <c r="E148" s="53" t="s">
        <v>395</v>
      </c>
      <c r="F148" s="53" t="s">
        <v>133</v>
      </c>
      <c r="G148" s="53" t="s">
        <v>54</v>
      </c>
      <c r="H148" s="53" t="s">
        <v>55</v>
      </c>
    </row>
    <row r="149" spans="1:8" ht="13.5" thickBot="1">
      <c r="A149" s="50" t="s">
        <v>396</v>
      </c>
      <c r="B149" s="50"/>
      <c r="C149" s="53" t="s">
        <v>136</v>
      </c>
      <c r="D149" s="53" t="s">
        <v>137</v>
      </c>
      <c r="E149" s="53" t="s">
        <v>54</v>
      </c>
      <c r="F149" s="93" t="s">
        <v>134</v>
      </c>
      <c r="G149" s="53" t="s">
        <v>29</v>
      </c>
      <c r="H149" s="53" t="s">
        <v>58</v>
      </c>
    </row>
    <row r="150" spans="1:8" ht="13.5" thickTop="1">
      <c r="A150" s="705"/>
      <c r="B150" s="212" t="s">
        <v>171</v>
      </c>
      <c r="C150" s="203"/>
      <c r="D150" s="204"/>
      <c r="E150" s="205"/>
      <c r="F150" s="202"/>
      <c r="G150" s="56"/>
      <c r="H150" s="215"/>
    </row>
    <row r="151" spans="1:8" ht="12.75">
      <c r="A151" s="705"/>
      <c r="B151" s="213" t="s">
        <v>172</v>
      </c>
      <c r="C151" s="214"/>
      <c r="D151" s="206"/>
      <c r="E151" s="207"/>
      <c r="F151" s="202"/>
      <c r="G151" s="56"/>
      <c r="H151" s="216"/>
    </row>
    <row r="152" spans="1:8" ht="13.5" thickBot="1">
      <c r="A152" s="68" t="s">
        <v>480</v>
      </c>
      <c r="B152" s="208"/>
      <c r="C152" s="209"/>
      <c r="D152" s="210"/>
      <c r="E152" s="211"/>
      <c r="F152" s="202"/>
      <c r="G152" s="56"/>
      <c r="H152" s="217"/>
    </row>
    <row r="153" spans="1:8" ht="13.5" thickTop="1">
      <c r="A153" s="70" t="s">
        <v>481</v>
      </c>
      <c r="B153" s="58" t="s">
        <v>25</v>
      </c>
      <c r="C153" s="90"/>
      <c r="D153" s="91"/>
      <c r="E153" s="90"/>
      <c r="F153" s="63"/>
      <c r="G153" s="56"/>
      <c r="H153" s="177"/>
    </row>
    <row r="154" spans="1:8" ht="13.5" thickBot="1">
      <c r="A154" s="70" t="s">
        <v>482</v>
      </c>
      <c r="B154" s="51"/>
      <c r="C154" s="91"/>
      <c r="D154" s="91"/>
      <c r="E154" s="178"/>
      <c r="F154" s="63"/>
      <c r="G154" s="56"/>
      <c r="H154" s="177"/>
    </row>
    <row r="155" spans="1:8" ht="14.25" thickBot="1" thickTop="1">
      <c r="A155" s="70" t="s">
        <v>483</v>
      </c>
      <c r="B155" s="50" t="s">
        <v>150</v>
      </c>
      <c r="C155" s="51"/>
      <c r="D155" s="51"/>
      <c r="E155" s="177"/>
      <c r="F155" s="181"/>
      <c r="G155" s="56"/>
      <c r="H155" s="215"/>
    </row>
    <row r="156" spans="1:8" ht="14.25" thickBot="1" thickTop="1">
      <c r="A156" s="70" t="s">
        <v>484</v>
      </c>
      <c r="B156" s="50" t="s">
        <v>173</v>
      </c>
      <c r="C156" s="51"/>
      <c r="D156" s="51"/>
      <c r="E156" s="177"/>
      <c r="F156" s="80"/>
      <c r="G156" s="56"/>
      <c r="H156" s="217"/>
    </row>
    <row r="157" spans="1:8" ht="13.5" thickTop="1">
      <c r="A157" s="70" t="s">
        <v>485</v>
      </c>
      <c r="B157" s="51"/>
      <c r="C157" s="51"/>
      <c r="D157" s="51"/>
      <c r="E157" s="177"/>
      <c r="F157" s="54"/>
      <c r="G157" s="55" t="s">
        <v>20</v>
      </c>
      <c r="H157" s="177"/>
    </row>
    <row r="158" ht="12.75">
      <c r="A158" s="71" t="s">
        <v>486</v>
      </c>
    </row>
  </sheetData>
  <sheetProtection/>
  <mergeCells count="9">
    <mergeCell ref="A150:A151"/>
    <mergeCell ref="B62:D62"/>
    <mergeCell ref="B76:C76"/>
    <mergeCell ref="B77:C77"/>
    <mergeCell ref="B78:C78"/>
    <mergeCell ref="A15:B15"/>
    <mergeCell ref="A21:B21"/>
    <mergeCell ref="A22:B22"/>
    <mergeCell ref="B61:D61"/>
  </mergeCells>
  <printOptions/>
  <pageMargins left="0.75" right="0.75" top="1" bottom="1" header="0.5" footer="0.5"/>
  <pageSetup fitToHeight="1" fitToWidth="1" horizontalDpi="300" verticalDpi="300" orientation="portrait"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Cow Calf Feeder Stocker Cost of Production</dc:title>
  <dc:subject/>
  <dc:creator>Duane Griffith</dc:creator>
  <cp:keywords/>
  <dc:description/>
  <cp:lastModifiedBy>Duane Griffith</cp:lastModifiedBy>
  <cp:lastPrinted>2008-05-02T17:15:10Z</cp:lastPrinted>
  <dcterms:created xsi:type="dcterms:W3CDTF">1998-01-13T19:42:44Z</dcterms:created>
  <dcterms:modified xsi:type="dcterms:W3CDTF">2008-05-02T18:55:43Z</dcterms:modified>
  <cp:category/>
  <cp:version/>
  <cp:contentType/>
  <cp:contentStatus/>
</cp:coreProperties>
</file>