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9690" windowHeight="6990" tabRatio="625" activeTab="0"/>
  </bookViews>
  <sheets>
    <sheet name="EnterP_Inv" sheetId="1" r:id="rId1"/>
    <sheet name="Crop#1" sheetId="2" r:id="rId2"/>
    <sheet name="Crop#2" sheetId="3" r:id="rId3"/>
    <sheet name="Crop#3" sheetId="4" r:id="rId4"/>
    <sheet name="Crop#4" sheetId="5" r:id="rId5"/>
    <sheet name="Crop#5" sheetId="6" r:id="rId6"/>
    <sheet name="Crop#6" sheetId="7" r:id="rId7"/>
    <sheet name="CSResults" sheetId="8" r:id="rId8"/>
    <sheet name="CashLease" sheetId="9" r:id="rId9"/>
  </sheets>
  <definedNames>
    <definedName name="\B">'EnterP_Inv'!$P$26</definedName>
    <definedName name="\C">'EnterP_Inv'!$P$51</definedName>
    <definedName name="\F">'EnterP_Inv'!$P$28</definedName>
    <definedName name="\H">'EnterP_Inv'!$P$45</definedName>
    <definedName name="\P">'EnterP_Inv'!$P$34</definedName>
    <definedName name="\R">'EnterP_Inv'!$P$20</definedName>
    <definedName name="\S">'EnterP_Inv'!$P$24</definedName>
    <definedName name="\W">'EnterP_Inv'!$P$22</definedName>
    <definedName name="\X">'EnterP_Inv'!$P$30</definedName>
    <definedName name="\Y">'EnterP_Inv'!$P$32</definedName>
    <definedName name="_Order1" hidden="1">0</definedName>
    <definedName name="_Order2" hidden="1">0</definedName>
    <definedName name="_xlnm.Print_Area" localSheetId="0">'EnterP_Inv'!$B$67:$L$79</definedName>
    <definedName name="Print_Area_MI" localSheetId="0">'EnterP_Inv'!$B$67:$L$79</definedName>
    <definedName name="solver_adj" localSheetId="1" hidden="1">'Crop#1'!$O$18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'Crop#1'!$O$20</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25</definedName>
  </definedNames>
  <calcPr fullCalcOnLoad="1"/>
</workbook>
</file>

<file path=xl/comments1.xml><?xml version="1.0" encoding="utf-8"?>
<comments xmlns="http://schemas.openxmlformats.org/spreadsheetml/2006/main">
  <authors>
    <author>Duane Griffith</author>
  </authors>
  <commentList>
    <comment ref="G23" authorId="0">
      <text>
        <r>
          <rPr>
            <b/>
            <sz val="9"/>
            <rFont val="Tahoma"/>
            <family val="2"/>
          </rPr>
          <t>The real interest rate is the nominal rate (stated or quoted rate) minus the inflation rate.  Example:  The quoted rate to borrow money is  9% and the inflation rate is 3% then the real interest rate is 6%.</t>
        </r>
      </text>
    </comment>
    <comment ref="F23" authorId="0">
      <text>
        <r>
          <rPr>
            <b/>
            <sz val="9"/>
            <rFont val="Tahoma"/>
            <family val="2"/>
          </rPr>
          <t xml:space="preserve">When entering investment values, enter only the value related to the portion of the fixed/capital asset that is utilized by the enterprises you are considering.  For example, if the total value of machinery and equipment is $200,000 but this machinery is used to farm other land (40% of the total use of the machinery and equipment) enter only the portion of the total value attributable to this lease, $120,000 =(60% x $200,000).  
In some instance, it may be necessary to prorate the value of Land &amp; Improvements and Buildings and Fences.
</t>
        </r>
      </text>
    </comment>
    <comment ref="B9" authorId="0">
      <text>
        <r>
          <rPr>
            <b/>
            <sz val="10"/>
            <rFont val="Tahoma"/>
            <family val="2"/>
          </rPr>
          <t xml:space="preserve">For each enterprise you wish to consider (Crop#1 -- Crop#6) at right, enter the name of the crop enterprise below the Crop#X heading.  These enterprise labels are transferred throughout this worksheet where appropriate.  The page tabs at the bottom of this sheet correspond to the enterprise you will enter here.  Again, your enterprise labels are also listed at the top of every page to assist in keeping track of the enterprise you are working with.  </t>
        </r>
        <r>
          <rPr>
            <sz val="10"/>
            <rFont val="Tahoma"/>
            <family val="2"/>
          </rPr>
          <t xml:space="preserve">
</t>
        </r>
      </text>
    </comment>
  </commentList>
</comments>
</file>

<file path=xl/comments8.xml><?xml version="1.0" encoding="utf-8"?>
<comments xmlns="http://schemas.openxmlformats.org/spreadsheetml/2006/main">
  <authors>
    <author>Duane Griffith</author>
  </authors>
  <commentList>
    <comment ref="H42" authorId="0">
      <text>
        <r>
          <rPr>
            <b/>
            <sz val="8"/>
            <rFont val="Tahoma"/>
            <family val="2"/>
          </rPr>
          <t xml:space="preserve">Please note that this figure excludes non-cash expenses estimated in this spreadsheet.  These include Depreciation, Unpaid Labor and Interest on Investment.  However, interest on operating is included as a cash expense.  While depreciation and unpaid labor are "non-cash," interest on investment is an estimate or opportunity cost and there may actually be cash interest costs incurred by one or both parties to the lease, hence this number may not be completely accurate.  </t>
        </r>
      </text>
    </comment>
    <comment ref="I42" authorId="0">
      <text>
        <r>
          <rPr>
            <b/>
            <sz val="8"/>
            <rFont val="Tahoma"/>
            <family val="2"/>
          </rPr>
          <t xml:space="preserve">Please note that this figure excludes non-cash expenses estimated in this spreadsheet.  These include Depreciation, Unpaid Labor and Interest on Investment.  However, interest on operating is included as a cash expense.  While depreciation and unpaid labor are "non-cash," interest on investment is an estimate or opportunity cost and there may actually be cash interest costs incurred by one or both parties to the lease, hence this number may not be completely accurate.  </t>
        </r>
        <r>
          <rPr>
            <sz val="8"/>
            <rFont val="Tahoma"/>
            <family val="2"/>
          </rPr>
          <t xml:space="preserve">
</t>
        </r>
      </text>
    </comment>
    <comment ref="H38" authorId="0">
      <text>
        <r>
          <rPr>
            <b/>
            <sz val="8"/>
            <rFont val="Tahoma"/>
            <family val="2"/>
          </rPr>
          <t xml:space="preserve">Please note that this figure excludes non-cash expenses estimated in this spreadsheet.  These include Depreciation, Unpaid Labor and Interest on Investment.  While depreciation and unpaid labor are "non-cash," interest on investment is an estimate or opportunity cost and there may actually be cash interest costs incurred by one or both parties to the lease, hence this number may not be completely accurate.  </t>
        </r>
      </text>
    </comment>
    <comment ref="H39" authorId="0">
      <text>
        <r>
          <rPr>
            <b/>
            <sz val="8"/>
            <rFont val="Tahoma"/>
            <family val="2"/>
          </rPr>
          <t xml:space="preserve">Please note that this figure excludes non-cash expenses estimated in this spreadsheet.  These include Depreciation, Unpaid Labor and Interest on Investment.  While depreciation and unpaid labor are "non-cash," interest on investment is an estimate or opportunity cost and there may actually be cash interest costs incurred by one or both parties to the lease, hence this number may not be completely accurate.  </t>
        </r>
      </text>
    </comment>
    <comment ref="I38" authorId="0">
      <text>
        <r>
          <rPr>
            <b/>
            <sz val="8"/>
            <rFont val="Tahoma"/>
            <family val="2"/>
          </rPr>
          <t xml:space="preserve">Please note that this figure excludes non-cash expenses estimated in this spreadsheet.  These include Depreciation, Unpaid Labor and Interest on Investment.  While depreciation and unpaid labor are "non-cash," interest on investment is an estimate or opportunity cost and there may actually be cash interest costs incurred by one or both parties to the lease, hence this number may not be completely accurate.  </t>
        </r>
        <r>
          <rPr>
            <sz val="8"/>
            <rFont val="Tahoma"/>
            <family val="2"/>
          </rPr>
          <t xml:space="preserve">
</t>
        </r>
      </text>
    </comment>
    <comment ref="I39" authorId="0">
      <text>
        <r>
          <rPr>
            <b/>
            <sz val="8"/>
            <rFont val="Tahoma"/>
            <family val="2"/>
          </rPr>
          <t xml:space="preserve">Please note that this figure excludes non-cash expenses estimated in this spreadsheet.  These include Depreciation, Unpaid Labor and Interest on Investment.  While depreciation and unpaid labor are "non-cash," interest on investment is an estimate or opportunity cost and there may actually be cash interest costs incurred by one or both parties to the lease, hence this number may not be completely accurate.  </t>
        </r>
        <r>
          <rPr>
            <sz val="8"/>
            <rFont val="Tahoma"/>
            <family val="2"/>
          </rPr>
          <t xml:space="preserve">
</t>
        </r>
      </text>
    </comment>
  </commentList>
</comments>
</file>

<file path=xl/sharedStrings.xml><?xml version="1.0" encoding="utf-8"?>
<sst xmlns="http://schemas.openxmlformats.org/spreadsheetml/2006/main" count="877" uniqueCount="238">
  <si>
    <t>Estimated</t>
  </si>
  <si>
    <t>Real</t>
  </si>
  <si>
    <t>Percent</t>
  </si>
  <si>
    <t>Value</t>
  </si>
  <si>
    <t>Total</t>
  </si>
  <si>
    <t>Interest</t>
  </si>
  <si>
    <t>Landlords</t>
  </si>
  <si>
    <t>Tenants</t>
  </si>
  <si>
    <t>Rate %</t>
  </si>
  <si>
    <t>Share</t>
  </si>
  <si>
    <t xml:space="preserve">  Land &amp; Improvements</t>
  </si>
  <si>
    <t xml:space="preserve">  Buldgs &amp; Fences-Value Capacity Util.</t>
  </si>
  <si>
    <t xml:space="preserve">  Machinery-Only Value Capacity Utilized</t>
  </si>
  <si>
    <t xml:space="preserve">  Equipment-Only Value Capacity Utilized</t>
  </si>
  <si>
    <t xml:space="preserve">  Supplies</t>
  </si>
  <si>
    <t xml:space="preserve">  Other Investment Costs</t>
  </si>
  <si>
    <t>Total Opportunity Costs on Investment</t>
  </si>
  <si>
    <t>Dep.</t>
  </si>
  <si>
    <t xml:space="preserve">  Buildings &amp; Fences</t>
  </si>
  <si>
    <t xml:space="preserve">  Machinery</t>
  </si>
  <si>
    <t xml:space="preserve">  Equipment</t>
  </si>
  <si>
    <t xml:space="preserve">  Other Depreciation Costs</t>
  </si>
  <si>
    <t>Taxes</t>
  </si>
  <si>
    <t xml:space="preserve">  Other Tax Costs</t>
  </si>
  <si>
    <t>Insur.</t>
  </si>
  <si>
    <t>Enter the information requested for each crop listed:</t>
  </si>
  <si>
    <t>Acres</t>
  </si>
  <si>
    <t>Crop#1</t>
  </si>
  <si>
    <t>Crop#2</t>
  </si>
  <si>
    <t>Involved</t>
  </si>
  <si>
    <t>Number of Acres</t>
  </si>
  <si>
    <t>Expected Yield</t>
  </si>
  <si>
    <t>Expected Price</t>
  </si>
  <si>
    <t>Other Revenue/Ac.</t>
  </si>
  <si>
    <t>Revenue</t>
  </si>
  <si>
    <t>Enterprise Revenue</t>
  </si>
  <si>
    <t>Operating Loan</t>
  </si>
  <si>
    <t>Interest Rate</t>
  </si>
  <si>
    <t>Winter Wheat</t>
  </si>
  <si>
    <t>Enter the Total Costs Per Acre for Winter Wheat</t>
  </si>
  <si>
    <t>Price</t>
  </si>
  <si>
    <t>Quantity</t>
  </si>
  <si>
    <t>Per</t>
  </si>
  <si>
    <t>UNITS</t>
  </si>
  <si>
    <t>Unit</t>
  </si>
  <si>
    <t>BUSHEL</t>
  </si>
  <si>
    <t>UNIT</t>
  </si>
  <si>
    <t>ACRE</t>
  </si>
  <si>
    <t>LBS.</t>
  </si>
  <si>
    <t/>
  </si>
  <si>
    <t>HOURS</t>
  </si>
  <si>
    <t>DOLLARS</t>
  </si>
  <si>
    <t>Enter the Total Costs Per Acre for Spring Wheat</t>
  </si>
  <si>
    <t>Enter The Costs Per Acre for Barley</t>
  </si>
  <si>
    <t>Summer Fallow</t>
  </si>
  <si>
    <t>Enter The Costs Per Acre For Other Crop # 1</t>
  </si>
  <si>
    <t>Enter The Costs Per Acre For Other Crop # 2</t>
  </si>
  <si>
    <t>Tenant</t>
  </si>
  <si>
    <t>Landlord</t>
  </si>
  <si>
    <t>Total Ownership and Operating Costs by Share</t>
  </si>
  <si>
    <t>Percent of Total Contributions Made be Each Party</t>
  </si>
  <si>
    <t>Total Acres Leased</t>
  </si>
  <si>
    <t>Total Revenue From All Enterprises As Calculated Above</t>
  </si>
  <si>
    <t>Per Acre Dollar Value of Gross Returns Based on Each Party's</t>
  </si>
  <si>
    <t>Per Acre Cost by Share (Based on Total Acres)</t>
  </si>
  <si>
    <t>Cash Lease Arrangements (Based on Cost Contributions Approach)</t>
  </si>
  <si>
    <t xml:space="preserve">  &lt; upper or lower case OK</t>
  </si>
  <si>
    <t xml:space="preserve">  It is assumed here that if the answer is Y (the landlord will pay a portion of operating</t>
  </si>
  <si>
    <t xml:space="preserve">  costs) that the above cost sharing arrangement are correct.  If the answer is N, the </t>
  </si>
  <si>
    <t xml:space="preserve">  program recalculates the cost contributions of each party without the landlord sharing</t>
  </si>
  <si>
    <t>Total Costs Operating and Ownership</t>
  </si>
  <si>
    <t>Percent share calculations without the landlord sharing any operating costs, if so.</t>
  </si>
  <si>
    <t>Cash Lease</t>
  </si>
  <si>
    <t>Per Acre</t>
  </si>
  <si>
    <t xml:space="preserve">Discount Rate </t>
  </si>
  <si>
    <t xml:space="preserve">Based on </t>
  </si>
  <si>
    <t>For Cash</t>
  </si>
  <si>
    <t>Discounts Entered</t>
  </si>
  <si>
    <t>Cash Lease/Acre</t>
  </si>
  <si>
    <t>Based on Total Acres</t>
  </si>
  <si>
    <t>Leased</t>
  </si>
  <si>
    <t>This procedure is based on the yields and prices that were entered on rows 57 and 58 of this spreadsheet,</t>
  </si>
  <si>
    <t>(and are shown on rows 348 and 349 also).  These are the "agreed upon base price and yield.</t>
  </si>
  <si>
    <t>adjustment for risk is shown in cell H352.</t>
  </si>
  <si>
    <t xml:space="preserve">Cash Lease adjusted for Yield Variation </t>
  </si>
  <si>
    <t>Established Cash Lease</t>
  </si>
  <si>
    <t>New Cash Lease Based on Actual Yields Weighted by Acres In Each Enterprise</t>
  </si>
  <si>
    <t>Actual Yield</t>
  </si>
  <si>
    <t>Yield Ratio</t>
  </si>
  <si>
    <t>Enter Percent</t>
  </si>
  <si>
    <t>Increment in Yield</t>
  </si>
  <si>
    <t>Entered Percent Change.</t>
  </si>
  <si>
    <t>Based on</t>
  </si>
  <si>
    <t>% Yield Change</t>
  </si>
  <si>
    <r>
      <t xml:space="preserve">Varied </t>
    </r>
    <r>
      <rPr>
        <b/>
        <sz val="12"/>
        <rFont val="Times New Roman"/>
        <family val="1"/>
      </rPr>
      <t>Yields</t>
    </r>
  </si>
  <si>
    <t>Three Increment Dec.</t>
  </si>
  <si>
    <t>Two Increment Dec.</t>
  </si>
  <si>
    <t>One Increment Dec.</t>
  </si>
  <si>
    <t>Specified Yield</t>
  </si>
  <si>
    <t>One Increment Inc.</t>
  </si>
  <si>
    <t>Two Increment Inc.</t>
  </si>
  <si>
    <t>Three Increment Inc.</t>
  </si>
  <si>
    <t xml:space="preserve">Cash Lease adjusted for Price Variation </t>
  </si>
  <si>
    <t>New Cash Lease Based on Actual Prices Weighted by Acres In Each Enterprise</t>
  </si>
  <si>
    <t>Actual Price</t>
  </si>
  <si>
    <t>Price Ratio</t>
  </si>
  <si>
    <t>Increment in Price</t>
  </si>
  <si>
    <t>% Price Change</t>
  </si>
  <si>
    <r>
      <t xml:space="preserve">Varied </t>
    </r>
    <r>
      <rPr>
        <b/>
        <sz val="12"/>
        <rFont val="Times New Roman"/>
        <family val="1"/>
      </rPr>
      <t>Prices</t>
    </r>
  </si>
  <si>
    <t>Specified Price</t>
  </si>
  <si>
    <t>Adjusted for Price</t>
  </si>
  <si>
    <t>and Yield Changes</t>
  </si>
  <si>
    <t>Using Pre-specified</t>
  </si>
  <si>
    <t>Price &amp; Yield as a Base</t>
  </si>
  <si>
    <t>Will the Landlord pay operating costs for the enterprises under a cash lease.  (Y/N)</t>
  </si>
  <si>
    <t>You must complete the costs share calculations for each enterprise first.</t>
  </si>
  <si>
    <t xml:space="preserve">  operating costs (chemicals, fertilizer, seed, etc.).</t>
  </si>
  <si>
    <t xml:space="preserve">established by the landlord and tenant before the lease is initiated.  The base cash lease rate after initial </t>
  </si>
  <si>
    <r>
      <t xml:space="preserve">Sensitivity Table for </t>
    </r>
    <r>
      <rPr>
        <b/>
        <sz val="14"/>
        <rFont val="Times New Roman"/>
        <family val="1"/>
      </rPr>
      <t>Yield</t>
    </r>
    <r>
      <rPr>
        <sz val="12"/>
        <rFont val="Times New Roman"/>
        <family val="1"/>
      </rPr>
      <t xml:space="preserve"> Increase/Decrease Based on User </t>
    </r>
  </si>
  <si>
    <r>
      <t xml:space="preserve">Sensitivity Table for </t>
    </r>
    <r>
      <rPr>
        <b/>
        <sz val="14"/>
        <rFont val="Times New Roman"/>
        <family val="1"/>
      </rPr>
      <t>Price</t>
    </r>
    <r>
      <rPr>
        <sz val="12"/>
        <rFont val="Times New Roman"/>
        <family val="1"/>
      </rPr>
      <t xml:space="preserve"> Increase/Decrease Based on User </t>
    </r>
  </si>
  <si>
    <t>Both the Cash Lease and Flexible Cash Lease calculations are driven off from the Cost Share Lease Calculations.</t>
  </si>
  <si>
    <t>Total Costs For Both Landlord and Tenant</t>
  </si>
  <si>
    <r>
      <t xml:space="preserve">from previously specified "expected" </t>
    </r>
    <r>
      <rPr>
        <sz val="12"/>
        <color indexed="10"/>
        <rFont val="Times New Roman"/>
        <family val="1"/>
      </rPr>
      <t>crop yields.</t>
    </r>
  </si>
  <si>
    <r>
      <t xml:space="preserve">from previously specified "expected" </t>
    </r>
    <r>
      <rPr>
        <sz val="12"/>
        <color indexed="10"/>
        <rFont val="Times New Roman"/>
        <family val="1"/>
      </rPr>
      <t>crop price.</t>
    </r>
  </si>
  <si>
    <t>Results for Crop Share lease calculations for each enterprise utilized.</t>
  </si>
  <si>
    <t>Initial Cash Lease Per acres is adjusted by both Yield and Price ratios.</t>
  </si>
  <si>
    <t xml:space="preserve">Established Cash Lease    </t>
  </si>
  <si>
    <t>Established Yield</t>
  </si>
  <si>
    <t>Established Price</t>
  </si>
  <si>
    <t>Rate Per Acre</t>
  </si>
  <si>
    <t>Landlord's Share</t>
  </si>
  <si>
    <t>Total Lease Acreage</t>
  </si>
  <si>
    <t>Total Adjusted Cash Lease Payment</t>
  </si>
  <si>
    <t>Click this text box when you wish to print your input and results.</t>
  </si>
  <si>
    <r>
      <t xml:space="preserve">Flexible Cash Lease Arrangements Based on </t>
    </r>
    <r>
      <rPr>
        <sz val="16"/>
        <color indexed="10"/>
        <rFont val="Times New Roman"/>
        <family val="1"/>
      </rPr>
      <t>Price Variations</t>
    </r>
  </si>
  <si>
    <r>
      <t xml:space="preserve">Flexible Cash Lease Arrangements Based on </t>
    </r>
    <r>
      <rPr>
        <sz val="16"/>
        <color indexed="10"/>
        <rFont val="Times New Roman"/>
        <family val="1"/>
      </rPr>
      <t>Both Price and Yield Variations</t>
    </r>
  </si>
  <si>
    <r>
      <t>Flexible Cash Lease Arrangements Based on</t>
    </r>
    <r>
      <rPr>
        <sz val="16"/>
        <color indexed="10"/>
        <rFont val="Times New Roman"/>
        <family val="1"/>
      </rPr>
      <t xml:space="preserve"> Yield Variations</t>
    </r>
  </si>
  <si>
    <t>Total Lease Payment Based on Adjusted Percent Share and Discount for Cash</t>
  </si>
  <si>
    <t>Total Net Return for all acres in the lease</t>
  </si>
  <si>
    <t>Total Net Cash Return (Based on Total Acreas Leased)</t>
  </si>
  <si>
    <t>Total Revenue based on expected prices and yields</t>
  </si>
  <si>
    <t>Crop#3</t>
  </si>
  <si>
    <t>Crop#4</t>
  </si>
  <si>
    <t>Crop#5</t>
  </si>
  <si>
    <t>Crop#6</t>
  </si>
  <si>
    <t>Spring Wheat</t>
  </si>
  <si>
    <t xml:space="preserve">Total Operating Costs For </t>
  </si>
  <si>
    <t>Crop #2</t>
  </si>
  <si>
    <t>Crop #1</t>
  </si>
  <si>
    <t>Crop #3</t>
  </si>
  <si>
    <t>Crop #4</t>
  </si>
  <si>
    <t>Crop #5</t>
  </si>
  <si>
    <t>Crop #6</t>
  </si>
  <si>
    <t>Help</t>
  </si>
  <si>
    <t xml:space="preserve"> </t>
  </si>
  <si>
    <t>Total Ownership Costs:  (Interest, Depreciation, Taxes, Insurance)</t>
  </si>
  <si>
    <t xml:space="preserve">Enter Crop Name and Price, Yield, &amp; Other Revenue Information </t>
  </si>
  <si>
    <r>
      <t>You are allowed/required to enter information shown in</t>
    </r>
    <r>
      <rPr>
        <sz val="14"/>
        <color indexed="12"/>
        <rFont val="Times New Roman"/>
        <family val="1"/>
      </rPr>
      <t xml:space="preserve"> blue text </t>
    </r>
    <r>
      <rPr>
        <sz val="14"/>
        <rFont val="Times New Roman"/>
        <family val="1"/>
      </rPr>
      <t>in this spreadsheet.</t>
    </r>
  </si>
  <si>
    <t>Ownership Costs of Investments</t>
  </si>
  <si>
    <t>Investment Costs of Capital Assets Utilized</t>
  </si>
  <si>
    <t>Not Used</t>
  </si>
  <si>
    <t>Check for updates to this spreadsheet at</t>
  </si>
  <si>
    <t>Written by Duane Griffith</t>
  </si>
  <si>
    <t>Farm Management Specialist at Montana State University</t>
  </si>
  <si>
    <t>Net Cash available to pay calculated lease payment (using expected prices and yields).</t>
  </si>
  <si>
    <t>Total cash operating costs per acre (based on total acres leased)</t>
  </si>
  <si>
    <t>Total cash ownership costs per acre (based on total acres leased)</t>
  </si>
  <si>
    <t>Total cash operating and ownerships costs per acre</t>
  </si>
  <si>
    <t>Share Revenue based on Price &amp; Yield Expectations-per acre leased</t>
  </si>
  <si>
    <t>Total ownership costs per acre based on total acres leased.</t>
  </si>
  <si>
    <t>Total operating costs per acre based on total acres leased</t>
  </si>
  <si>
    <t xml:space="preserve">   (Fuel and Oil)</t>
  </si>
  <si>
    <t xml:space="preserve">   (Repairs)</t>
  </si>
  <si>
    <t>Seed</t>
  </si>
  <si>
    <t>Chemicals _____________</t>
  </si>
  <si>
    <t>Fertilizer</t>
  </si>
  <si>
    <t>Insurance (Crop)</t>
  </si>
  <si>
    <t>Machinery Operating Costs</t>
  </si>
  <si>
    <t>Hired Labor</t>
  </si>
  <si>
    <t>Unpaid Labor</t>
  </si>
  <si>
    <t xml:space="preserve">   Owner/Landlord</t>
  </si>
  <si>
    <t xml:space="preserve">   Operator/Tenant</t>
  </si>
  <si>
    <t xml:space="preserve">   Tenant's Spouse</t>
  </si>
  <si>
    <t xml:space="preserve">   Tenant's Children</t>
  </si>
  <si>
    <t>Interest On Preharvest Costs</t>
  </si>
  <si>
    <t xml:space="preserve">   Wages</t>
  </si>
  <si>
    <t xml:space="preserve">   Social Security</t>
  </si>
  <si>
    <t xml:space="preserve">   Workman's Comp.</t>
  </si>
  <si>
    <t>Combine Operating Costs Only</t>
  </si>
  <si>
    <t>Truck Operating Costs Only</t>
  </si>
  <si>
    <t>Interest On Harvest Costs</t>
  </si>
  <si>
    <t xml:space="preserve">  Avg. Months Loan Outstanding**</t>
  </si>
  <si>
    <t xml:space="preserve">  Avg. Months Loan Outstanding*</t>
  </si>
  <si>
    <t>Preharvest Costs</t>
  </si>
  <si>
    <t>Harvest Costs</t>
  </si>
  <si>
    <t>Fuel and Oil</t>
  </si>
  <si>
    <t>Chemicals</t>
  </si>
  <si>
    <t>Malt Barley</t>
  </si>
  <si>
    <t>Custom Chemical Application</t>
  </si>
  <si>
    <t>Custom Fertilizer Application</t>
  </si>
  <si>
    <t>Custom Machinery Work</t>
  </si>
  <si>
    <t>Other Misc.</t>
  </si>
  <si>
    <t xml:space="preserve">   Custom Combine</t>
  </si>
  <si>
    <t xml:space="preserve">   Custom Haul</t>
  </si>
  <si>
    <r>
      <t xml:space="preserve">Net Return Over </t>
    </r>
    <r>
      <rPr>
        <b/>
        <sz val="14"/>
        <color indexed="10"/>
        <rFont val="Times New Roman"/>
        <family val="1"/>
      </rPr>
      <t>Total Costs</t>
    </r>
    <r>
      <rPr>
        <b/>
        <sz val="14"/>
        <rFont val="Times New Roman"/>
        <family val="1"/>
      </rPr>
      <t xml:space="preserve"> Per Acre (Based on Total Acres Leased)</t>
    </r>
  </si>
  <si>
    <r>
      <t xml:space="preserve">Net Return Over </t>
    </r>
    <r>
      <rPr>
        <b/>
        <sz val="14"/>
        <color indexed="10"/>
        <rFont val="Times New Roman"/>
        <family val="1"/>
      </rPr>
      <t>Cash Costs</t>
    </r>
    <r>
      <rPr>
        <b/>
        <sz val="14"/>
        <rFont val="Times New Roman"/>
        <family val="1"/>
      </rPr>
      <t xml:space="preserve"> Per Acre (Based on Total Acres Leased)</t>
    </r>
  </si>
  <si>
    <r>
      <t>Depreciation</t>
    </r>
    <r>
      <rPr>
        <sz val="14"/>
        <rFont val="Times New Roman"/>
        <family val="1"/>
      </rPr>
      <t xml:space="preserve"> Ownership Costs</t>
    </r>
  </si>
  <si>
    <r>
      <t xml:space="preserve">Tax </t>
    </r>
    <r>
      <rPr>
        <sz val="14"/>
        <rFont val="Times New Roman"/>
        <family val="1"/>
      </rPr>
      <t xml:space="preserve">Ownership Costs: </t>
    </r>
  </si>
  <si>
    <r>
      <t xml:space="preserve">Insurance </t>
    </r>
    <r>
      <rPr>
        <sz val="14"/>
        <rFont val="Times New Roman"/>
        <family val="1"/>
      </rPr>
      <t xml:space="preserve">Ownership Costs: </t>
    </r>
  </si>
  <si>
    <t>Durum</t>
  </si>
  <si>
    <t>ton</t>
  </si>
  <si>
    <t>46-0-0</t>
  </si>
  <si>
    <t>11-52-0</t>
  </si>
  <si>
    <t>Tractor/Powered Equip. Operating Cost</t>
  </si>
  <si>
    <t>Total Operating Costs Per Acre</t>
  </si>
  <si>
    <t>Total Operating Costs Per Acre for Tenant &amp; Landlord</t>
  </si>
  <si>
    <t>&lt; Lbs Active</t>
  </si>
  <si>
    <t>Nitrogen</t>
  </si>
  <si>
    <t>Phosphate</t>
  </si>
  <si>
    <t>Inert</t>
  </si>
  <si>
    <t>Lbs blend</t>
  </si>
  <si>
    <t>applied</t>
  </si>
  <si>
    <t>solved for N</t>
  </si>
  <si>
    <t>Check Sum</t>
  </si>
  <si>
    <t>Price Per Ton</t>
  </si>
  <si>
    <t>Price Per Lb Applied</t>
  </si>
  <si>
    <t>Price Per ton</t>
  </si>
  <si>
    <t>Price Per Lb of Active</t>
  </si>
  <si>
    <t>Check Sum Repaird Costs for Tillage system</t>
  </si>
  <si>
    <t>Check Sum Fuel cost from Tillage systems</t>
  </si>
  <si>
    <t>n</t>
  </si>
  <si>
    <t>Sensitivity Factors</t>
  </si>
  <si>
    <t xml:space="preserve">  Other Insurance Costs: (NOT CROP)</t>
  </si>
  <si>
    <t>Methods and Procedures of Estimating Rent for Crop Share, and Flexible Cash Leases.</t>
  </si>
  <si>
    <r>
      <t xml:space="preserve">Total </t>
    </r>
    <r>
      <rPr>
        <b/>
        <sz val="14"/>
        <color indexed="16"/>
        <rFont val="Times New Roman"/>
        <family val="1"/>
      </rPr>
      <t>Ownership</t>
    </r>
    <r>
      <rPr>
        <b/>
        <sz val="14"/>
        <rFont val="Times New Roman"/>
        <family val="1"/>
      </rPr>
      <t xml:space="preserve"> Costs by Share</t>
    </r>
  </si>
  <si>
    <t xml:space="preserve">http://www.montana.edu/extensionecon/cropdownloads.html </t>
  </si>
  <si>
    <t>LBS.-Active</t>
  </si>
  <si>
    <t>Enter the investment costs for fixed assets-capital assets used in farming the acreage associated with this lease.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</si>
</sst>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_);\(#,##0.000\)"/>
    <numFmt numFmtId="167" formatCode="0_)"/>
    <numFmt numFmtId="168" formatCode="_(&quot;$&quot;* #,##0.000_);_(&quot;$&quot;* \(#,##0.000\);_(&quot;$&quot;* &quot;-&quot;??_);_(@_)"/>
    <numFmt numFmtId="169" formatCode="_(&quot;$&quot;* #,##0.0_);_(&quot;$&quot;* \(#,##0.0\);_(&quot;$&quot;* &quot;-&quot;??_);_(@_)"/>
    <numFmt numFmtId="170" formatCode="_(&quot;$&quot;* #,##0_);_(&quot;$&quot;* \(#,##0\);_(&quot;$&quot;* &quot;-&quot;??_);_(@_)"/>
    <numFmt numFmtId="171" formatCode="&quot;$&quot;#,##0"/>
    <numFmt numFmtId="172" formatCode="0.0%"/>
    <numFmt numFmtId="173" formatCode="&quot;$&quot;#,##0.00"/>
    <numFmt numFmtId="174" formatCode="0.000"/>
    <numFmt numFmtId="175" formatCode="&quot;$&quot;#,##0.000"/>
    <numFmt numFmtId="176" formatCode="0.0"/>
    <numFmt numFmtId="177" formatCode="&quot;$&quot;#,##0.0_);\(&quot;$&quot;#,##0.0\)"/>
    <numFmt numFmtId="178" formatCode="&quot;$&quot;#,##0.0_);[Red]\(&quot;$&quot;#,##0.0\)"/>
    <numFmt numFmtId="179" formatCode="&quot;$&quot;#,##0.0"/>
    <numFmt numFmtId="180" formatCode="_(* #,##0.0_);_(* \(#,##0.0\);_(* &quot;-&quot;??_);_(@_)"/>
    <numFmt numFmtId="181" formatCode="_(* #,##0_);_(* \(#,##0\);_(* &quot;-&quot;??_);_(@_)"/>
    <numFmt numFmtId="182" formatCode="#,##0.0"/>
  </numFmts>
  <fonts count="51">
    <font>
      <sz val="12"/>
      <name val="TIMES"/>
      <family val="0"/>
    </font>
    <font>
      <b/>
      <sz val="10"/>
      <name val="Times New Roman"/>
      <family val="0"/>
    </font>
    <font>
      <i/>
      <sz val="10"/>
      <name val="Times New Roman"/>
      <family val="0"/>
    </font>
    <font>
      <b/>
      <i/>
      <sz val="10"/>
      <name val="Times New Roman"/>
      <family val="0"/>
    </font>
    <font>
      <sz val="10"/>
      <name val="Times New Roman"/>
      <family val="1"/>
    </font>
    <font>
      <sz val="12"/>
      <color indexed="12"/>
      <name val="TIMES"/>
      <family val="0"/>
    </font>
    <font>
      <b/>
      <sz val="18"/>
      <name val="TIMES"/>
      <family val="0"/>
    </font>
    <font>
      <sz val="12"/>
      <name val="Times New Roman"/>
      <family val="1"/>
    </font>
    <font>
      <sz val="12"/>
      <color indexed="12"/>
      <name val="Times New Roman"/>
      <family val="1"/>
    </font>
    <font>
      <b/>
      <sz val="12"/>
      <name val="Times New Roman"/>
      <family val="1"/>
    </font>
    <font>
      <b/>
      <sz val="12"/>
      <name val="TIMES"/>
      <family val="0"/>
    </font>
    <font>
      <b/>
      <sz val="14"/>
      <name val="Times New Roman"/>
      <family val="1"/>
    </font>
    <font>
      <sz val="16"/>
      <name val="Times New Roman"/>
      <family val="1"/>
    </font>
    <font>
      <b/>
      <sz val="12"/>
      <color indexed="12"/>
      <name val="Times New Roman"/>
      <family val="1"/>
    </font>
    <font>
      <b/>
      <sz val="14"/>
      <name val="TIMES"/>
      <family val="0"/>
    </font>
    <font>
      <sz val="12"/>
      <color indexed="10"/>
      <name val="Times New Roman"/>
      <family val="1"/>
    </font>
    <font>
      <sz val="12"/>
      <color indexed="8"/>
      <name val="Times New Roman"/>
      <family val="1"/>
    </font>
    <font>
      <b/>
      <sz val="8"/>
      <name val="Tahoma"/>
      <family val="2"/>
    </font>
    <font>
      <sz val="16"/>
      <color indexed="10"/>
      <name val="Times New Roman"/>
      <family val="1"/>
    </font>
    <font>
      <sz val="8"/>
      <name val="Tahoma"/>
      <family val="2"/>
    </font>
    <font>
      <b/>
      <sz val="9"/>
      <name val="Tahoma"/>
      <family val="2"/>
    </font>
    <font>
      <b/>
      <sz val="10"/>
      <name val="Tahoma"/>
      <family val="2"/>
    </font>
    <font>
      <sz val="10"/>
      <name val="Tahoma"/>
      <family val="2"/>
    </font>
    <font>
      <sz val="14"/>
      <name val="Times New Roman"/>
      <family val="1"/>
    </font>
    <font>
      <sz val="14"/>
      <color indexed="12"/>
      <name val="Times New Roman"/>
      <family val="1"/>
    </font>
    <font>
      <b/>
      <sz val="18"/>
      <color indexed="12"/>
      <name val="Times New Roman"/>
      <family val="1"/>
    </font>
    <font>
      <sz val="8"/>
      <name val="TIMES"/>
      <family val="0"/>
    </font>
    <font>
      <b/>
      <sz val="12"/>
      <color indexed="12"/>
      <name val="TIMES"/>
      <family val="0"/>
    </font>
    <font>
      <b/>
      <sz val="14"/>
      <color indexed="10"/>
      <name val="Times New Roman"/>
      <family val="1"/>
    </font>
    <font>
      <sz val="14"/>
      <color indexed="10"/>
      <name val="Times New Roman"/>
      <family val="1"/>
    </font>
    <font>
      <sz val="14"/>
      <name val="TIMES"/>
      <family val="0"/>
    </font>
    <font>
      <b/>
      <sz val="12"/>
      <color indexed="55"/>
      <name val="TIMES"/>
      <family val="0"/>
    </font>
    <font>
      <b/>
      <sz val="14"/>
      <color indexed="16"/>
      <name val="Times New Roman"/>
      <family val="1"/>
    </font>
    <font>
      <u val="single"/>
      <sz val="12"/>
      <color indexed="12"/>
      <name val="TIMES"/>
      <family val="0"/>
    </font>
    <font>
      <u val="single"/>
      <sz val="14"/>
      <color indexed="12"/>
      <name val="TIMES"/>
      <family val="0"/>
    </font>
    <font>
      <sz val="12"/>
      <color indexed="9"/>
      <name val="Times New Roman"/>
      <family val="2"/>
    </font>
    <font>
      <sz val="12"/>
      <color indexed="20"/>
      <name val="Times New Roman"/>
      <family val="2"/>
    </font>
    <font>
      <b/>
      <sz val="12"/>
      <color indexed="10"/>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19"/>
      <name val="Times New Roman"/>
      <family val="2"/>
    </font>
    <font>
      <b/>
      <sz val="12"/>
      <color indexed="63"/>
      <name val="Times New Roman"/>
      <family val="2"/>
    </font>
    <font>
      <b/>
      <sz val="18"/>
      <color indexed="62"/>
      <name val="Cambria"/>
      <family val="2"/>
    </font>
    <font>
      <b/>
      <sz val="12"/>
      <color indexed="8"/>
      <name val="Times New Roman"/>
      <family val="2"/>
    </font>
    <font>
      <sz val="12"/>
      <color indexed="8"/>
      <name val="TIMES"/>
      <family val="0"/>
    </font>
    <font>
      <b/>
      <sz val="8"/>
      <name val="TIMES"/>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0"/>
        <bgColor indexed="64"/>
      </patternFill>
    </fill>
    <fill>
      <patternFill patternType="solid">
        <fgColor indexed="42"/>
        <bgColor indexed="64"/>
      </patternFill>
    </fill>
    <fill>
      <patternFill patternType="solid">
        <fgColor indexed="52"/>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top>
        <color indexed="63"/>
      </top>
      <bottom>
        <color indexed="63"/>
      </bottom>
    </border>
    <border>
      <left>
        <color indexed="63"/>
      </left>
      <right style="thin">
        <color indexed="8"/>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style="thick">
        <color indexed="40"/>
      </left>
      <right>
        <color indexed="63"/>
      </right>
      <top>
        <color indexed="63"/>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color indexed="63"/>
      </left>
      <right style="thin"/>
      <top style="thin"/>
      <bottom>
        <color indexed="63"/>
      </bottom>
    </border>
    <border>
      <left style="thin">
        <color indexed="8"/>
      </left>
      <right style="thin">
        <color indexed="8"/>
      </right>
      <top>
        <color indexed="63"/>
      </top>
      <bottom style="thin"/>
    </border>
    <border>
      <left style="thin"/>
      <right style="thin"/>
      <top style="thin"/>
      <bottom style="mediu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ck">
        <color indexed="40"/>
      </right>
      <top style="thick">
        <color indexed="40"/>
      </top>
      <bottom>
        <color indexed="63"/>
      </bottom>
    </border>
    <border>
      <left>
        <color indexed="63"/>
      </left>
      <right style="thick">
        <color indexed="40"/>
      </right>
      <top style="thin"/>
      <bottom style="thin"/>
    </border>
    <border>
      <left style="thin">
        <color indexed="8"/>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1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style="thin"/>
      <right style="thin"/>
      <top style="medium"/>
      <bottom>
        <color indexed="63"/>
      </bottom>
    </border>
    <border>
      <left>
        <color indexed="63"/>
      </left>
      <right>
        <color indexed="63"/>
      </right>
      <top>
        <color indexed="63"/>
      </top>
      <bottom style="thin">
        <color indexed="8"/>
      </bottom>
    </border>
    <border>
      <left>
        <color indexed="63"/>
      </left>
      <right style="thin"/>
      <top style="thin">
        <color indexed="8"/>
      </top>
      <bottom>
        <color indexed="63"/>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7" fillId="16" borderId="1" applyNumberFormat="0" applyAlignment="0" applyProtection="0"/>
    <xf numFmtId="0" fontId="38" fillId="17"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3" fillId="0" borderId="0" applyNumberFormat="0" applyFill="0" applyBorder="0" applyAlignment="0" applyProtection="0"/>
    <xf numFmtId="0" fontId="44" fillId="7" borderId="1" applyNumberFormat="0" applyAlignment="0" applyProtection="0"/>
    <xf numFmtId="0" fontId="15" fillId="0" borderId="6" applyNumberFormat="0" applyFill="0" applyAlignment="0" applyProtection="0"/>
    <xf numFmtId="0" fontId="45" fillId="7" borderId="0" applyNumberFormat="0" applyBorder="0" applyAlignment="0" applyProtection="0"/>
    <xf numFmtId="0" fontId="0" fillId="4" borderId="7" applyNumberFormat="0" applyFont="0" applyAlignment="0" applyProtection="0"/>
    <xf numFmtId="0" fontId="46" fillId="16"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15" fillId="0" borderId="0" applyNumberFormat="0" applyFill="0" applyBorder="0" applyAlignment="0" applyProtection="0"/>
  </cellStyleXfs>
  <cellXfs count="293">
    <xf numFmtId="164" fontId="0" fillId="0" borderId="0" xfId="0" applyAlignment="1">
      <alignment/>
    </xf>
    <xf numFmtId="164" fontId="0" fillId="0" borderId="0" xfId="0" applyNumberFormat="1" applyAlignment="1" applyProtection="1">
      <alignment/>
      <protection/>
    </xf>
    <xf numFmtId="164" fontId="5" fillId="0" borderId="0" xfId="0" applyNumberFormat="1" applyFont="1" applyAlignment="1" applyProtection="1">
      <alignment/>
      <protection locked="0"/>
    </xf>
    <xf numFmtId="164" fontId="0" fillId="0" borderId="0" xfId="0" applyAlignment="1">
      <alignment horizontal="left"/>
    </xf>
    <xf numFmtId="164" fontId="6" fillId="0" borderId="0" xfId="0" applyNumberFormat="1" applyFont="1" applyAlignment="1" applyProtection="1">
      <alignment horizontal="left"/>
      <protection/>
    </xf>
    <xf numFmtId="164" fontId="0" fillId="0" borderId="10" xfId="0" applyNumberFormat="1" applyBorder="1" applyAlignment="1" applyProtection="1">
      <alignment/>
      <protection/>
    </xf>
    <xf numFmtId="164" fontId="7" fillId="0" borderId="0" xfId="0" applyNumberFormat="1" applyFont="1" applyAlignment="1" applyProtection="1">
      <alignment horizontal="left"/>
      <protection/>
    </xf>
    <xf numFmtId="164" fontId="7" fillId="0" borderId="0" xfId="0" applyNumberFormat="1" applyFont="1" applyAlignment="1" applyProtection="1">
      <alignment/>
      <protection/>
    </xf>
    <xf numFmtId="164" fontId="8" fillId="0" borderId="0" xfId="0" applyNumberFormat="1" applyFont="1" applyAlignment="1" applyProtection="1">
      <alignment/>
      <protection locked="0"/>
    </xf>
    <xf numFmtId="164" fontId="7" fillId="0" borderId="0" xfId="0" applyNumberFormat="1" applyFont="1" applyAlignment="1" applyProtection="1">
      <alignment horizontal="center"/>
      <protection/>
    </xf>
    <xf numFmtId="164" fontId="7" fillId="0" borderId="11" xfId="0" applyNumberFormat="1" applyFont="1" applyBorder="1" applyAlignment="1" applyProtection="1">
      <alignment/>
      <protection/>
    </xf>
    <xf numFmtId="164" fontId="7" fillId="0" borderId="12" xfId="0" applyNumberFormat="1" applyFont="1" applyBorder="1" applyAlignment="1" applyProtection="1">
      <alignment/>
      <protection/>
    </xf>
    <xf numFmtId="164" fontId="7" fillId="0" borderId="10" xfId="0" applyNumberFormat="1" applyFont="1" applyBorder="1" applyAlignment="1" applyProtection="1">
      <alignment/>
      <protection/>
    </xf>
    <xf numFmtId="164" fontId="7" fillId="0" borderId="10" xfId="0" applyNumberFormat="1" applyFont="1" applyBorder="1" applyAlignment="1" applyProtection="1">
      <alignment horizontal="center"/>
      <protection/>
    </xf>
    <xf numFmtId="164" fontId="7" fillId="0" borderId="12" xfId="0" applyNumberFormat="1" applyFont="1" applyBorder="1" applyAlignment="1" applyProtection="1">
      <alignment horizontal="center"/>
      <protection/>
    </xf>
    <xf numFmtId="164" fontId="7" fillId="0" borderId="11" xfId="0" applyNumberFormat="1" applyFont="1" applyBorder="1" applyAlignment="1" applyProtection="1">
      <alignment horizontal="center"/>
      <protection/>
    </xf>
    <xf numFmtId="165" fontId="7" fillId="0" borderId="0" xfId="0" applyNumberFormat="1" applyFont="1" applyAlignment="1" applyProtection="1">
      <alignment horizontal="center"/>
      <protection/>
    </xf>
    <xf numFmtId="164" fontId="7" fillId="0" borderId="0" xfId="0" applyFont="1" applyAlignment="1">
      <alignment/>
    </xf>
    <xf numFmtId="164" fontId="7" fillId="0" borderId="12" xfId="0" applyNumberFormat="1" applyFont="1" applyBorder="1" applyAlignment="1" applyProtection="1">
      <alignment horizontal="left"/>
      <protection/>
    </xf>
    <xf numFmtId="164" fontId="7" fillId="0" borderId="10" xfId="0" applyNumberFormat="1" applyFont="1" applyBorder="1" applyAlignment="1" applyProtection="1">
      <alignment horizontal="left"/>
      <protection/>
    </xf>
    <xf numFmtId="164" fontId="8" fillId="0" borderId="0" xfId="0" applyNumberFormat="1" applyFont="1" applyAlignment="1" applyProtection="1">
      <alignment horizontal="left"/>
      <protection locked="0"/>
    </xf>
    <xf numFmtId="164" fontId="8" fillId="0" borderId="0" xfId="0" applyNumberFormat="1" applyFont="1" applyAlignment="1" applyProtection="1">
      <alignment/>
      <protection/>
    </xf>
    <xf numFmtId="164" fontId="7" fillId="0" borderId="0" xfId="0" applyNumberFormat="1" applyFont="1" applyBorder="1" applyAlignment="1" applyProtection="1">
      <alignment horizontal="center"/>
      <protection/>
    </xf>
    <xf numFmtId="164" fontId="9" fillId="18" borderId="0" xfId="0" applyNumberFormat="1" applyFont="1" applyFill="1" applyAlignment="1" applyProtection="1">
      <alignment/>
      <protection/>
    </xf>
    <xf numFmtId="164" fontId="7" fillId="0" borderId="0" xfId="0" applyNumberFormat="1" applyFont="1" applyBorder="1" applyAlignment="1" applyProtection="1">
      <alignment horizontal="left"/>
      <protection/>
    </xf>
    <xf numFmtId="165" fontId="7" fillId="0" borderId="0" xfId="0" applyNumberFormat="1" applyFont="1" applyBorder="1" applyAlignment="1" applyProtection="1">
      <alignment horizontal="center"/>
      <protection/>
    </xf>
    <xf numFmtId="164" fontId="7" fillId="0" borderId="13" xfId="0" applyNumberFormat="1" applyFont="1" applyBorder="1" applyAlignment="1" applyProtection="1">
      <alignment/>
      <protection/>
    </xf>
    <xf numFmtId="164" fontId="7" fillId="0" borderId="14" xfId="0" applyNumberFormat="1" applyFont="1" applyBorder="1" applyAlignment="1" applyProtection="1">
      <alignment/>
      <protection/>
    </xf>
    <xf numFmtId="164" fontId="7" fillId="0" borderId="14" xfId="0" applyNumberFormat="1" applyFont="1" applyBorder="1" applyAlignment="1" applyProtection="1">
      <alignment horizontal="left"/>
      <protection/>
    </xf>
    <xf numFmtId="164" fontId="13" fillId="0" borderId="0" xfId="0" applyNumberFormat="1" applyFont="1" applyBorder="1" applyAlignment="1" applyProtection="1">
      <alignment horizontal="center"/>
      <protection/>
    </xf>
    <xf numFmtId="164" fontId="9" fillId="13" borderId="15" xfId="0" applyNumberFormat="1" applyFont="1" applyFill="1" applyBorder="1" applyAlignment="1" applyProtection="1">
      <alignment horizontal="center"/>
      <protection/>
    </xf>
    <xf numFmtId="164" fontId="9" fillId="2" borderId="15" xfId="0" applyNumberFormat="1" applyFont="1" applyFill="1" applyBorder="1" applyAlignment="1" applyProtection="1">
      <alignment horizontal="center"/>
      <protection/>
    </xf>
    <xf numFmtId="164" fontId="9" fillId="0" borderId="0" xfId="0" applyNumberFormat="1" applyFont="1" applyAlignment="1" applyProtection="1">
      <alignment horizontal="left"/>
      <protection/>
    </xf>
    <xf numFmtId="164" fontId="9" fillId="16" borderId="0" xfId="0" applyNumberFormat="1" applyFont="1" applyFill="1" applyBorder="1" applyAlignment="1" applyProtection="1">
      <alignment/>
      <protection/>
    </xf>
    <xf numFmtId="164" fontId="9" fillId="16" borderId="16" xfId="0" applyNumberFormat="1" applyFont="1" applyFill="1" applyBorder="1" applyAlignment="1" applyProtection="1">
      <alignment/>
      <protection/>
    </xf>
    <xf numFmtId="164" fontId="9" fillId="16" borderId="17" xfId="0" applyNumberFormat="1" applyFont="1" applyFill="1" applyBorder="1" applyAlignment="1" applyProtection="1">
      <alignment horizontal="left"/>
      <protection/>
    </xf>
    <xf numFmtId="164" fontId="9" fillId="16" borderId="18" xfId="0" applyNumberFormat="1" applyFont="1" applyFill="1" applyBorder="1" applyAlignment="1" applyProtection="1">
      <alignment/>
      <protection/>
    </xf>
    <xf numFmtId="164" fontId="9" fillId="16" borderId="19" xfId="0" applyNumberFormat="1" applyFont="1" applyFill="1" applyBorder="1" applyAlignment="1" applyProtection="1">
      <alignment/>
      <protection/>
    </xf>
    <xf numFmtId="164" fontId="9" fillId="16" borderId="20" xfId="0" applyNumberFormat="1" applyFont="1" applyFill="1" applyBorder="1" applyAlignment="1" applyProtection="1">
      <alignment/>
      <protection/>
    </xf>
    <xf numFmtId="164" fontId="9" fillId="16" borderId="21" xfId="0" applyNumberFormat="1" applyFont="1" applyFill="1" applyBorder="1" applyAlignment="1" applyProtection="1">
      <alignment/>
      <protection/>
    </xf>
    <xf numFmtId="10" fontId="9" fillId="16" borderId="21" xfId="58" applyNumberFormat="1" applyFont="1" applyFill="1" applyBorder="1" applyAlignment="1" applyProtection="1">
      <alignment/>
      <protection/>
    </xf>
    <xf numFmtId="10" fontId="9" fillId="16" borderId="22" xfId="58" applyNumberFormat="1" applyFont="1" applyFill="1" applyBorder="1" applyAlignment="1" applyProtection="1">
      <alignment/>
      <protection/>
    </xf>
    <xf numFmtId="164" fontId="11" fillId="0" borderId="0" xfId="0" applyNumberFormat="1" applyFont="1" applyAlignment="1" applyProtection="1">
      <alignment horizontal="center"/>
      <protection/>
    </xf>
    <xf numFmtId="171" fontId="9" fillId="18" borderId="11" xfId="44" applyNumberFormat="1" applyFont="1" applyFill="1" applyBorder="1" applyAlignment="1" applyProtection="1">
      <alignment horizontal="center"/>
      <protection/>
    </xf>
    <xf numFmtId="171" fontId="9" fillId="18" borderId="0" xfId="44" applyNumberFormat="1" applyFont="1" applyFill="1" applyAlignment="1" applyProtection="1">
      <alignment horizontal="center"/>
      <protection/>
    </xf>
    <xf numFmtId="164" fontId="11" fillId="0" borderId="0" xfId="0" applyNumberFormat="1" applyFont="1" applyAlignment="1" applyProtection="1">
      <alignment horizontal="left"/>
      <protection/>
    </xf>
    <xf numFmtId="164" fontId="9" fillId="0" borderId="0" xfId="0" applyNumberFormat="1" applyFont="1" applyAlignment="1" applyProtection="1">
      <alignment horizontal="center"/>
      <protection/>
    </xf>
    <xf numFmtId="164" fontId="9" fillId="19" borderId="0" xfId="0" applyNumberFormat="1" applyFont="1" applyFill="1" applyAlignment="1" applyProtection="1">
      <alignment horizontal="center"/>
      <protection/>
    </xf>
    <xf numFmtId="164" fontId="7" fillId="0" borderId="23" xfId="0" applyNumberFormat="1" applyFont="1" applyBorder="1" applyAlignment="1" applyProtection="1">
      <alignment horizontal="center"/>
      <protection/>
    </xf>
    <xf numFmtId="165" fontId="7" fillId="0" borderId="0" xfId="0" applyNumberFormat="1" applyFont="1" applyFill="1" applyAlignment="1" applyProtection="1">
      <alignment horizontal="center"/>
      <protection/>
    </xf>
    <xf numFmtId="7" fontId="7" fillId="0" borderId="0" xfId="0" applyNumberFormat="1" applyFont="1" applyFill="1" applyAlignment="1" applyProtection="1">
      <alignment horizontal="center"/>
      <protection/>
    </xf>
    <xf numFmtId="164" fontId="7" fillId="0" borderId="24" xfId="0" applyNumberFormat="1" applyFont="1" applyBorder="1" applyAlignment="1" applyProtection="1">
      <alignment/>
      <protection/>
    </xf>
    <xf numFmtId="164" fontId="9" fillId="0" borderId="0" xfId="0" applyNumberFormat="1" applyFont="1" applyAlignment="1" applyProtection="1">
      <alignment horizontal="right"/>
      <protection/>
    </xf>
    <xf numFmtId="164" fontId="23" fillId="0" borderId="0" xfId="0" applyNumberFormat="1" applyFont="1" applyAlignment="1" applyProtection="1">
      <alignment horizontal="left"/>
      <protection/>
    </xf>
    <xf numFmtId="164" fontId="16" fillId="0" borderId="0" xfId="0" applyNumberFormat="1" applyFont="1" applyAlignment="1" applyProtection="1">
      <alignment/>
      <protection/>
    </xf>
    <xf numFmtId="164" fontId="0" fillId="0" borderId="0" xfId="0" applyAlignment="1" applyProtection="1">
      <alignment/>
      <protection/>
    </xf>
    <xf numFmtId="10" fontId="8" fillId="0" borderId="10" xfId="0" applyNumberFormat="1" applyFont="1" applyBorder="1" applyAlignment="1" applyProtection="1">
      <alignment/>
      <protection/>
    </xf>
    <xf numFmtId="164" fontId="10" fillId="0" borderId="25" xfId="0" applyFont="1" applyBorder="1" applyAlignment="1" applyProtection="1">
      <alignment horizontal="center"/>
      <protection/>
    </xf>
    <xf numFmtId="164" fontId="7" fillId="0" borderId="0" xfId="0" applyFont="1" applyAlignment="1" applyProtection="1">
      <alignment/>
      <protection/>
    </xf>
    <xf numFmtId="164" fontId="14" fillId="0" borderId="0" xfId="0" applyFont="1" applyAlignment="1" applyProtection="1">
      <alignment/>
      <protection/>
    </xf>
    <xf numFmtId="164" fontId="0" fillId="16" borderId="26" xfId="0" applyFill="1" applyBorder="1" applyAlignment="1" applyProtection="1">
      <alignment/>
      <protection/>
    </xf>
    <xf numFmtId="164" fontId="10" fillId="16" borderId="26" xfId="0" applyFont="1" applyFill="1" applyBorder="1" applyAlignment="1" applyProtection="1">
      <alignment/>
      <protection/>
    </xf>
    <xf numFmtId="164" fontId="9" fillId="0" borderId="0" xfId="0" applyFont="1" applyAlignment="1" applyProtection="1">
      <alignment/>
      <protection/>
    </xf>
    <xf numFmtId="165" fontId="7" fillId="0" borderId="10" xfId="0" applyNumberFormat="1" applyFont="1" applyBorder="1" applyAlignment="1" applyProtection="1">
      <alignment horizontal="center"/>
      <protection/>
    </xf>
    <xf numFmtId="165" fontId="7" fillId="0" borderId="13" xfId="0" applyNumberFormat="1" applyFont="1" applyBorder="1" applyAlignment="1" applyProtection="1">
      <alignment horizontal="center"/>
      <protection/>
    </xf>
    <xf numFmtId="164" fontId="7" fillId="0" borderId="0" xfId="0" applyFont="1" applyAlignment="1" applyProtection="1">
      <alignment horizontal="center"/>
      <protection/>
    </xf>
    <xf numFmtId="7" fontId="7" fillId="0" borderId="10" xfId="0" applyNumberFormat="1" applyFont="1" applyBorder="1" applyAlignment="1" applyProtection="1">
      <alignment horizontal="center"/>
      <protection/>
    </xf>
    <xf numFmtId="7" fontId="7" fillId="0" borderId="0" xfId="0" applyNumberFormat="1" applyFont="1" applyAlignment="1" applyProtection="1">
      <alignment horizontal="center"/>
      <protection/>
    </xf>
    <xf numFmtId="7" fontId="7" fillId="0" borderId="27" xfId="0" applyNumberFormat="1" applyFont="1" applyBorder="1" applyAlignment="1" applyProtection="1">
      <alignment horizontal="center"/>
      <protection/>
    </xf>
    <xf numFmtId="164" fontId="9" fillId="20" borderId="0" xfId="0" applyFont="1" applyFill="1" applyBorder="1" applyAlignment="1" applyProtection="1">
      <alignment horizontal="center"/>
      <protection/>
    </xf>
    <xf numFmtId="164" fontId="7" fillId="18" borderId="16" xfId="0" applyFont="1" applyFill="1" applyBorder="1" applyAlignment="1" applyProtection="1">
      <alignment horizontal="center"/>
      <protection/>
    </xf>
    <xf numFmtId="164" fontId="7" fillId="18" borderId="26" xfId="0" applyFont="1" applyFill="1" applyBorder="1" applyAlignment="1" applyProtection="1">
      <alignment horizontal="center"/>
      <protection/>
    </xf>
    <xf numFmtId="164" fontId="7" fillId="18" borderId="28" xfId="0" applyFont="1" applyFill="1" applyBorder="1" applyAlignment="1" applyProtection="1">
      <alignment horizontal="center"/>
      <protection/>
    </xf>
    <xf numFmtId="164" fontId="9" fillId="20" borderId="29" xfId="0" applyFont="1" applyFill="1" applyBorder="1" applyAlignment="1" applyProtection="1">
      <alignment horizontal="center"/>
      <protection/>
    </xf>
    <xf numFmtId="164" fontId="7" fillId="0" borderId="0" xfId="0" applyFont="1" applyAlignment="1" applyProtection="1">
      <alignment horizontal="left"/>
      <protection/>
    </xf>
    <xf numFmtId="173" fontId="7" fillId="0" borderId="0" xfId="0" applyNumberFormat="1" applyFont="1" applyAlignment="1" applyProtection="1">
      <alignment horizontal="center"/>
      <protection/>
    </xf>
    <xf numFmtId="173" fontId="9" fillId="7" borderId="0" xfId="44" applyNumberFormat="1" applyFont="1" applyFill="1" applyAlignment="1" applyProtection="1">
      <alignment/>
      <protection/>
    </xf>
    <xf numFmtId="164" fontId="10" fillId="7" borderId="0" xfId="0" applyFont="1" applyFill="1" applyAlignment="1" applyProtection="1">
      <alignment/>
      <protection/>
    </xf>
    <xf numFmtId="164" fontId="7" fillId="0" borderId="0" xfId="0" applyFont="1" applyAlignment="1" applyProtection="1">
      <alignment horizontal="right"/>
      <protection/>
    </xf>
    <xf numFmtId="164" fontId="7" fillId="13" borderId="0" xfId="0" applyFont="1" applyFill="1" applyAlignment="1" applyProtection="1">
      <alignment/>
      <protection/>
    </xf>
    <xf numFmtId="164" fontId="7" fillId="0" borderId="0" xfId="0" applyFont="1" applyAlignment="1" applyProtection="1" quotePrefix="1">
      <alignment/>
      <protection/>
    </xf>
    <xf numFmtId="164" fontId="7" fillId="0" borderId="0" xfId="0" applyFont="1" applyAlignment="1" applyProtection="1" quotePrefix="1">
      <alignment horizontal="center"/>
      <protection/>
    </xf>
    <xf numFmtId="174" fontId="7" fillId="0" borderId="0" xfId="0" applyNumberFormat="1" applyFont="1" applyAlignment="1" applyProtection="1">
      <alignment horizontal="center"/>
      <protection/>
    </xf>
    <xf numFmtId="173" fontId="9" fillId="7" borderId="0" xfId="0" applyNumberFormat="1" applyFont="1" applyFill="1" applyAlignment="1" applyProtection="1">
      <alignment/>
      <protection/>
    </xf>
    <xf numFmtId="164" fontId="7" fillId="0" borderId="0" xfId="0" applyFont="1" applyAlignment="1" applyProtection="1">
      <alignment horizontal="centerContinuous"/>
      <protection/>
    </xf>
    <xf numFmtId="164" fontId="9" fillId="0" borderId="14" xfId="0" applyFont="1" applyBorder="1" applyAlignment="1" applyProtection="1" quotePrefix="1">
      <alignment horizontal="center"/>
      <protection/>
    </xf>
    <xf numFmtId="164" fontId="7" fillId="0" borderId="30" xfId="0" applyFont="1" applyBorder="1" applyAlignment="1" applyProtection="1">
      <alignment horizontal="center"/>
      <protection/>
    </xf>
    <xf numFmtId="2" fontId="7" fillId="0" borderId="31" xfId="0" applyNumberFormat="1" applyFont="1" applyBorder="1" applyAlignment="1" applyProtection="1">
      <alignment horizontal="center"/>
      <protection/>
    </xf>
    <xf numFmtId="2" fontId="7" fillId="0" borderId="0" xfId="0" applyNumberFormat="1" applyFont="1" applyAlignment="1" applyProtection="1">
      <alignment horizontal="center"/>
      <protection/>
    </xf>
    <xf numFmtId="173" fontId="7" fillId="0" borderId="32" xfId="0" applyNumberFormat="1" applyFont="1" applyBorder="1" applyAlignment="1" applyProtection="1">
      <alignment horizontal="center"/>
      <protection/>
    </xf>
    <xf numFmtId="2" fontId="7" fillId="0" borderId="32" xfId="0" applyNumberFormat="1" applyFont="1" applyBorder="1" applyAlignment="1" applyProtection="1">
      <alignment horizontal="center"/>
      <protection/>
    </xf>
    <xf numFmtId="164" fontId="9" fillId="7" borderId="26" xfId="0" applyFont="1" applyFill="1" applyBorder="1" applyAlignment="1" applyProtection="1">
      <alignment/>
      <protection/>
    </xf>
    <xf numFmtId="2" fontId="7" fillId="7" borderId="16" xfId="0" applyNumberFormat="1" applyFont="1" applyFill="1" applyBorder="1" applyAlignment="1" applyProtection="1">
      <alignment horizontal="center"/>
      <protection/>
    </xf>
    <xf numFmtId="2" fontId="7" fillId="7" borderId="26" xfId="0" applyNumberFormat="1" applyFont="1" applyFill="1" applyBorder="1" applyAlignment="1" applyProtection="1">
      <alignment horizontal="center"/>
      <protection/>
    </xf>
    <xf numFmtId="173" fontId="7" fillId="7" borderId="16" xfId="0" applyNumberFormat="1" applyFont="1" applyFill="1" applyBorder="1" applyAlignment="1" applyProtection="1">
      <alignment horizontal="center"/>
      <protection/>
    </xf>
    <xf numFmtId="164" fontId="7" fillId="0" borderId="27" xfId="0" applyFont="1" applyBorder="1" applyAlignment="1" applyProtection="1">
      <alignment/>
      <protection/>
    </xf>
    <xf numFmtId="2" fontId="7" fillId="0" borderId="30" xfId="0" applyNumberFormat="1" applyFont="1" applyBorder="1" applyAlignment="1" applyProtection="1">
      <alignment horizontal="center"/>
      <protection/>
    </xf>
    <xf numFmtId="2" fontId="7" fillId="0" borderId="29" xfId="0" applyNumberFormat="1" applyFont="1" applyBorder="1" applyAlignment="1" applyProtection="1">
      <alignment horizontal="center"/>
      <protection/>
    </xf>
    <xf numFmtId="173" fontId="7" fillId="0" borderId="30" xfId="0" applyNumberFormat="1" applyFont="1" applyBorder="1" applyAlignment="1" applyProtection="1">
      <alignment horizontal="center"/>
      <protection/>
    </xf>
    <xf numFmtId="164" fontId="7" fillId="0" borderId="32" xfId="0" applyFont="1" applyBorder="1" applyAlignment="1" applyProtection="1">
      <alignment/>
      <protection/>
    </xf>
    <xf numFmtId="164" fontId="0" fillId="0" borderId="32" xfId="0" applyBorder="1" applyAlignment="1" applyProtection="1">
      <alignment/>
      <protection/>
    </xf>
    <xf numFmtId="175" fontId="7" fillId="0" borderId="31" xfId="0" applyNumberFormat="1" applyFont="1" applyBorder="1" applyAlignment="1" applyProtection="1">
      <alignment horizontal="center"/>
      <protection/>
    </xf>
    <xf numFmtId="175" fontId="7" fillId="0" borderId="33" xfId="0" applyNumberFormat="1" applyFont="1" applyBorder="1" applyAlignment="1" applyProtection="1">
      <alignment horizontal="center"/>
      <protection/>
    </xf>
    <xf numFmtId="175" fontId="7" fillId="0" borderId="23" xfId="0" applyNumberFormat="1" applyFont="1" applyBorder="1" applyAlignment="1" applyProtection="1">
      <alignment horizontal="center"/>
      <protection/>
    </xf>
    <xf numFmtId="173" fontId="7" fillId="16" borderId="0" xfId="0" applyNumberFormat="1" applyFont="1" applyFill="1" applyBorder="1" applyAlignment="1" applyProtection="1">
      <alignment horizontal="center"/>
      <protection/>
    </xf>
    <xf numFmtId="175" fontId="7" fillId="0" borderId="32" xfId="0" applyNumberFormat="1" applyFont="1" applyBorder="1" applyAlignment="1" applyProtection="1">
      <alignment horizontal="center"/>
      <protection/>
    </xf>
    <xf numFmtId="175" fontId="7" fillId="0" borderId="0" xfId="0" applyNumberFormat="1" applyFont="1" applyBorder="1" applyAlignment="1" applyProtection="1">
      <alignment horizontal="center"/>
      <protection/>
    </xf>
    <xf numFmtId="175" fontId="7" fillId="0" borderId="13" xfId="0" applyNumberFormat="1" applyFont="1" applyBorder="1" applyAlignment="1" applyProtection="1">
      <alignment horizontal="center"/>
      <protection/>
    </xf>
    <xf numFmtId="175" fontId="9" fillId="7" borderId="16" xfId="0" applyNumberFormat="1" applyFont="1" applyFill="1" applyBorder="1" applyAlignment="1" applyProtection="1">
      <alignment horizontal="center"/>
      <protection/>
    </xf>
    <xf numFmtId="175" fontId="9" fillId="7" borderId="26" xfId="0" applyNumberFormat="1" applyFont="1" applyFill="1" applyBorder="1" applyAlignment="1" applyProtection="1">
      <alignment horizontal="center"/>
      <protection/>
    </xf>
    <xf numFmtId="175" fontId="9" fillId="7" borderId="26" xfId="0" applyNumberFormat="1" applyFont="1" applyFill="1" applyBorder="1" applyAlignment="1" applyProtection="1" quotePrefix="1">
      <alignment horizontal="center"/>
      <protection/>
    </xf>
    <xf numFmtId="175" fontId="9" fillId="7" borderId="28" xfId="0" applyNumberFormat="1" applyFont="1" applyFill="1" applyBorder="1" applyAlignment="1" applyProtection="1">
      <alignment horizontal="center"/>
      <protection/>
    </xf>
    <xf numFmtId="173" fontId="9" fillId="7" borderId="26" xfId="0" applyNumberFormat="1" applyFont="1" applyFill="1" applyBorder="1" applyAlignment="1" applyProtection="1">
      <alignment horizontal="center"/>
      <protection/>
    </xf>
    <xf numFmtId="164" fontId="7" fillId="0" borderId="29" xfId="0" applyFont="1" applyBorder="1" applyAlignment="1" applyProtection="1">
      <alignment/>
      <protection/>
    </xf>
    <xf numFmtId="175" fontId="7" fillId="0" borderId="30" xfId="0" applyNumberFormat="1" applyFont="1" applyBorder="1" applyAlignment="1" applyProtection="1">
      <alignment horizontal="center"/>
      <protection/>
    </xf>
    <xf numFmtId="175" fontId="7" fillId="0" borderId="29" xfId="0" applyNumberFormat="1" applyFont="1" applyBorder="1" applyAlignment="1" applyProtection="1">
      <alignment horizontal="center"/>
      <protection/>
    </xf>
    <xf numFmtId="175" fontId="7" fillId="0" borderId="27" xfId="0" applyNumberFormat="1" applyFont="1" applyBorder="1" applyAlignment="1" applyProtection="1">
      <alignment horizontal="center"/>
      <protection/>
    </xf>
    <xf numFmtId="173" fontId="7" fillId="16" borderId="30" xfId="0" applyNumberFormat="1" applyFont="1" applyFill="1" applyBorder="1" applyAlignment="1" applyProtection="1">
      <alignment horizontal="center"/>
      <protection/>
    </xf>
    <xf numFmtId="173" fontId="9" fillId="7" borderId="0" xfId="0" applyNumberFormat="1" applyFont="1" applyFill="1" applyAlignment="1" applyProtection="1">
      <alignment horizontal="center"/>
      <protection/>
    </xf>
    <xf numFmtId="173" fontId="7" fillId="16" borderId="0" xfId="0" applyNumberFormat="1" applyFont="1" applyFill="1" applyBorder="1" applyAlignment="1" applyProtection="1" quotePrefix="1">
      <alignment horizontal="center"/>
      <protection/>
    </xf>
    <xf numFmtId="164" fontId="0" fillId="0" borderId="0" xfId="0" applyAlignment="1" applyProtection="1">
      <alignment horizontal="center"/>
      <protection/>
    </xf>
    <xf numFmtId="164" fontId="0" fillId="0" borderId="29" xfId="0" applyBorder="1" applyAlignment="1" applyProtection="1">
      <alignment horizontal="center"/>
      <protection/>
    </xf>
    <xf numFmtId="10" fontId="8" fillId="0" borderId="34" xfId="58" applyNumberFormat="1" applyFont="1" applyBorder="1" applyAlignment="1" applyProtection="1">
      <alignment/>
      <protection locked="0"/>
    </xf>
    <xf numFmtId="164" fontId="0" fillId="0" borderId="0" xfId="0" applyNumberFormat="1" applyAlignment="1" applyProtection="1">
      <alignment/>
      <protection locked="0"/>
    </xf>
    <xf numFmtId="164" fontId="25" fillId="0" borderId="34" xfId="0" applyNumberFormat="1" applyFont="1" applyBorder="1" applyAlignment="1" applyProtection="1">
      <alignment horizontal="center"/>
      <protection locked="0"/>
    </xf>
    <xf numFmtId="164" fontId="9" fillId="0" borderId="0" xfId="0" applyNumberFormat="1" applyFont="1" applyFill="1" applyBorder="1" applyAlignment="1" applyProtection="1">
      <alignment horizontal="center"/>
      <protection/>
    </xf>
    <xf numFmtId="164" fontId="7" fillId="0" borderId="16" xfId="0" applyNumberFormat="1" applyFont="1" applyBorder="1" applyAlignment="1" applyProtection="1">
      <alignment horizontal="center"/>
      <protection/>
    </xf>
    <xf numFmtId="164" fontId="7" fillId="0" borderId="26" xfId="0" applyNumberFormat="1" applyFont="1" applyBorder="1" applyAlignment="1" applyProtection="1">
      <alignment horizontal="center"/>
      <protection/>
    </xf>
    <xf numFmtId="164" fontId="7" fillId="0" borderId="28" xfId="0" applyNumberFormat="1" applyFont="1" applyBorder="1" applyAlignment="1" applyProtection="1">
      <alignment horizontal="center"/>
      <protection/>
    </xf>
    <xf numFmtId="164" fontId="11" fillId="13" borderId="0" xfId="0" applyNumberFormat="1" applyFont="1" applyFill="1" applyAlignment="1" applyProtection="1">
      <alignment horizontal="center"/>
      <protection/>
    </xf>
    <xf numFmtId="164" fontId="12" fillId="13" borderId="0" xfId="0" applyFont="1" applyFill="1" applyAlignment="1" applyProtection="1">
      <alignment horizontal="center"/>
      <protection/>
    </xf>
    <xf numFmtId="10" fontId="13" fillId="0" borderId="30" xfId="58" applyNumberFormat="1" applyFont="1" applyBorder="1" applyAlignment="1" applyProtection="1">
      <alignment horizontal="center"/>
      <protection locked="0"/>
    </xf>
    <xf numFmtId="164" fontId="0" fillId="0" borderId="0" xfId="0" applyBorder="1" applyAlignment="1">
      <alignment/>
    </xf>
    <xf numFmtId="164" fontId="11" fillId="13" borderId="0" xfId="0" applyNumberFormat="1" applyFont="1" applyFill="1" applyAlignment="1" applyProtection="1">
      <alignment horizontal="left"/>
      <protection/>
    </xf>
    <xf numFmtId="164" fontId="12" fillId="13" borderId="0" xfId="0" applyFont="1" applyFill="1" applyAlignment="1" applyProtection="1">
      <alignment horizontal="left"/>
      <protection/>
    </xf>
    <xf numFmtId="165" fontId="13" fillId="0" borderId="35" xfId="0" applyNumberFormat="1" applyFont="1" applyBorder="1" applyAlignment="1" applyProtection="1">
      <alignment horizontal="center"/>
      <protection locked="0"/>
    </xf>
    <xf numFmtId="165" fontId="13" fillId="0" borderId="36" xfId="0" applyNumberFormat="1" applyFont="1" applyBorder="1" applyAlignment="1" applyProtection="1">
      <alignment horizontal="center"/>
      <protection locked="0"/>
    </xf>
    <xf numFmtId="165" fontId="13" fillId="0" borderId="37" xfId="0" applyNumberFormat="1" applyFont="1" applyBorder="1" applyAlignment="1" applyProtection="1">
      <alignment horizontal="center"/>
      <protection locked="0"/>
    </xf>
    <xf numFmtId="165" fontId="13" fillId="0" borderId="37" xfId="0" applyNumberFormat="1" applyFont="1" applyFill="1" applyBorder="1" applyAlignment="1" applyProtection="1">
      <alignment horizontal="center"/>
      <protection locked="0"/>
    </xf>
    <xf numFmtId="165" fontId="13" fillId="0" borderId="10" xfId="0" applyNumberFormat="1" applyFont="1" applyBorder="1" applyAlignment="1" applyProtection="1">
      <alignment horizontal="center"/>
      <protection locked="0"/>
    </xf>
    <xf numFmtId="7" fontId="13" fillId="0" borderId="37" xfId="0" applyNumberFormat="1" applyFont="1" applyBorder="1" applyAlignment="1" applyProtection="1">
      <alignment horizontal="center"/>
      <protection locked="0"/>
    </xf>
    <xf numFmtId="7" fontId="13" fillId="0" borderId="37" xfId="0" applyNumberFormat="1" applyFont="1" applyFill="1" applyBorder="1" applyAlignment="1" applyProtection="1">
      <alignment horizontal="center"/>
      <protection locked="0"/>
    </xf>
    <xf numFmtId="7" fontId="13" fillId="0" borderId="10" xfId="0" applyNumberFormat="1" applyFont="1" applyBorder="1" applyAlignment="1" applyProtection="1">
      <alignment horizontal="center"/>
      <protection locked="0"/>
    </xf>
    <xf numFmtId="7" fontId="13" fillId="0" borderId="38" xfId="0" applyNumberFormat="1" applyFont="1" applyBorder="1" applyAlignment="1" applyProtection="1">
      <alignment horizontal="center"/>
      <protection locked="0"/>
    </xf>
    <xf numFmtId="7" fontId="13" fillId="0" borderId="39" xfId="0" applyNumberFormat="1" applyFont="1" applyBorder="1" applyAlignment="1" applyProtection="1">
      <alignment horizontal="center"/>
      <protection locked="0"/>
    </xf>
    <xf numFmtId="7" fontId="13" fillId="0" borderId="39" xfId="0" applyNumberFormat="1" applyFont="1" applyFill="1" applyBorder="1" applyAlignment="1" applyProtection="1">
      <alignment horizontal="center"/>
      <protection locked="0"/>
    </xf>
    <xf numFmtId="7" fontId="13" fillId="0" borderId="40" xfId="0" applyNumberFormat="1" applyFont="1" applyBorder="1" applyAlignment="1" applyProtection="1">
      <alignment horizontal="center"/>
      <protection locked="0"/>
    </xf>
    <xf numFmtId="164" fontId="13" fillId="0" borderId="10" xfId="0" applyNumberFormat="1" applyFont="1" applyBorder="1" applyAlignment="1" applyProtection="1">
      <alignment/>
      <protection locked="0"/>
    </xf>
    <xf numFmtId="10" fontId="13" fillId="0" borderId="10" xfId="0" applyNumberFormat="1" applyFont="1" applyBorder="1" applyAlignment="1" applyProtection="1">
      <alignment/>
      <protection locked="0"/>
    </xf>
    <xf numFmtId="164" fontId="9" fillId="0" borderId="11" xfId="0" applyNumberFormat="1" applyFont="1" applyBorder="1" applyAlignment="1" applyProtection="1">
      <alignment horizontal="left"/>
      <protection/>
    </xf>
    <xf numFmtId="164" fontId="11" fillId="0" borderId="11" xfId="0" applyNumberFormat="1" applyFont="1" applyBorder="1" applyAlignment="1" applyProtection="1">
      <alignment horizontal="left"/>
      <protection/>
    </xf>
    <xf numFmtId="164" fontId="9" fillId="0" borderId="11" xfId="0" applyNumberFormat="1" applyFont="1" applyBorder="1" applyAlignment="1" applyProtection="1">
      <alignment horizontal="right"/>
      <protection/>
    </xf>
    <xf numFmtId="164" fontId="9" fillId="0" borderId="11" xfId="0" applyNumberFormat="1" applyFont="1" applyBorder="1" applyAlignment="1" applyProtection="1">
      <alignment/>
      <protection/>
    </xf>
    <xf numFmtId="164" fontId="7" fillId="0" borderId="29" xfId="0" applyNumberFormat="1" applyFont="1" applyBorder="1" applyAlignment="1" applyProtection="1">
      <alignment horizontal="left"/>
      <protection/>
    </xf>
    <xf numFmtId="164" fontId="13" fillId="0" borderId="10" xfId="0" applyNumberFormat="1" applyFont="1" applyBorder="1" applyAlignment="1" applyProtection="1">
      <alignment horizontal="center"/>
      <protection locked="0"/>
    </xf>
    <xf numFmtId="172" fontId="13" fillId="0" borderId="10" xfId="0" applyNumberFormat="1" applyFont="1" applyBorder="1" applyAlignment="1" applyProtection="1">
      <alignment/>
      <protection locked="0"/>
    </xf>
    <xf numFmtId="164" fontId="9" fillId="0" borderId="29" xfId="0" applyNumberFormat="1" applyFont="1" applyBorder="1" applyAlignment="1" applyProtection="1">
      <alignment horizontal="center"/>
      <protection/>
    </xf>
    <xf numFmtId="5" fontId="9" fillId="16" borderId="18" xfId="0" applyNumberFormat="1" applyFont="1" applyFill="1" applyBorder="1" applyAlignment="1" applyProtection="1">
      <alignment/>
      <protection/>
    </xf>
    <xf numFmtId="5" fontId="9" fillId="16" borderId="41" xfId="0" applyNumberFormat="1" applyFont="1" applyFill="1" applyBorder="1" applyAlignment="1" applyProtection="1">
      <alignment/>
      <protection/>
    </xf>
    <xf numFmtId="5" fontId="9" fillId="16" borderId="26" xfId="0" applyNumberFormat="1" applyFont="1" applyFill="1" applyBorder="1" applyAlignment="1" applyProtection="1">
      <alignment/>
      <protection/>
    </xf>
    <xf numFmtId="5" fontId="9" fillId="16" borderId="42" xfId="44" applyNumberFormat="1" applyFont="1" applyFill="1" applyBorder="1" applyAlignment="1" applyProtection="1">
      <alignment/>
      <protection/>
    </xf>
    <xf numFmtId="171" fontId="9" fillId="7" borderId="0" xfId="0" applyNumberFormat="1" applyFont="1" applyFill="1" applyAlignment="1" applyProtection="1">
      <alignment/>
      <protection/>
    </xf>
    <xf numFmtId="171" fontId="9" fillId="21" borderId="0" xfId="0" applyNumberFormat="1" applyFont="1" applyFill="1" applyAlignment="1" applyProtection="1">
      <alignment/>
      <protection/>
    </xf>
    <xf numFmtId="171" fontId="9" fillId="7" borderId="0" xfId="0" applyNumberFormat="1" applyFont="1" applyFill="1" applyAlignment="1" applyProtection="1">
      <alignment/>
      <protection/>
    </xf>
    <xf numFmtId="171" fontId="9" fillId="7" borderId="0" xfId="0" applyNumberFormat="1" applyFont="1" applyFill="1" applyAlignment="1" applyProtection="1">
      <alignment horizontal="center"/>
      <protection/>
    </xf>
    <xf numFmtId="10" fontId="13" fillId="0" borderId="15" xfId="0" applyNumberFormat="1" applyFont="1" applyBorder="1" applyAlignment="1" applyProtection="1">
      <alignment/>
      <protection locked="0"/>
    </xf>
    <xf numFmtId="9" fontId="27" fillId="0" borderId="0" xfId="0" applyNumberFormat="1" applyFont="1" applyAlignment="1" applyProtection="1">
      <alignment/>
      <protection/>
    </xf>
    <xf numFmtId="164" fontId="10" fillId="0" borderId="29" xfId="0" applyNumberFormat="1" applyFont="1" applyBorder="1" applyAlignment="1" applyProtection="1">
      <alignment/>
      <protection/>
    </xf>
    <xf numFmtId="181" fontId="7" fillId="0" borderId="10" xfId="42" applyNumberFormat="1" applyFont="1" applyBorder="1" applyAlignment="1" applyProtection="1">
      <alignment/>
      <protection/>
    </xf>
    <xf numFmtId="43" fontId="7" fillId="0" borderId="10" xfId="42" applyNumberFormat="1" applyFont="1" applyBorder="1" applyAlignment="1" applyProtection="1">
      <alignment/>
      <protection/>
    </xf>
    <xf numFmtId="164" fontId="13" fillId="10" borderId="10" xfId="0" applyNumberFormat="1" applyFont="1" applyFill="1" applyBorder="1" applyAlignment="1" applyProtection="1">
      <alignment horizontal="center"/>
      <protection locked="0"/>
    </xf>
    <xf numFmtId="164" fontId="13" fillId="10" borderId="10" xfId="0" applyNumberFormat="1" applyFont="1" applyFill="1" applyBorder="1" applyAlignment="1" applyProtection="1">
      <alignment/>
      <protection locked="0"/>
    </xf>
    <xf numFmtId="172" fontId="13" fillId="10" borderId="10" xfId="0" applyNumberFormat="1" applyFont="1" applyFill="1" applyBorder="1" applyAlignment="1" applyProtection="1">
      <alignment/>
      <protection locked="0"/>
    </xf>
    <xf numFmtId="181" fontId="7" fillId="10" borderId="10" xfId="42" applyNumberFormat="1" applyFont="1" applyFill="1" applyBorder="1" applyAlignment="1" applyProtection="1">
      <alignment/>
      <protection/>
    </xf>
    <xf numFmtId="164" fontId="7" fillId="22" borderId="12" xfId="0" applyNumberFormat="1" applyFont="1" applyFill="1" applyBorder="1" applyAlignment="1" applyProtection="1">
      <alignment/>
      <protection/>
    </xf>
    <xf numFmtId="181" fontId="7" fillId="0" borderId="0" xfId="42" applyNumberFormat="1" applyFont="1" applyBorder="1" applyAlignment="1" applyProtection="1">
      <alignment/>
      <protection/>
    </xf>
    <xf numFmtId="164" fontId="7" fillId="22" borderId="0" xfId="0" applyNumberFormat="1" applyFont="1" applyFill="1" applyBorder="1" applyAlignment="1" applyProtection="1">
      <alignment/>
      <protection/>
    </xf>
    <xf numFmtId="172" fontId="13" fillId="0" borderId="24" xfId="0" applyNumberFormat="1" applyFont="1" applyBorder="1" applyAlignment="1" applyProtection="1">
      <alignment/>
      <protection locked="0"/>
    </xf>
    <xf numFmtId="164" fontId="7" fillId="22" borderId="29" xfId="0" applyNumberFormat="1" applyFont="1" applyFill="1" applyBorder="1" applyAlignment="1" applyProtection="1">
      <alignment/>
      <protection/>
    </xf>
    <xf numFmtId="164" fontId="7" fillId="22" borderId="14" xfId="0" applyNumberFormat="1" applyFont="1" applyFill="1" applyBorder="1" applyAlignment="1" applyProtection="1">
      <alignment/>
      <protection/>
    </xf>
    <xf numFmtId="164" fontId="0" fillId="0" borderId="0" xfId="0" applyNumberFormat="1" applyBorder="1" applyAlignment="1" applyProtection="1">
      <alignment/>
      <protection/>
    </xf>
    <xf numFmtId="181" fontId="7" fillId="0" borderId="43" xfId="42" applyNumberFormat="1" applyFont="1" applyBorder="1" applyAlignment="1" applyProtection="1">
      <alignment/>
      <protection/>
    </xf>
    <xf numFmtId="181" fontId="7" fillId="0" borderId="24" xfId="42" applyNumberFormat="1" applyFont="1" applyBorder="1" applyAlignment="1" applyProtection="1">
      <alignment/>
      <protection/>
    </xf>
    <xf numFmtId="164" fontId="11" fillId="18" borderId="0" xfId="0" applyNumberFormat="1" applyFont="1" applyFill="1" applyAlignment="1" applyProtection="1">
      <alignment/>
      <protection/>
    </xf>
    <xf numFmtId="5" fontId="11" fillId="18" borderId="0" xfId="44" applyNumberFormat="1" applyFont="1" applyFill="1" applyAlignment="1" applyProtection="1">
      <alignment/>
      <protection/>
    </xf>
    <xf numFmtId="164" fontId="11" fillId="0" borderId="0" xfId="0" applyNumberFormat="1" applyFont="1" applyAlignment="1" applyProtection="1">
      <alignment/>
      <protection/>
    </xf>
    <xf numFmtId="5" fontId="11" fillId="0" borderId="0" xfId="0" applyNumberFormat="1" applyFont="1" applyAlignment="1" applyProtection="1">
      <alignment/>
      <protection/>
    </xf>
    <xf numFmtId="7" fontId="11" fillId="0" borderId="0" xfId="0" applyNumberFormat="1" applyFont="1" applyAlignment="1" applyProtection="1">
      <alignment/>
      <protection/>
    </xf>
    <xf numFmtId="8" fontId="11" fillId="0" borderId="0" xfId="0" applyNumberFormat="1" applyFont="1" applyAlignment="1" applyProtection="1">
      <alignment/>
      <protection/>
    </xf>
    <xf numFmtId="6" fontId="11" fillId="0" borderId="0" xfId="0" applyNumberFormat="1" applyFont="1" applyAlignment="1" applyProtection="1">
      <alignment/>
      <protection/>
    </xf>
    <xf numFmtId="164" fontId="11" fillId="0" borderId="0" xfId="0" applyNumberFormat="1" applyFont="1" applyAlignment="1" applyProtection="1">
      <alignment horizontal="right"/>
      <protection/>
    </xf>
    <xf numFmtId="164" fontId="23" fillId="0" borderId="0" xfId="0" applyNumberFormat="1" applyFont="1" applyAlignment="1" applyProtection="1">
      <alignment/>
      <protection/>
    </xf>
    <xf numFmtId="164" fontId="11" fillId="2" borderId="15" xfId="0" applyNumberFormat="1" applyFont="1" applyFill="1" applyBorder="1" applyAlignment="1" applyProtection="1">
      <alignment horizontal="center"/>
      <protection/>
    </xf>
    <xf numFmtId="164" fontId="11" fillId="13" borderId="15" xfId="0" applyNumberFormat="1" applyFont="1" applyFill="1" applyBorder="1" applyAlignment="1" applyProtection="1">
      <alignment horizontal="center"/>
      <protection/>
    </xf>
    <xf numFmtId="172" fontId="11" fillId="0" borderId="0" xfId="0" applyNumberFormat="1" applyFont="1" applyAlignment="1" applyProtection="1">
      <alignment/>
      <protection/>
    </xf>
    <xf numFmtId="164" fontId="30" fillId="0" borderId="0" xfId="0" applyFont="1" applyAlignment="1" applyProtection="1">
      <alignment/>
      <protection/>
    </xf>
    <xf numFmtId="164" fontId="23" fillId="0" borderId="0" xfId="0" applyFont="1" applyBorder="1" applyAlignment="1">
      <alignment/>
    </xf>
    <xf numFmtId="164" fontId="23" fillId="0" borderId="0" xfId="0" applyFont="1" applyAlignment="1" applyProtection="1">
      <alignment/>
      <protection/>
    </xf>
    <xf numFmtId="164" fontId="11" fillId="0" borderId="25" xfId="0" applyFont="1" applyBorder="1" applyAlignment="1" applyProtection="1">
      <alignment horizontal="center"/>
      <protection/>
    </xf>
    <xf numFmtId="164" fontId="23" fillId="0" borderId="0" xfId="0" applyFont="1" applyAlignment="1" applyProtection="1">
      <alignment horizontal="center"/>
      <protection/>
    </xf>
    <xf numFmtId="164" fontId="11" fillId="0" borderId="0" xfId="0" applyFont="1" applyAlignment="1" applyProtection="1">
      <alignment/>
      <protection/>
    </xf>
    <xf numFmtId="164" fontId="11" fillId="0" borderId="0" xfId="0" applyFont="1" applyAlignment="1" applyProtection="1">
      <alignment horizontal="right"/>
      <protection/>
    </xf>
    <xf numFmtId="3" fontId="11" fillId="0" borderId="0" xfId="0" applyNumberFormat="1" applyFont="1" applyAlignment="1" applyProtection="1">
      <alignment horizontal="center"/>
      <protection/>
    </xf>
    <xf numFmtId="164" fontId="11" fillId="0" borderId="0" xfId="0" applyFont="1" applyAlignment="1" applyProtection="1">
      <alignment horizontal="left"/>
      <protection/>
    </xf>
    <xf numFmtId="164" fontId="11" fillId="0" borderId="0" xfId="0" applyFont="1" applyAlignment="1" applyProtection="1">
      <alignment horizontal="center"/>
      <protection/>
    </xf>
    <xf numFmtId="164" fontId="11" fillId="0" borderId="0" xfId="0" applyFont="1" applyAlignment="1">
      <alignment/>
    </xf>
    <xf numFmtId="164" fontId="23" fillId="0" borderId="11" xfId="0" applyNumberFormat="1" applyFont="1" applyBorder="1" applyAlignment="1" applyProtection="1">
      <alignment horizontal="left"/>
      <protection/>
    </xf>
    <xf numFmtId="164" fontId="23" fillId="0" borderId="11" xfId="0" applyNumberFormat="1" applyFont="1" applyBorder="1" applyAlignment="1" applyProtection="1">
      <alignment/>
      <protection/>
    </xf>
    <xf numFmtId="164" fontId="23" fillId="0" borderId="12" xfId="0" applyNumberFormat="1" applyFont="1" applyBorder="1" applyAlignment="1" applyProtection="1">
      <alignment/>
      <protection/>
    </xf>
    <xf numFmtId="164" fontId="29" fillId="0" borderId="0" xfId="0" applyNumberFormat="1" applyFont="1" applyAlignment="1" applyProtection="1">
      <alignment horizontal="left"/>
      <protection/>
    </xf>
    <xf numFmtId="164" fontId="9" fillId="0" borderId="12" xfId="0" applyNumberFormat="1" applyFont="1" applyBorder="1" applyAlignment="1" applyProtection="1">
      <alignment/>
      <protection/>
    </xf>
    <xf numFmtId="164" fontId="9" fillId="0" borderId="10" xfId="0" applyNumberFormat="1" applyFont="1" applyBorder="1" applyAlignment="1" applyProtection="1">
      <alignment/>
      <protection/>
    </xf>
    <xf numFmtId="164" fontId="9" fillId="0" borderId="10" xfId="0" applyNumberFormat="1" applyFont="1" applyBorder="1" applyAlignment="1" applyProtection="1">
      <alignment horizontal="center"/>
      <protection/>
    </xf>
    <xf numFmtId="164" fontId="9" fillId="0" borderId="44" xfId="0" applyNumberFormat="1" applyFont="1" applyBorder="1" applyAlignment="1" applyProtection="1">
      <alignment horizontal="center"/>
      <protection/>
    </xf>
    <xf numFmtId="181" fontId="9" fillId="0" borderId="10" xfId="42" applyNumberFormat="1" applyFont="1" applyBorder="1" applyAlignment="1" applyProtection="1">
      <alignment/>
      <protection/>
    </xf>
    <xf numFmtId="181" fontId="9" fillId="0" borderId="12" xfId="42" applyNumberFormat="1" applyFont="1" applyBorder="1" applyAlignment="1" applyProtection="1">
      <alignment/>
      <protection/>
    </xf>
    <xf numFmtId="5" fontId="9" fillId="0" borderId="12" xfId="0" applyNumberFormat="1" applyFont="1" applyBorder="1" applyAlignment="1" applyProtection="1">
      <alignment/>
      <protection/>
    </xf>
    <xf numFmtId="3" fontId="13" fillId="0" borderId="10" xfId="0" applyNumberFormat="1" applyFont="1" applyBorder="1" applyAlignment="1" applyProtection="1">
      <alignment/>
      <protection locked="0"/>
    </xf>
    <xf numFmtId="164" fontId="9" fillId="0" borderId="0" xfId="0" applyNumberFormat="1" applyFont="1" applyBorder="1" applyAlignment="1" applyProtection="1">
      <alignment horizontal="right"/>
      <protection/>
    </xf>
    <xf numFmtId="173" fontId="9" fillId="0" borderId="0" xfId="42" applyNumberFormat="1" applyFont="1" applyBorder="1" applyAlignment="1" applyProtection="1">
      <alignment/>
      <protection/>
    </xf>
    <xf numFmtId="173" fontId="9" fillId="0" borderId="0" xfId="0" applyNumberFormat="1" applyFont="1" applyAlignment="1" applyProtection="1">
      <alignment horizontal="right"/>
      <protection/>
    </xf>
    <xf numFmtId="173" fontId="9" fillId="0" borderId="29" xfId="42" applyNumberFormat="1" applyFont="1" applyBorder="1" applyAlignment="1" applyProtection="1">
      <alignment/>
      <protection/>
    </xf>
    <xf numFmtId="173" fontId="9" fillId="0" borderId="34" xfId="0" applyNumberFormat="1" applyFont="1" applyBorder="1" applyAlignment="1" applyProtection="1">
      <alignment/>
      <protection/>
    </xf>
    <xf numFmtId="164" fontId="10" fillId="0" borderId="0" xfId="0" applyFont="1" applyAlignment="1" applyProtection="1">
      <alignment horizontal="center"/>
      <protection/>
    </xf>
    <xf numFmtId="175" fontId="0" fillId="0" borderId="0" xfId="0" applyNumberFormat="1" applyAlignment="1" applyProtection="1">
      <alignment horizontal="center"/>
      <protection/>
    </xf>
    <xf numFmtId="164" fontId="0" fillId="0" borderId="29" xfId="0" applyNumberFormat="1" applyBorder="1" applyAlignment="1" applyProtection="1">
      <alignment/>
      <protection/>
    </xf>
    <xf numFmtId="164" fontId="8" fillId="0" borderId="45" xfId="0" applyNumberFormat="1" applyFont="1" applyBorder="1" applyAlignment="1" applyProtection="1">
      <alignment horizontal="left"/>
      <protection locked="0"/>
    </xf>
    <xf numFmtId="164" fontId="8" fillId="0" borderId="45" xfId="0" applyNumberFormat="1" applyFont="1" applyBorder="1" applyAlignment="1" applyProtection="1">
      <alignment/>
      <protection locked="0"/>
    </xf>
    <xf numFmtId="164" fontId="13" fillId="0" borderId="0" xfId="0" applyNumberFormat="1" applyFont="1" applyAlignment="1" applyProtection="1">
      <alignment horizontal="left"/>
      <protection/>
    </xf>
    <xf numFmtId="173" fontId="13" fillId="0" borderId="10" xfId="0" applyNumberFormat="1" applyFont="1" applyBorder="1" applyAlignment="1" applyProtection="1">
      <alignment/>
      <protection locked="0"/>
    </xf>
    <xf numFmtId="173" fontId="13" fillId="10" borderId="10" xfId="0" applyNumberFormat="1" applyFont="1" applyFill="1" applyBorder="1" applyAlignment="1" applyProtection="1">
      <alignment/>
      <protection locked="0"/>
    </xf>
    <xf numFmtId="173" fontId="7" fillId="22" borderId="12" xfId="0" applyNumberFormat="1" applyFont="1" applyFill="1" applyBorder="1" applyAlignment="1" applyProtection="1">
      <alignment/>
      <protection/>
    </xf>
    <xf numFmtId="164" fontId="31" fillId="0" borderId="25" xfId="0" applyFont="1" applyBorder="1" applyAlignment="1" applyProtection="1">
      <alignment horizontal="center"/>
      <protection/>
    </xf>
    <xf numFmtId="164" fontId="31" fillId="0" borderId="0" xfId="0" applyFont="1" applyAlignment="1" applyProtection="1">
      <alignment horizontal="center"/>
      <protection/>
    </xf>
    <xf numFmtId="10" fontId="9" fillId="0" borderId="29" xfId="58" applyNumberFormat="1" applyFont="1" applyBorder="1" applyAlignment="1" applyProtection="1">
      <alignment horizontal="center"/>
      <protection locked="0"/>
    </xf>
    <xf numFmtId="164" fontId="9" fillId="0" borderId="28" xfId="0" applyNumberFormat="1" applyFont="1" applyBorder="1" applyAlignment="1" applyProtection="1">
      <alignment horizontal="left"/>
      <protection/>
    </xf>
    <xf numFmtId="176" fontId="13" fillId="0" borderId="16" xfId="0" applyNumberFormat="1" applyFont="1" applyBorder="1" applyAlignment="1" applyProtection="1">
      <alignment horizontal="center"/>
      <protection locked="0"/>
    </xf>
    <xf numFmtId="176" fontId="13" fillId="0" borderId="26" xfId="0" applyNumberFormat="1" applyFont="1" applyBorder="1" applyAlignment="1" applyProtection="1">
      <alignment horizontal="center"/>
      <protection locked="0"/>
    </xf>
    <xf numFmtId="176" fontId="13" fillId="0" borderId="26" xfId="0" applyNumberFormat="1" applyFont="1" applyFill="1" applyBorder="1" applyAlignment="1" applyProtection="1">
      <alignment horizontal="center"/>
      <protection locked="0"/>
    </xf>
    <xf numFmtId="176" fontId="13" fillId="0" borderId="28" xfId="0" applyNumberFormat="1" applyFont="1" applyBorder="1" applyAlignment="1" applyProtection="1">
      <alignment horizontal="center"/>
      <protection locked="0"/>
    </xf>
    <xf numFmtId="164" fontId="9" fillId="0" borderId="26" xfId="0" applyFont="1" applyBorder="1" applyAlignment="1" applyProtection="1">
      <alignment/>
      <protection/>
    </xf>
    <xf numFmtId="173" fontId="13" fillId="0" borderId="16" xfId="0" applyNumberFormat="1" applyFont="1" applyBorder="1" applyAlignment="1" applyProtection="1">
      <alignment horizontal="center"/>
      <protection locked="0"/>
    </xf>
    <xf numFmtId="173" fontId="13" fillId="0" borderId="26" xfId="0" applyNumberFormat="1" applyFont="1" applyBorder="1" applyAlignment="1" applyProtection="1">
      <alignment horizontal="center"/>
      <protection locked="0"/>
    </xf>
    <xf numFmtId="173" fontId="13" fillId="16" borderId="26" xfId="0" applyNumberFormat="1" applyFont="1" applyFill="1" applyBorder="1" applyAlignment="1" applyProtection="1" quotePrefix="1">
      <alignment horizontal="center"/>
      <protection locked="0"/>
    </xf>
    <xf numFmtId="176" fontId="9" fillId="0" borderId="31" xfId="0" applyNumberFormat="1" applyFont="1" applyBorder="1" applyAlignment="1" applyProtection="1">
      <alignment horizontal="center"/>
      <protection locked="0"/>
    </xf>
    <xf numFmtId="176" fontId="9" fillId="0" borderId="33" xfId="0" applyNumberFormat="1" applyFont="1" applyBorder="1" applyAlignment="1" applyProtection="1">
      <alignment horizontal="center"/>
      <protection locked="0"/>
    </xf>
    <xf numFmtId="176" fontId="9" fillId="16" borderId="33" xfId="0" applyNumberFormat="1" applyFont="1" applyFill="1" applyBorder="1" applyAlignment="1" applyProtection="1" quotePrefix="1">
      <alignment horizontal="center"/>
      <protection locked="0"/>
    </xf>
    <xf numFmtId="176" fontId="9" fillId="0" borderId="23" xfId="0" applyNumberFormat="1" applyFont="1" applyBorder="1" applyAlignment="1" applyProtection="1">
      <alignment horizontal="center"/>
      <protection locked="0"/>
    </xf>
    <xf numFmtId="173" fontId="9" fillId="0" borderId="30" xfId="0" applyNumberFormat="1" applyFont="1" applyBorder="1" applyAlignment="1" applyProtection="1">
      <alignment horizontal="center"/>
      <protection locked="0"/>
    </xf>
    <xf numFmtId="173" fontId="9" fillId="0" borderId="29" xfId="0" applyNumberFormat="1" applyFont="1" applyBorder="1" applyAlignment="1" applyProtection="1">
      <alignment horizontal="center"/>
      <protection locked="0"/>
    </xf>
    <xf numFmtId="173" fontId="9" fillId="16" borderId="29" xfId="0" applyNumberFormat="1" applyFont="1" applyFill="1" applyBorder="1" applyAlignment="1" applyProtection="1" quotePrefix="1">
      <alignment horizontal="center"/>
      <protection locked="0"/>
    </xf>
    <xf numFmtId="173" fontId="9" fillId="0" borderId="27" xfId="0" applyNumberFormat="1" applyFont="1" applyBorder="1" applyAlignment="1" applyProtection="1">
      <alignment horizontal="center"/>
      <protection locked="0"/>
    </xf>
    <xf numFmtId="164" fontId="9" fillId="0" borderId="23" xfId="0" applyNumberFormat="1" applyFont="1" applyBorder="1" applyAlignment="1" applyProtection="1">
      <alignment horizontal="left"/>
      <protection/>
    </xf>
    <xf numFmtId="164" fontId="9" fillId="0" borderId="29" xfId="0" applyFont="1" applyBorder="1" applyAlignment="1" applyProtection="1">
      <alignment/>
      <protection/>
    </xf>
    <xf numFmtId="164" fontId="0" fillId="0" borderId="0" xfId="0" applyAlignment="1" applyProtection="1">
      <alignment horizontal="left"/>
      <protection/>
    </xf>
    <xf numFmtId="164" fontId="5" fillId="0" borderId="0" xfId="0" applyNumberFormat="1" applyFont="1" applyAlignment="1" applyProtection="1">
      <alignment/>
      <protection/>
    </xf>
    <xf numFmtId="164" fontId="34" fillId="0" borderId="0" xfId="52" applyNumberFormat="1" applyFont="1" applyAlignment="1" applyProtection="1">
      <alignment/>
      <protection/>
    </xf>
    <xf numFmtId="9" fontId="27" fillId="0" borderId="0" xfId="0" applyNumberFormat="1" applyFont="1" applyAlignment="1" applyProtection="1">
      <alignment/>
      <protection locked="0"/>
    </xf>
    <xf numFmtId="164" fontId="0" fillId="0" borderId="0" xfId="0" applyBorder="1" applyAlignment="1" applyProtection="1">
      <alignment/>
      <protection/>
    </xf>
    <xf numFmtId="164" fontId="8" fillId="0" borderId="0" xfId="0" applyNumberFormat="1" applyFont="1" applyAlignment="1" applyProtection="1">
      <alignment horizontal="left"/>
      <protection/>
    </xf>
    <xf numFmtId="164" fontId="0" fillId="0" borderId="46" xfId="0" applyBorder="1" applyAlignment="1" applyProtection="1">
      <alignment horizontal="center"/>
      <protection/>
    </xf>
    <xf numFmtId="164" fontId="0" fillId="0" borderId="47" xfId="0" applyBorder="1" applyAlignment="1" applyProtection="1">
      <alignment horizontal="center"/>
      <protection/>
    </xf>
    <xf numFmtId="164" fontId="0" fillId="0" borderId="48" xfId="0" applyBorder="1" applyAlignment="1" applyProtection="1">
      <alignment/>
      <protection/>
    </xf>
    <xf numFmtId="182" fontId="0" fillId="0" borderId="0" xfId="0" applyNumberFormat="1" applyAlignment="1" applyProtection="1">
      <alignment horizontal="center"/>
      <protection/>
    </xf>
    <xf numFmtId="182" fontId="0" fillId="0" borderId="0" xfId="0" applyNumberFormat="1" applyAlignment="1" applyProtection="1">
      <alignment/>
      <protection/>
    </xf>
    <xf numFmtId="164" fontId="13" fillId="10" borderId="10" xfId="0" applyNumberFormat="1" applyFont="1" applyFill="1" applyBorder="1" applyAlignment="1" applyProtection="1">
      <alignment horizontal="center"/>
      <protection/>
    </xf>
    <xf numFmtId="173" fontId="13" fillId="10" borderId="10" xfId="0" applyNumberFormat="1" applyFont="1" applyFill="1" applyBorder="1" applyAlignment="1" applyProtection="1">
      <alignment/>
      <protection/>
    </xf>
    <xf numFmtId="164" fontId="13" fillId="10" borderId="10" xfId="0" applyNumberFormat="1" applyFont="1" applyFill="1" applyBorder="1" applyAlignment="1" applyProtection="1">
      <alignment/>
      <protection/>
    </xf>
    <xf numFmtId="172" fontId="13" fillId="10" borderId="10" xfId="0" applyNumberFormat="1" applyFont="1" applyFill="1" applyBorder="1" applyAlignment="1" applyProtection="1">
      <alignment/>
      <protection/>
    </xf>
    <xf numFmtId="165" fontId="13" fillId="10" borderId="10" xfId="0" applyNumberFormat="1" applyFont="1" applyFill="1" applyBorder="1" applyAlignment="1" applyProtection="1">
      <alignment/>
      <protection/>
    </xf>
    <xf numFmtId="164" fontId="10" fillId="0" borderId="0" xfId="0" applyFont="1" applyAlignment="1" applyProtection="1">
      <alignment/>
      <protection/>
    </xf>
    <xf numFmtId="164" fontId="0" fillId="0" borderId="0" xfId="0" applyAlignment="1" applyProtection="1">
      <alignment horizontal="right"/>
      <protection/>
    </xf>
    <xf numFmtId="173" fontId="0" fillId="0" borderId="0" xfId="0" applyNumberFormat="1" applyAlignment="1" applyProtection="1">
      <alignment/>
      <protection/>
    </xf>
    <xf numFmtId="173" fontId="0" fillId="0" borderId="0" xfId="44" applyNumberFormat="1" applyFont="1" applyAlignment="1" applyProtection="1">
      <alignment/>
      <protection/>
    </xf>
    <xf numFmtId="164" fontId="13" fillId="0" borderId="0" xfId="0" applyNumberFormat="1" applyFont="1" applyAlignment="1" applyProtection="1">
      <alignment horizontal="left"/>
      <protection locked="0"/>
    </xf>
    <xf numFmtId="164" fontId="7" fillId="0" borderId="0" xfId="0" applyNumberFormat="1" applyFont="1" applyAlignment="1" applyProtection="1">
      <alignment/>
      <protection locked="0"/>
    </xf>
    <xf numFmtId="171" fontId="27" fillId="0" borderId="0" xfId="0" applyNumberFormat="1" applyFont="1" applyAlignment="1" applyProtection="1">
      <alignment horizontal="center"/>
      <protection locked="0"/>
    </xf>
    <xf numFmtId="164" fontId="27" fillId="0" borderId="0" xfId="0" applyFont="1" applyAlignment="1" applyProtection="1">
      <alignment/>
      <protection locked="0"/>
    </xf>
    <xf numFmtId="164" fontId="7" fillId="22" borderId="12" xfId="0" applyNumberFormat="1" applyFont="1" applyFill="1" applyBorder="1" applyAlignment="1" applyProtection="1">
      <alignment/>
      <protection locked="0"/>
    </xf>
    <xf numFmtId="164" fontId="13" fillId="0" borderId="49" xfId="0" applyNumberFormat="1" applyFont="1" applyBorder="1" applyAlignment="1" applyProtection="1">
      <alignment horizontal="center" wrapText="1"/>
      <protection locked="0"/>
    </xf>
    <xf numFmtId="164" fontId="13" fillId="0" borderId="50" xfId="0" applyNumberFormat="1" applyFont="1" applyBorder="1" applyAlignment="1" applyProtection="1">
      <alignment horizontal="center" wrapText="1"/>
      <protection locked="0"/>
    </xf>
    <xf numFmtId="164" fontId="31" fillId="0" borderId="47" xfId="0" applyFont="1" applyBorder="1" applyAlignment="1" applyProtection="1">
      <alignment horizontal="center" wrapText="1"/>
      <protection/>
    </xf>
    <xf numFmtId="164" fontId="31" fillId="0" borderId="48" xfId="0" applyFont="1" applyBorder="1" applyAlignment="1" applyProtection="1">
      <alignment horizontal="center" wrapText="1"/>
      <protection/>
    </xf>
    <xf numFmtId="164" fontId="10" fillId="0" borderId="47" xfId="0" applyFont="1" applyBorder="1" applyAlignment="1" applyProtection="1">
      <alignment horizontal="center" wrapText="1"/>
      <protection/>
    </xf>
    <xf numFmtId="164" fontId="10" fillId="0" borderId="48" xfId="0" applyFont="1" applyBorder="1" applyAlignment="1" applyProtection="1">
      <alignment horizontal="center" wrapText="1"/>
      <protection/>
    </xf>
    <xf numFmtId="164" fontId="23" fillId="0" borderId="51" xfId="0" applyFont="1" applyBorder="1" applyAlignment="1" applyProtection="1">
      <alignment horizontal="center" wrapText="1"/>
      <protection/>
    </xf>
    <xf numFmtId="164" fontId="23" fillId="0" borderId="48" xfId="0" applyFont="1" applyBorder="1" applyAlignment="1" applyProtection="1">
      <alignment horizontal="center" wrapText="1"/>
      <protection/>
    </xf>
    <xf numFmtId="164" fontId="7" fillId="0" borderId="11" xfId="0" applyNumberFormat="1" applyFont="1" applyBorder="1" applyAlignment="1" applyProtection="1">
      <alignment horizontal="center" wrapText="1"/>
      <protection/>
    </xf>
    <xf numFmtId="164" fontId="7" fillId="0" borderId="52" xfId="0" applyNumberFormat="1" applyFont="1" applyBorder="1" applyAlignment="1" applyProtection="1">
      <alignment horizontal="center" wrapText="1"/>
      <protection/>
    </xf>
    <xf numFmtId="164" fontId="7" fillId="0" borderId="12" xfId="0" applyNumberFormat="1" applyFont="1" applyBorder="1" applyAlignment="1" applyProtection="1">
      <alignment horizontal="center" wrapText="1"/>
      <protection/>
    </xf>
    <xf numFmtId="164" fontId="7" fillId="0" borderId="44" xfId="0" applyNumberFormat="1" applyFont="1" applyBorder="1" applyAlignment="1" applyProtection="1">
      <alignment horizontal="center" wrapText="1"/>
      <protection/>
    </xf>
    <xf numFmtId="164" fontId="7" fillId="0" borderId="53" xfId="0" applyNumberFormat="1" applyFont="1" applyBorder="1" applyAlignment="1" applyProtection="1">
      <alignment horizontal="center" wrapText="1"/>
      <protection/>
    </xf>
    <xf numFmtId="164" fontId="7" fillId="0" borderId="27" xfId="0" applyNumberFormat="1" applyFont="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4</xdr:row>
      <xdr:rowOff>57150</xdr:rowOff>
    </xdr:from>
    <xdr:to>
      <xdr:col>3</xdr:col>
      <xdr:colOff>323850</xdr:colOff>
      <xdr:row>5</xdr:row>
      <xdr:rowOff>133350</xdr:rowOff>
    </xdr:to>
    <xdr:sp macro="[0]!PrintAll">
      <xdr:nvSpPr>
        <xdr:cNvPr id="1" name="Text Box 2"/>
        <xdr:cNvSpPr txBox="1">
          <a:spLocks noChangeArrowheads="1"/>
        </xdr:cNvSpPr>
      </xdr:nvSpPr>
      <xdr:spPr>
        <a:xfrm>
          <a:off x="876300" y="923925"/>
          <a:ext cx="2609850" cy="266700"/>
        </a:xfrm>
        <a:prstGeom prst="rect">
          <a:avLst/>
        </a:prstGeom>
        <a:solidFill>
          <a:srgbClr val="A6CAF0"/>
        </a:solidFill>
        <a:ln w="19050"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TIMES"/>
              <a:ea typeface="TIMES"/>
              <a:cs typeface="TIMES"/>
            </a:rPr>
            <a:t>Print All Input and Results</a:t>
          </a:r>
        </a:p>
      </xdr:txBody>
    </xdr:sp>
    <xdr:clientData/>
  </xdr:twoCellAnchor>
  <xdr:twoCellAnchor>
    <xdr:from>
      <xdr:col>3</xdr:col>
      <xdr:colOff>419100</xdr:colOff>
      <xdr:row>4</xdr:row>
      <xdr:rowOff>104775</xdr:rowOff>
    </xdr:from>
    <xdr:to>
      <xdr:col>4</xdr:col>
      <xdr:colOff>38100</xdr:colOff>
      <xdr:row>4</xdr:row>
      <xdr:rowOff>171450</xdr:rowOff>
    </xdr:to>
    <xdr:sp>
      <xdr:nvSpPr>
        <xdr:cNvPr id="2" name="Line 3"/>
        <xdr:cNvSpPr>
          <a:spLocks/>
        </xdr:cNvSpPr>
      </xdr:nvSpPr>
      <xdr:spPr>
        <a:xfrm flipH="1">
          <a:off x="3581400" y="971550"/>
          <a:ext cx="638175" cy="762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35</xdr:row>
      <xdr:rowOff>114300</xdr:rowOff>
    </xdr:from>
    <xdr:to>
      <xdr:col>8</xdr:col>
      <xdr:colOff>180975</xdr:colOff>
      <xdr:row>35</xdr:row>
      <xdr:rowOff>114300</xdr:rowOff>
    </xdr:to>
    <xdr:sp>
      <xdr:nvSpPr>
        <xdr:cNvPr id="1" name="Line 1"/>
        <xdr:cNvSpPr>
          <a:spLocks/>
        </xdr:cNvSpPr>
      </xdr:nvSpPr>
      <xdr:spPr>
        <a:xfrm flipV="1">
          <a:off x="7400925" y="7372350"/>
          <a:ext cx="1838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oneCellAnchor>
    <xdr:from>
      <xdr:col>6</xdr:col>
      <xdr:colOff>676275</xdr:colOff>
      <xdr:row>35</xdr:row>
      <xdr:rowOff>9525</xdr:rowOff>
    </xdr:from>
    <xdr:ext cx="152400" cy="228600"/>
    <xdr:sp>
      <xdr:nvSpPr>
        <xdr:cNvPr id="2" name="Text 4"/>
        <xdr:cNvSpPr txBox="1">
          <a:spLocks noChangeArrowheads="1"/>
        </xdr:cNvSpPr>
      </xdr:nvSpPr>
      <xdr:spPr>
        <a:xfrm>
          <a:off x="7105650" y="7267575"/>
          <a:ext cx="152400" cy="228600"/>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TIMES"/>
              <a:ea typeface="TIMES"/>
              <a:cs typeface="TIMES"/>
            </a:rPr>
            <a:t>X</a:t>
          </a:r>
        </a:p>
      </xdr:txBody>
    </xdr:sp>
    <xdr:clientData/>
  </xdr:oneCellAnchor>
  <xdr:twoCellAnchor>
    <xdr:from>
      <xdr:col>4</xdr:col>
      <xdr:colOff>933450</xdr:colOff>
      <xdr:row>33</xdr:row>
      <xdr:rowOff>180975</xdr:rowOff>
    </xdr:from>
    <xdr:to>
      <xdr:col>8</xdr:col>
      <xdr:colOff>323850</xdr:colOff>
      <xdr:row>37</xdr:row>
      <xdr:rowOff>28575</xdr:rowOff>
    </xdr:to>
    <xdr:sp>
      <xdr:nvSpPr>
        <xdr:cNvPr id="3" name="Rectangle 5"/>
        <xdr:cNvSpPr>
          <a:spLocks/>
        </xdr:cNvSpPr>
      </xdr:nvSpPr>
      <xdr:spPr>
        <a:xfrm>
          <a:off x="5086350" y="7038975"/>
          <a:ext cx="4295775" cy="6477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twoCellAnchor>
    <xdr:from>
      <xdr:col>7</xdr:col>
      <xdr:colOff>1476375</xdr:colOff>
      <xdr:row>39</xdr:row>
      <xdr:rowOff>114300</xdr:rowOff>
    </xdr:from>
    <xdr:to>
      <xdr:col>8</xdr:col>
      <xdr:colOff>561975</xdr:colOff>
      <xdr:row>40</xdr:row>
      <xdr:rowOff>123825</xdr:rowOff>
    </xdr:to>
    <xdr:sp>
      <xdr:nvSpPr>
        <xdr:cNvPr id="4" name="Line 6"/>
        <xdr:cNvSpPr>
          <a:spLocks/>
        </xdr:cNvSpPr>
      </xdr:nvSpPr>
      <xdr:spPr>
        <a:xfrm>
          <a:off x="8867775" y="8172450"/>
          <a:ext cx="75247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twoCellAnchor>
    <xdr:from>
      <xdr:col>8</xdr:col>
      <xdr:colOff>533400</xdr:colOff>
      <xdr:row>40</xdr:row>
      <xdr:rowOff>114300</xdr:rowOff>
    </xdr:from>
    <xdr:to>
      <xdr:col>8</xdr:col>
      <xdr:colOff>790575</xdr:colOff>
      <xdr:row>42</xdr:row>
      <xdr:rowOff>142875</xdr:rowOff>
    </xdr:to>
    <xdr:sp>
      <xdr:nvSpPr>
        <xdr:cNvPr id="5" name="Line 7"/>
        <xdr:cNvSpPr>
          <a:spLocks/>
        </xdr:cNvSpPr>
      </xdr:nvSpPr>
      <xdr:spPr>
        <a:xfrm>
          <a:off x="9591675" y="8372475"/>
          <a:ext cx="257175" cy="428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twoCellAnchor>
    <xdr:from>
      <xdr:col>7</xdr:col>
      <xdr:colOff>9525</xdr:colOff>
      <xdr:row>61</xdr:row>
      <xdr:rowOff>114300</xdr:rowOff>
    </xdr:from>
    <xdr:to>
      <xdr:col>8</xdr:col>
      <xdr:colOff>180975</xdr:colOff>
      <xdr:row>61</xdr:row>
      <xdr:rowOff>114300</xdr:rowOff>
    </xdr:to>
    <xdr:sp>
      <xdr:nvSpPr>
        <xdr:cNvPr id="6" name="Line 8"/>
        <xdr:cNvSpPr>
          <a:spLocks/>
        </xdr:cNvSpPr>
      </xdr:nvSpPr>
      <xdr:spPr>
        <a:xfrm flipV="1">
          <a:off x="7400925" y="12668250"/>
          <a:ext cx="1838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oneCellAnchor>
    <xdr:from>
      <xdr:col>7</xdr:col>
      <xdr:colOff>133350</xdr:colOff>
      <xdr:row>60</xdr:row>
      <xdr:rowOff>9525</xdr:rowOff>
    </xdr:from>
    <xdr:ext cx="1285875" cy="257175"/>
    <xdr:sp>
      <xdr:nvSpPr>
        <xdr:cNvPr id="7" name="Text 16"/>
        <xdr:cNvSpPr txBox="1">
          <a:spLocks noChangeArrowheads="1"/>
        </xdr:cNvSpPr>
      </xdr:nvSpPr>
      <xdr:spPr>
        <a:xfrm>
          <a:off x="7524750" y="12363450"/>
          <a:ext cx="1285875"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a:ea typeface="TIMES"/>
              <a:cs typeface="TIMES"/>
            </a:rPr>
            <a:t>Actual Price</a:t>
          </a:r>
        </a:p>
      </xdr:txBody>
    </xdr:sp>
    <xdr:clientData/>
  </xdr:oneCellAnchor>
  <xdr:oneCellAnchor>
    <xdr:from>
      <xdr:col>6</xdr:col>
      <xdr:colOff>962025</xdr:colOff>
      <xdr:row>61</xdr:row>
      <xdr:rowOff>180975</xdr:rowOff>
    </xdr:from>
    <xdr:ext cx="1438275" cy="285750"/>
    <xdr:sp>
      <xdr:nvSpPr>
        <xdr:cNvPr id="8" name="Text 17"/>
        <xdr:cNvSpPr txBox="1">
          <a:spLocks noChangeArrowheads="1"/>
        </xdr:cNvSpPr>
      </xdr:nvSpPr>
      <xdr:spPr>
        <a:xfrm>
          <a:off x="7391400" y="12734925"/>
          <a:ext cx="1438275" cy="2857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a:ea typeface="TIMES"/>
              <a:cs typeface="TIMES"/>
            </a:rPr>
            <a:t>Established Price
</a:t>
          </a:r>
        </a:p>
      </xdr:txBody>
    </xdr:sp>
    <xdr:clientData/>
  </xdr:oneCellAnchor>
  <xdr:oneCellAnchor>
    <xdr:from>
      <xdr:col>6</xdr:col>
      <xdr:colOff>657225</xdr:colOff>
      <xdr:row>61</xdr:row>
      <xdr:rowOff>9525</xdr:rowOff>
    </xdr:from>
    <xdr:ext cx="152400" cy="228600"/>
    <xdr:sp>
      <xdr:nvSpPr>
        <xdr:cNvPr id="9" name="Text 18"/>
        <xdr:cNvSpPr txBox="1">
          <a:spLocks noChangeArrowheads="1"/>
        </xdr:cNvSpPr>
      </xdr:nvSpPr>
      <xdr:spPr>
        <a:xfrm>
          <a:off x="7086600" y="12563475"/>
          <a:ext cx="152400" cy="228600"/>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TIMES"/>
              <a:ea typeface="TIMES"/>
              <a:cs typeface="TIMES"/>
            </a:rPr>
            <a:t>X</a:t>
          </a:r>
        </a:p>
      </xdr:txBody>
    </xdr:sp>
    <xdr:clientData/>
  </xdr:oneCellAnchor>
  <xdr:twoCellAnchor>
    <xdr:from>
      <xdr:col>4</xdr:col>
      <xdr:colOff>952500</xdr:colOff>
      <xdr:row>59</xdr:row>
      <xdr:rowOff>123825</xdr:rowOff>
    </xdr:from>
    <xdr:to>
      <xdr:col>8</xdr:col>
      <xdr:colOff>428625</xdr:colOff>
      <xdr:row>63</xdr:row>
      <xdr:rowOff>123825</xdr:rowOff>
    </xdr:to>
    <xdr:sp>
      <xdr:nvSpPr>
        <xdr:cNvPr id="10" name="Rectangle 12"/>
        <xdr:cNvSpPr>
          <a:spLocks/>
        </xdr:cNvSpPr>
      </xdr:nvSpPr>
      <xdr:spPr>
        <a:xfrm>
          <a:off x="5105400" y="12277725"/>
          <a:ext cx="4381500" cy="8001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twoCellAnchor>
    <xdr:from>
      <xdr:col>7</xdr:col>
      <xdr:colOff>1485900</xdr:colOff>
      <xdr:row>65</xdr:row>
      <xdr:rowOff>133350</xdr:rowOff>
    </xdr:from>
    <xdr:to>
      <xdr:col>8</xdr:col>
      <xdr:colOff>561975</xdr:colOff>
      <xdr:row>66</xdr:row>
      <xdr:rowOff>190500</xdr:rowOff>
    </xdr:to>
    <xdr:sp>
      <xdr:nvSpPr>
        <xdr:cNvPr id="11" name="Line 13"/>
        <xdr:cNvSpPr>
          <a:spLocks/>
        </xdr:cNvSpPr>
      </xdr:nvSpPr>
      <xdr:spPr>
        <a:xfrm>
          <a:off x="8877300" y="13487400"/>
          <a:ext cx="7429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twoCellAnchor>
    <xdr:from>
      <xdr:col>8</xdr:col>
      <xdr:colOff>561975</xdr:colOff>
      <xdr:row>66</xdr:row>
      <xdr:rowOff>180975</xdr:rowOff>
    </xdr:from>
    <xdr:to>
      <xdr:col>8</xdr:col>
      <xdr:colOff>819150</xdr:colOff>
      <xdr:row>68</xdr:row>
      <xdr:rowOff>180975</xdr:rowOff>
    </xdr:to>
    <xdr:sp>
      <xdr:nvSpPr>
        <xdr:cNvPr id="12" name="Line 14"/>
        <xdr:cNvSpPr>
          <a:spLocks/>
        </xdr:cNvSpPr>
      </xdr:nvSpPr>
      <xdr:spPr>
        <a:xfrm>
          <a:off x="9620250" y="13735050"/>
          <a:ext cx="257175" cy="400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twoCellAnchor>
    <xdr:from>
      <xdr:col>1</xdr:col>
      <xdr:colOff>1200150</xdr:colOff>
      <xdr:row>95</xdr:row>
      <xdr:rowOff>0</xdr:rowOff>
    </xdr:from>
    <xdr:to>
      <xdr:col>7</xdr:col>
      <xdr:colOff>466725</xdr:colOff>
      <xdr:row>97</xdr:row>
      <xdr:rowOff>123825</xdr:rowOff>
    </xdr:to>
    <xdr:sp>
      <xdr:nvSpPr>
        <xdr:cNvPr id="13" name="Rectangle 15"/>
        <xdr:cNvSpPr>
          <a:spLocks/>
        </xdr:cNvSpPr>
      </xdr:nvSpPr>
      <xdr:spPr>
        <a:xfrm>
          <a:off x="1590675" y="19450050"/>
          <a:ext cx="6267450" cy="5048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twoCellAnchor>
    <xdr:from>
      <xdr:col>7</xdr:col>
      <xdr:colOff>476250</xdr:colOff>
      <xdr:row>91</xdr:row>
      <xdr:rowOff>142875</xdr:rowOff>
    </xdr:from>
    <xdr:to>
      <xdr:col>8</xdr:col>
      <xdr:colOff>304800</xdr:colOff>
      <xdr:row>95</xdr:row>
      <xdr:rowOff>38100</xdr:rowOff>
    </xdr:to>
    <xdr:sp>
      <xdr:nvSpPr>
        <xdr:cNvPr id="14" name="Line 16"/>
        <xdr:cNvSpPr>
          <a:spLocks/>
        </xdr:cNvSpPr>
      </xdr:nvSpPr>
      <xdr:spPr>
        <a:xfrm flipV="1">
          <a:off x="7867650" y="18792825"/>
          <a:ext cx="1495425" cy="695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oneCellAnchor>
    <xdr:from>
      <xdr:col>3</xdr:col>
      <xdr:colOff>428625</xdr:colOff>
      <xdr:row>95</xdr:row>
      <xdr:rowOff>66675</xdr:rowOff>
    </xdr:from>
    <xdr:ext cx="152400" cy="219075"/>
    <xdr:sp>
      <xdr:nvSpPr>
        <xdr:cNvPr id="15" name="Text Box 17"/>
        <xdr:cNvSpPr txBox="1">
          <a:spLocks noChangeArrowheads="1"/>
        </xdr:cNvSpPr>
      </xdr:nvSpPr>
      <xdr:spPr>
        <a:xfrm>
          <a:off x="3743325" y="19516725"/>
          <a:ext cx="152400" cy="219075"/>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TIMES"/>
              <a:ea typeface="TIMES"/>
              <a:cs typeface="TIMES"/>
            </a:rPr>
            <a:t>X</a:t>
          </a:r>
        </a:p>
      </xdr:txBody>
    </xdr:sp>
    <xdr:clientData/>
  </xdr:oneCellAnchor>
  <xdr:oneCellAnchor>
    <xdr:from>
      <xdr:col>5</xdr:col>
      <xdr:colOff>504825</xdr:colOff>
      <xdr:row>95</xdr:row>
      <xdr:rowOff>85725</xdr:rowOff>
    </xdr:from>
    <xdr:ext cx="152400" cy="209550"/>
    <xdr:sp>
      <xdr:nvSpPr>
        <xdr:cNvPr id="16" name="Text Box 18"/>
        <xdr:cNvSpPr txBox="1">
          <a:spLocks noChangeArrowheads="1"/>
        </xdr:cNvSpPr>
      </xdr:nvSpPr>
      <xdr:spPr>
        <a:xfrm>
          <a:off x="5676900" y="19535775"/>
          <a:ext cx="152400" cy="209550"/>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TIMES"/>
              <a:ea typeface="TIMES"/>
              <a:cs typeface="TIMES"/>
            </a:rPr>
            <a:t>X</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ana.edu/extensionecon/cropdownload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S446"/>
  <sheetViews>
    <sheetView showGridLines="0" tabSelected="1" zoomScalePageLayoutView="0" workbookViewId="0" topLeftCell="A1">
      <selection activeCell="K17" sqref="K17"/>
    </sheetView>
  </sheetViews>
  <sheetFormatPr defaultColWidth="9.796875" defaultRowHeight="15"/>
  <cols>
    <col min="1" max="1" width="4.09765625" style="0" customWidth="1"/>
    <col min="2" max="2" width="20.09765625" style="0" customWidth="1"/>
    <col min="3" max="3" width="9" style="0" customWidth="1"/>
    <col min="4" max="4" width="10.69921875" style="0" customWidth="1"/>
    <col min="5" max="5" width="12.69921875" style="0" customWidth="1"/>
    <col min="6" max="6" width="12.3984375" style="0" customWidth="1"/>
    <col min="7" max="8" width="11.69921875" style="0" customWidth="1"/>
    <col min="9" max="9" width="13.5" style="0" customWidth="1"/>
    <col min="10" max="10" width="12" style="0" customWidth="1"/>
  </cols>
  <sheetData>
    <row r="1" spans="1:15" ht="23.25">
      <c r="A1" s="55"/>
      <c r="B1" s="45" t="s">
        <v>233</v>
      </c>
      <c r="C1" s="42"/>
      <c r="D1" s="42"/>
      <c r="E1" s="42"/>
      <c r="F1" s="42"/>
      <c r="G1" s="42"/>
      <c r="H1" s="42"/>
      <c r="I1" s="42"/>
      <c r="J1" s="42"/>
      <c r="K1" s="1"/>
      <c r="L1" s="1"/>
      <c r="M1" s="55"/>
      <c r="N1" s="55"/>
      <c r="O1" s="4"/>
    </row>
    <row r="2" spans="1:15" ht="15" customHeight="1">
      <c r="A2" s="55"/>
      <c r="B2" s="42"/>
      <c r="C2" s="42"/>
      <c r="D2" s="42"/>
      <c r="E2" s="42"/>
      <c r="F2" s="42"/>
      <c r="G2" s="42"/>
      <c r="H2" s="42"/>
      <c r="I2" s="42"/>
      <c r="J2" s="42"/>
      <c r="K2" s="1" t="s">
        <v>162</v>
      </c>
      <c r="L2" s="1"/>
      <c r="M2" s="55"/>
      <c r="N2" s="55"/>
      <c r="O2" s="4"/>
    </row>
    <row r="3" spans="1:15" ht="15" customHeight="1">
      <c r="A3" s="55"/>
      <c r="B3" s="42"/>
      <c r="C3" s="53" t="s">
        <v>157</v>
      </c>
      <c r="D3" s="42"/>
      <c r="E3" s="42"/>
      <c r="F3" s="42"/>
      <c r="G3" s="42"/>
      <c r="H3" s="42"/>
      <c r="I3" s="42"/>
      <c r="J3" s="42"/>
      <c r="K3" s="1" t="s">
        <v>163</v>
      </c>
      <c r="L3" s="1"/>
      <c r="M3" s="55"/>
      <c r="N3" s="55"/>
      <c r="O3" s="4"/>
    </row>
    <row r="4" spans="1:15" ht="15" customHeight="1">
      <c r="A4" s="55"/>
      <c r="B4" s="42"/>
      <c r="C4" s="42"/>
      <c r="D4" s="42"/>
      <c r="E4" s="42"/>
      <c r="F4" s="42"/>
      <c r="G4" s="42"/>
      <c r="H4" s="42"/>
      <c r="I4" s="42"/>
      <c r="J4" s="42"/>
      <c r="K4" s="1" t="s">
        <v>161</v>
      </c>
      <c r="L4" s="1"/>
      <c r="M4" s="55"/>
      <c r="N4" s="55"/>
      <c r="O4" s="4"/>
    </row>
    <row r="5" spans="1:15" ht="15" customHeight="1">
      <c r="A5" s="55"/>
      <c r="B5" s="42"/>
      <c r="C5" s="42"/>
      <c r="D5" s="42"/>
      <c r="E5" s="54" t="s">
        <v>133</v>
      </c>
      <c r="F5" s="42"/>
      <c r="G5" s="42"/>
      <c r="H5" s="42"/>
      <c r="I5" s="42"/>
      <c r="J5" s="42"/>
      <c r="K5" s="256" t="s">
        <v>235</v>
      </c>
      <c r="L5" s="1"/>
      <c r="M5" s="55"/>
      <c r="N5" s="55"/>
      <c r="O5" s="4"/>
    </row>
    <row r="6" spans="1:15" ht="15" customHeight="1">
      <c r="A6" s="55"/>
      <c r="B6" s="42"/>
      <c r="C6" s="42"/>
      <c r="D6" s="42"/>
      <c r="E6" s="42"/>
      <c r="F6" s="42"/>
      <c r="G6" s="42"/>
      <c r="H6" s="42"/>
      <c r="I6" s="42"/>
      <c r="J6" s="42"/>
      <c r="K6" s="1"/>
      <c r="L6" s="1"/>
      <c r="M6" s="55"/>
      <c r="N6" s="55"/>
      <c r="O6" s="4"/>
    </row>
    <row r="7" spans="1:15" ht="15" customHeight="1">
      <c r="A7" s="55"/>
      <c r="B7" s="55"/>
      <c r="C7" s="126" t="s">
        <v>156</v>
      </c>
      <c r="D7" s="127"/>
      <c r="E7" s="127"/>
      <c r="F7" s="127"/>
      <c r="G7" s="127"/>
      <c r="H7" s="128"/>
      <c r="I7" s="7"/>
      <c r="J7" s="7"/>
      <c r="K7" s="1"/>
      <c r="L7" s="1"/>
      <c r="M7" s="55"/>
      <c r="N7" s="55"/>
      <c r="O7" s="4"/>
    </row>
    <row r="8" spans="1:15" ht="15" customHeight="1">
      <c r="A8" s="55"/>
      <c r="B8" s="55"/>
      <c r="C8" s="46" t="s">
        <v>27</v>
      </c>
      <c r="D8" s="46" t="s">
        <v>28</v>
      </c>
      <c r="E8" s="46" t="s">
        <v>141</v>
      </c>
      <c r="F8" s="46" t="s">
        <v>142</v>
      </c>
      <c r="G8" s="46" t="s">
        <v>143</v>
      </c>
      <c r="H8" s="46" t="s">
        <v>144</v>
      </c>
      <c r="I8" s="9" t="s">
        <v>4</v>
      </c>
      <c r="J8" s="7"/>
      <c r="K8" s="1"/>
      <c r="L8" s="1"/>
      <c r="M8" s="55"/>
      <c r="N8" s="55"/>
      <c r="O8" s="4"/>
    </row>
    <row r="9" spans="1:15" ht="15" customHeight="1">
      <c r="A9" s="55"/>
      <c r="B9" s="47" t="s">
        <v>153</v>
      </c>
      <c r="C9" s="279" t="s">
        <v>38</v>
      </c>
      <c r="D9" s="279" t="s">
        <v>145</v>
      </c>
      <c r="E9" s="279" t="s">
        <v>209</v>
      </c>
      <c r="F9" s="279" t="s">
        <v>197</v>
      </c>
      <c r="G9" s="279" t="s">
        <v>54</v>
      </c>
      <c r="H9" s="279" t="s">
        <v>160</v>
      </c>
      <c r="I9" s="13" t="s">
        <v>26</v>
      </c>
      <c r="J9" s="7"/>
      <c r="K9" s="167" t="s">
        <v>231</v>
      </c>
      <c r="L9" s="167"/>
      <c r="M9" s="55"/>
      <c r="N9" s="55"/>
      <c r="O9" s="4"/>
    </row>
    <row r="10" spans="1:15" ht="15" customHeight="1" thickBot="1">
      <c r="A10" s="55"/>
      <c r="B10" s="7"/>
      <c r="C10" s="280"/>
      <c r="D10" s="280"/>
      <c r="E10" s="280"/>
      <c r="F10" s="280"/>
      <c r="G10" s="280"/>
      <c r="H10" s="280"/>
      <c r="I10" s="13" t="s">
        <v>29</v>
      </c>
      <c r="J10" s="7"/>
      <c r="K10" s="1" t="s">
        <v>196</v>
      </c>
      <c r="L10" s="257">
        <v>1</v>
      </c>
      <c r="M10" s="55"/>
      <c r="N10" s="55"/>
      <c r="O10" s="4"/>
    </row>
    <row r="11" spans="1:15" ht="15" customHeight="1" thickTop="1">
      <c r="A11" s="55"/>
      <c r="B11" s="6" t="s">
        <v>30</v>
      </c>
      <c r="C11" s="135">
        <v>400</v>
      </c>
      <c r="D11" s="135">
        <v>750</v>
      </c>
      <c r="E11" s="135">
        <v>500</v>
      </c>
      <c r="F11" s="135">
        <v>300</v>
      </c>
      <c r="G11" s="135">
        <v>550</v>
      </c>
      <c r="H11" s="136">
        <v>0</v>
      </c>
      <c r="I11" s="13">
        <f>SUM(C11:H11)</f>
        <v>2500</v>
      </c>
      <c r="J11" s="7"/>
      <c r="K11" s="1" t="s">
        <v>175</v>
      </c>
      <c r="L11" s="257">
        <v>1</v>
      </c>
      <c r="M11" s="55"/>
      <c r="N11" s="55"/>
      <c r="O11" s="4"/>
    </row>
    <row r="12" spans="1:15" ht="15" customHeight="1">
      <c r="A12" s="55"/>
      <c r="B12" s="6" t="s">
        <v>31</v>
      </c>
      <c r="C12" s="137">
        <v>42</v>
      </c>
      <c r="D12" s="137">
        <v>28</v>
      </c>
      <c r="E12" s="137">
        <v>22</v>
      </c>
      <c r="F12" s="138">
        <v>52</v>
      </c>
      <c r="G12" s="137">
        <v>0</v>
      </c>
      <c r="H12" s="139">
        <v>0</v>
      </c>
      <c r="I12" s="12"/>
      <c r="J12" s="7"/>
      <c r="K12" s="1" t="s">
        <v>195</v>
      </c>
      <c r="L12" s="257">
        <v>1</v>
      </c>
      <c r="M12" s="55"/>
      <c r="N12" s="55"/>
      <c r="O12" s="4"/>
    </row>
    <row r="13" spans="1:15" ht="15" customHeight="1">
      <c r="A13" s="55"/>
      <c r="B13" s="6" t="s">
        <v>32</v>
      </c>
      <c r="C13" s="140">
        <v>7.75</v>
      </c>
      <c r="D13" s="140">
        <v>8.5</v>
      </c>
      <c r="E13" s="140">
        <v>11</v>
      </c>
      <c r="F13" s="141">
        <v>12</v>
      </c>
      <c r="G13" s="140">
        <v>0</v>
      </c>
      <c r="H13" s="142">
        <v>0</v>
      </c>
      <c r="I13" s="13" t="s">
        <v>4</v>
      </c>
      <c r="J13" s="7"/>
      <c r="K13" s="1"/>
      <c r="L13" s="166"/>
      <c r="M13" s="55"/>
      <c r="N13" s="55"/>
      <c r="O13" s="4"/>
    </row>
    <row r="14" spans="1:15" ht="15" customHeight="1">
      <c r="A14" s="55"/>
      <c r="B14" s="6" t="s">
        <v>33</v>
      </c>
      <c r="C14" s="143">
        <f>0.52*C12</f>
        <v>21.84</v>
      </c>
      <c r="D14" s="144">
        <f>0.52*D12</f>
        <v>14.56</v>
      </c>
      <c r="E14" s="144">
        <f>0.52*E12</f>
        <v>11.440000000000001</v>
      </c>
      <c r="F14" s="145">
        <f>0.24*F12</f>
        <v>12.48</v>
      </c>
      <c r="G14" s="144">
        <v>0</v>
      </c>
      <c r="H14" s="146">
        <v>0</v>
      </c>
      <c r="I14" s="22" t="s">
        <v>34</v>
      </c>
      <c r="J14" s="7"/>
      <c r="K14" s="55"/>
      <c r="L14" s="55"/>
      <c r="M14" s="55"/>
      <c r="N14" s="55"/>
      <c r="O14" s="4"/>
    </row>
    <row r="15" spans="1:15" ht="15" customHeight="1">
      <c r="A15" s="55"/>
      <c r="B15" s="23" t="s">
        <v>35</v>
      </c>
      <c r="C15" s="43">
        <f aca="true" t="shared" si="0" ref="C15:H15">C11*(C12*C13+C14)</f>
        <v>138936</v>
      </c>
      <c r="D15" s="43">
        <f t="shared" si="0"/>
        <v>189420</v>
      </c>
      <c r="E15" s="43">
        <f t="shared" si="0"/>
        <v>126720</v>
      </c>
      <c r="F15" s="43">
        <f t="shared" si="0"/>
        <v>190944</v>
      </c>
      <c r="G15" s="43">
        <f t="shared" si="0"/>
        <v>0</v>
      </c>
      <c r="H15" s="43">
        <f t="shared" si="0"/>
        <v>0</v>
      </c>
      <c r="I15" s="44">
        <f>SUM(C15:H15)</f>
        <v>646020</v>
      </c>
      <c r="J15" s="7"/>
      <c r="K15" s="1"/>
      <c r="L15" s="1"/>
      <c r="M15" s="55"/>
      <c r="N15" s="55"/>
      <c r="O15" s="4"/>
    </row>
    <row r="16" spans="1:15" ht="15" customHeight="1">
      <c r="A16" s="55"/>
      <c r="B16" s="6" t="s">
        <v>36</v>
      </c>
      <c r="C16" s="7"/>
      <c r="D16" s="7"/>
      <c r="E16" s="7"/>
      <c r="F16" s="7"/>
      <c r="G16" s="7"/>
      <c r="H16" s="7"/>
      <c r="I16" s="7"/>
      <c r="J16" s="7"/>
      <c r="K16" s="1"/>
      <c r="L16" s="1"/>
      <c r="M16" s="55"/>
      <c r="N16" s="55"/>
      <c r="O16" s="4"/>
    </row>
    <row r="17" spans="1:15" ht="15" customHeight="1">
      <c r="A17" s="55"/>
      <c r="B17" s="6" t="s">
        <v>37</v>
      </c>
      <c r="C17" s="165">
        <v>0.07</v>
      </c>
      <c r="D17" s="7"/>
      <c r="E17" s="7"/>
      <c r="F17" s="7"/>
      <c r="G17" s="7"/>
      <c r="H17" s="7"/>
      <c r="I17" s="7"/>
      <c r="J17" s="7"/>
      <c r="K17" s="1"/>
      <c r="L17" s="1"/>
      <c r="M17" s="55"/>
      <c r="N17" s="55"/>
      <c r="O17" s="4"/>
    </row>
    <row r="18" spans="1:15" ht="15" customHeight="1">
      <c r="A18" s="55"/>
      <c r="B18" s="55"/>
      <c r="C18" s="55"/>
      <c r="D18" s="55"/>
      <c r="E18" s="55"/>
      <c r="F18" s="55"/>
      <c r="G18" s="55"/>
      <c r="H18" s="55"/>
      <c r="I18" s="55"/>
      <c r="J18" s="55"/>
      <c r="K18" s="1"/>
      <c r="L18" s="1"/>
      <c r="M18" s="55"/>
      <c r="N18" s="55"/>
      <c r="O18" s="4"/>
    </row>
    <row r="19" spans="1:15" ht="15" customHeight="1">
      <c r="A19" s="55"/>
      <c r="B19" s="45" t="s">
        <v>237</v>
      </c>
      <c r="C19" s="42"/>
      <c r="D19" s="42"/>
      <c r="E19" s="42"/>
      <c r="F19" s="42"/>
      <c r="G19" s="42"/>
      <c r="H19" s="42"/>
      <c r="I19" s="42"/>
      <c r="J19" s="42"/>
      <c r="K19" s="1"/>
      <c r="L19" s="1"/>
      <c r="M19" s="55"/>
      <c r="N19" s="55"/>
      <c r="O19" s="4"/>
    </row>
    <row r="20" spans="1:16" ht="15" customHeight="1">
      <c r="A20" s="55"/>
      <c r="B20" s="55"/>
      <c r="C20" s="55"/>
      <c r="D20" s="55"/>
      <c r="E20" s="55"/>
      <c r="F20" s="55"/>
      <c r="G20" s="55"/>
      <c r="H20" s="55"/>
      <c r="I20" s="55"/>
      <c r="J20" s="55"/>
      <c r="K20" s="1"/>
      <c r="L20" s="1"/>
      <c r="M20" s="55"/>
      <c r="N20" s="55"/>
      <c r="O20" s="254"/>
      <c r="P20" s="3"/>
    </row>
    <row r="21" spans="1:19" ht="15" customHeight="1">
      <c r="A21" s="55"/>
      <c r="B21" s="7"/>
      <c r="C21" s="7"/>
      <c r="D21" s="7"/>
      <c r="E21" s="7"/>
      <c r="F21" s="46" t="s">
        <v>0</v>
      </c>
      <c r="G21" s="46" t="s">
        <v>1</v>
      </c>
      <c r="H21" s="46" t="s">
        <v>2</v>
      </c>
      <c r="I21" s="46" t="s">
        <v>3</v>
      </c>
      <c r="J21" s="46" t="s">
        <v>3</v>
      </c>
      <c r="K21" s="1"/>
      <c r="L21" s="1"/>
      <c r="M21" s="55"/>
      <c r="N21" s="55"/>
      <c r="O21" s="55"/>
      <c r="R21" s="2"/>
      <c r="S21" s="2"/>
    </row>
    <row r="22" spans="1:16" ht="15.75">
      <c r="A22" s="55"/>
      <c r="B22" s="6"/>
      <c r="C22" s="7"/>
      <c r="D22" s="7"/>
      <c r="E22" s="7"/>
      <c r="F22" s="46" t="s">
        <v>4</v>
      </c>
      <c r="G22" s="46" t="s">
        <v>5</v>
      </c>
      <c r="H22" s="46" t="s">
        <v>6</v>
      </c>
      <c r="I22" s="46" t="s">
        <v>7</v>
      </c>
      <c r="J22" s="46" t="s">
        <v>6</v>
      </c>
      <c r="K22" s="1"/>
      <c r="L22" s="1"/>
      <c r="M22" s="55"/>
      <c r="N22" s="55"/>
      <c r="O22" s="254"/>
      <c r="P22" s="3"/>
    </row>
    <row r="23" spans="1:15" ht="18.75">
      <c r="A23" s="55"/>
      <c r="B23" s="53" t="s">
        <v>158</v>
      </c>
      <c r="C23" s="191"/>
      <c r="D23" s="191"/>
      <c r="E23" s="191"/>
      <c r="F23" s="42" t="s">
        <v>3</v>
      </c>
      <c r="G23" s="46" t="s">
        <v>8</v>
      </c>
      <c r="H23" s="46" t="s">
        <v>9</v>
      </c>
      <c r="I23" s="46" t="s">
        <v>9</v>
      </c>
      <c r="J23" s="46" t="s">
        <v>9</v>
      </c>
      <c r="K23" s="1"/>
      <c r="L23" s="1"/>
      <c r="M23" s="55"/>
      <c r="N23" s="55"/>
      <c r="O23" s="55"/>
    </row>
    <row r="24" spans="1:16" ht="18.75">
      <c r="A24" s="55"/>
      <c r="B24" s="206" t="s">
        <v>159</v>
      </c>
      <c r="C24" s="207"/>
      <c r="D24" s="207"/>
      <c r="E24" s="207"/>
      <c r="F24" s="208"/>
      <c r="G24" s="11"/>
      <c r="H24" s="11"/>
      <c r="I24" s="11"/>
      <c r="J24" s="11"/>
      <c r="K24" s="5"/>
      <c r="L24" s="1"/>
      <c r="M24" s="55"/>
      <c r="N24" s="55"/>
      <c r="O24" s="254"/>
      <c r="P24" s="3"/>
    </row>
    <row r="25" spans="1:15" ht="18.75">
      <c r="A25" s="55"/>
      <c r="B25" s="53" t="s">
        <v>10</v>
      </c>
      <c r="C25" s="191"/>
      <c r="D25" s="191"/>
      <c r="E25" s="191"/>
      <c r="F25" s="217">
        <f>I11*450</f>
        <v>1125000</v>
      </c>
      <c r="G25" s="148">
        <v>0.05</v>
      </c>
      <c r="H25" s="148">
        <v>1</v>
      </c>
      <c r="I25" s="214">
        <f aca="true" t="shared" si="1" ref="I25:I30">F25*G25*(1-H25)</f>
        <v>0</v>
      </c>
      <c r="J25" s="214">
        <f aca="true" t="shared" si="2" ref="J25:J30">F25*G25*H25</f>
        <v>56250</v>
      </c>
      <c r="K25" s="5"/>
      <c r="L25" s="1"/>
      <c r="M25" s="55"/>
      <c r="N25" s="55"/>
      <c r="O25" s="55"/>
    </row>
    <row r="26" spans="1:16" ht="18.75">
      <c r="A26" s="55"/>
      <c r="B26" s="53" t="s">
        <v>11</v>
      </c>
      <c r="C26" s="191"/>
      <c r="D26" s="191"/>
      <c r="E26" s="191"/>
      <c r="F26" s="217">
        <v>0</v>
      </c>
      <c r="G26" s="148">
        <v>0.05</v>
      </c>
      <c r="H26" s="148">
        <v>1</v>
      </c>
      <c r="I26" s="214">
        <f t="shared" si="1"/>
        <v>0</v>
      </c>
      <c r="J26" s="214">
        <f t="shared" si="2"/>
        <v>0</v>
      </c>
      <c r="K26" s="5"/>
      <c r="L26" s="1"/>
      <c r="M26" s="55"/>
      <c r="N26" s="55"/>
      <c r="O26" s="254"/>
      <c r="P26" s="3"/>
    </row>
    <row r="27" spans="1:15" ht="18.75">
      <c r="A27" s="55"/>
      <c r="B27" s="53" t="s">
        <v>12</v>
      </c>
      <c r="C27" s="191"/>
      <c r="D27" s="191"/>
      <c r="E27" s="191"/>
      <c r="F27" s="217">
        <v>280000</v>
      </c>
      <c r="G27" s="148">
        <v>0.05</v>
      </c>
      <c r="H27" s="148">
        <v>0</v>
      </c>
      <c r="I27" s="214">
        <f t="shared" si="1"/>
        <v>14000</v>
      </c>
      <c r="J27" s="214">
        <f t="shared" si="2"/>
        <v>0</v>
      </c>
      <c r="K27" s="5"/>
      <c r="L27" s="1"/>
      <c r="M27" s="55"/>
      <c r="N27" s="55"/>
      <c r="O27" s="55"/>
    </row>
    <row r="28" spans="1:16" ht="18.75">
      <c r="A28" s="55"/>
      <c r="B28" s="53" t="s">
        <v>13</v>
      </c>
      <c r="C28" s="191"/>
      <c r="D28" s="191"/>
      <c r="E28" s="191"/>
      <c r="F28" s="217">
        <v>0</v>
      </c>
      <c r="G28" s="148">
        <v>0.05</v>
      </c>
      <c r="H28" s="148">
        <v>0</v>
      </c>
      <c r="I28" s="214">
        <f t="shared" si="1"/>
        <v>0</v>
      </c>
      <c r="J28" s="214">
        <f t="shared" si="2"/>
        <v>0</v>
      </c>
      <c r="K28" s="5"/>
      <c r="L28" s="1"/>
      <c r="M28" s="55"/>
      <c r="N28" s="55"/>
      <c r="O28" s="254"/>
      <c r="P28" s="3"/>
    </row>
    <row r="29" spans="1:15" ht="18.75">
      <c r="A29" s="55"/>
      <c r="B29" s="53" t="s">
        <v>14</v>
      </c>
      <c r="C29" s="191"/>
      <c r="D29" s="191"/>
      <c r="E29" s="191"/>
      <c r="F29" s="217">
        <v>0</v>
      </c>
      <c r="G29" s="148">
        <v>0</v>
      </c>
      <c r="H29" s="148">
        <v>0</v>
      </c>
      <c r="I29" s="214">
        <f t="shared" si="1"/>
        <v>0</v>
      </c>
      <c r="J29" s="214">
        <f t="shared" si="2"/>
        <v>0</v>
      </c>
      <c r="K29" s="5"/>
      <c r="L29" s="1"/>
      <c r="M29" s="55"/>
      <c r="N29" s="55"/>
      <c r="O29" s="55"/>
    </row>
    <row r="30" spans="1:16" ht="18.75">
      <c r="A30" s="55"/>
      <c r="B30" s="53" t="s">
        <v>15</v>
      </c>
      <c r="C30" s="191"/>
      <c r="D30" s="191"/>
      <c r="E30" s="191"/>
      <c r="F30" s="217">
        <v>0</v>
      </c>
      <c r="G30" s="148">
        <v>0</v>
      </c>
      <c r="H30" s="148">
        <v>0</v>
      </c>
      <c r="I30" s="214">
        <f t="shared" si="1"/>
        <v>0</v>
      </c>
      <c r="J30" s="214">
        <f t="shared" si="2"/>
        <v>0</v>
      </c>
      <c r="K30" s="5"/>
      <c r="L30" s="1"/>
      <c r="M30" s="55"/>
      <c r="N30" s="55"/>
      <c r="O30" s="254"/>
      <c r="P30" s="3"/>
    </row>
    <row r="31" spans="1:15" ht="18.75">
      <c r="A31" s="55"/>
      <c r="B31" s="206" t="s">
        <v>16</v>
      </c>
      <c r="C31" s="207"/>
      <c r="D31" s="207"/>
      <c r="E31" s="207"/>
      <c r="F31" s="207"/>
      <c r="G31" s="210"/>
      <c r="H31" s="11"/>
      <c r="I31" s="215">
        <f>SUM(I24:I30)</f>
        <v>14000</v>
      </c>
      <c r="J31" s="215">
        <f>SUM(J24:J30)</f>
        <v>56250</v>
      </c>
      <c r="K31" s="5"/>
      <c r="L31" s="1"/>
      <c r="M31" s="55"/>
      <c r="N31" s="55"/>
      <c r="O31" s="55"/>
    </row>
    <row r="32" spans="1:16" ht="18.75">
      <c r="A32" s="55"/>
      <c r="B32" s="191"/>
      <c r="C32" s="191"/>
      <c r="D32" s="191"/>
      <c r="E32" s="191"/>
      <c r="F32" s="191"/>
      <c r="G32" s="211"/>
      <c r="H32" s="12"/>
      <c r="I32" s="214"/>
      <c r="J32" s="214"/>
      <c r="K32" s="5"/>
      <c r="L32" s="1"/>
      <c r="M32" s="55"/>
      <c r="N32" s="55"/>
      <c r="O32" s="254"/>
      <c r="P32" s="3"/>
    </row>
    <row r="33" spans="1:15" ht="18.75">
      <c r="A33" s="55"/>
      <c r="B33" s="53"/>
      <c r="C33" s="191"/>
      <c r="D33" s="191"/>
      <c r="E33" s="191"/>
      <c r="F33" s="191"/>
      <c r="G33" s="212" t="s">
        <v>4</v>
      </c>
      <c r="H33" s="12"/>
      <c r="I33" s="214"/>
      <c r="J33" s="214"/>
      <c r="K33" s="5"/>
      <c r="L33" s="1"/>
      <c r="M33" s="55"/>
      <c r="N33" s="55"/>
      <c r="O33" s="55"/>
    </row>
    <row r="34" spans="1:16" ht="18.75">
      <c r="A34" s="55"/>
      <c r="B34" s="209" t="s">
        <v>206</v>
      </c>
      <c r="C34" s="191"/>
      <c r="D34" s="191"/>
      <c r="E34" s="191"/>
      <c r="F34" s="191"/>
      <c r="G34" s="213" t="s">
        <v>17</v>
      </c>
      <c r="H34" s="12"/>
      <c r="I34" s="214"/>
      <c r="J34" s="214"/>
      <c r="K34" s="5"/>
      <c r="L34" s="1"/>
      <c r="M34" s="55"/>
      <c r="N34" s="55"/>
      <c r="O34" s="254"/>
      <c r="P34" s="3"/>
    </row>
    <row r="35" spans="1:16" ht="18.75">
      <c r="A35" s="55"/>
      <c r="B35" s="53" t="s">
        <v>10</v>
      </c>
      <c r="C35" s="191"/>
      <c r="D35" s="191"/>
      <c r="E35" s="191"/>
      <c r="F35" s="191"/>
      <c r="G35" s="147">
        <f>F25/25*0.1</f>
        <v>4500</v>
      </c>
      <c r="H35" s="148">
        <v>1</v>
      </c>
      <c r="I35" s="214">
        <f>G35*(1-H35)</f>
        <v>0</v>
      </c>
      <c r="J35" s="214">
        <f>G35*H35</f>
        <v>4500</v>
      </c>
      <c r="K35" s="5"/>
      <c r="L35" s="1"/>
      <c r="M35" s="55"/>
      <c r="N35" s="55"/>
      <c r="O35" s="55"/>
      <c r="P35" s="3"/>
    </row>
    <row r="36" spans="1:16" ht="18.75">
      <c r="A36" s="55"/>
      <c r="B36" s="53" t="s">
        <v>18</v>
      </c>
      <c r="C36" s="191"/>
      <c r="D36" s="191"/>
      <c r="E36" s="191"/>
      <c r="F36" s="191"/>
      <c r="G36" s="147">
        <v>0</v>
      </c>
      <c r="H36" s="148">
        <v>0</v>
      </c>
      <c r="I36" s="214">
        <f>G36*(1-H36)</f>
        <v>0</v>
      </c>
      <c r="J36" s="214">
        <f>G36*H36</f>
        <v>0</v>
      </c>
      <c r="K36" s="5"/>
      <c r="L36" s="1"/>
      <c r="M36" s="55"/>
      <c r="N36" s="55"/>
      <c r="O36" s="55"/>
      <c r="P36" s="3"/>
    </row>
    <row r="37" spans="1:16" ht="18.75">
      <c r="A37" s="55"/>
      <c r="B37" s="53" t="s">
        <v>19</v>
      </c>
      <c r="C37" s="191"/>
      <c r="D37" s="191"/>
      <c r="E37" s="191"/>
      <c r="F37" s="191"/>
      <c r="G37" s="147">
        <v>28000</v>
      </c>
      <c r="H37" s="148">
        <v>0</v>
      </c>
      <c r="I37" s="214">
        <f>G37*(1-H37)</f>
        <v>28000</v>
      </c>
      <c r="J37" s="214">
        <f>G37*H37</f>
        <v>0</v>
      </c>
      <c r="K37" s="5"/>
      <c r="L37" s="1"/>
      <c r="M37" s="55"/>
      <c r="N37" s="55"/>
      <c r="O37" s="55"/>
      <c r="P37" s="3"/>
    </row>
    <row r="38" spans="1:16" ht="18.75">
      <c r="A38" s="55"/>
      <c r="B38" s="53" t="s">
        <v>20</v>
      </c>
      <c r="C38" s="191"/>
      <c r="D38" s="191"/>
      <c r="E38" s="191"/>
      <c r="F38" s="191"/>
      <c r="G38" s="147">
        <v>0</v>
      </c>
      <c r="H38" s="148">
        <v>0</v>
      </c>
      <c r="I38" s="214">
        <f>G38*(1-H38)</f>
        <v>0</v>
      </c>
      <c r="J38" s="214">
        <f>G38*H38</f>
        <v>0</v>
      </c>
      <c r="K38" s="5"/>
      <c r="L38" s="1"/>
      <c r="M38" s="55"/>
      <c r="N38" s="55"/>
      <c r="O38" s="55"/>
      <c r="P38" s="3"/>
    </row>
    <row r="39" spans="1:16" ht="18.75">
      <c r="A39" s="55"/>
      <c r="B39" s="53" t="s">
        <v>21</v>
      </c>
      <c r="C39" s="191"/>
      <c r="D39" s="191"/>
      <c r="E39" s="191"/>
      <c r="F39" s="191"/>
      <c r="G39" s="147">
        <v>0</v>
      </c>
      <c r="H39" s="148">
        <v>0</v>
      </c>
      <c r="I39" s="214">
        <f>G39*(1-H39)</f>
        <v>0</v>
      </c>
      <c r="J39" s="214">
        <f>G39*H39</f>
        <v>0</v>
      </c>
      <c r="K39" s="5"/>
      <c r="L39" s="1"/>
      <c r="M39" s="55"/>
      <c r="N39" s="55"/>
      <c r="O39" s="55"/>
      <c r="P39" s="3"/>
    </row>
    <row r="40" spans="1:16" ht="18.75">
      <c r="A40" s="55"/>
      <c r="B40" s="191"/>
      <c r="C40" s="191"/>
      <c r="D40" s="191"/>
      <c r="E40" s="191"/>
      <c r="F40" s="191"/>
      <c r="G40" s="211"/>
      <c r="H40" s="56"/>
      <c r="I40" s="214"/>
      <c r="J40" s="214"/>
      <c r="K40" s="5"/>
      <c r="L40" s="1"/>
      <c r="M40" s="55"/>
      <c r="N40" s="55"/>
      <c r="O40" s="55"/>
      <c r="P40" s="3"/>
    </row>
    <row r="41" spans="1:16" ht="18.75">
      <c r="A41" s="55"/>
      <c r="B41" s="191"/>
      <c r="C41" s="191"/>
      <c r="D41" s="191"/>
      <c r="E41" s="191"/>
      <c r="F41" s="191"/>
      <c r="G41" s="212" t="s">
        <v>4</v>
      </c>
      <c r="H41" s="12"/>
      <c r="I41" s="214"/>
      <c r="J41" s="214"/>
      <c r="K41" s="5"/>
      <c r="L41" s="1"/>
      <c r="M41" s="55"/>
      <c r="N41" s="55"/>
      <c r="O41" s="55"/>
      <c r="P41" s="3"/>
    </row>
    <row r="42" spans="1:16" ht="18.75">
      <c r="A42" s="55"/>
      <c r="B42" s="209" t="s">
        <v>207</v>
      </c>
      <c r="C42" s="191"/>
      <c r="D42" s="191"/>
      <c r="E42" s="191"/>
      <c r="F42" s="191"/>
      <c r="G42" s="213" t="s">
        <v>22</v>
      </c>
      <c r="H42" s="12"/>
      <c r="I42" s="214"/>
      <c r="J42" s="214"/>
      <c r="K42" s="5"/>
      <c r="L42" s="1"/>
      <c r="M42" s="55"/>
      <c r="N42" s="55"/>
      <c r="O42" s="55"/>
      <c r="P42" s="3"/>
    </row>
    <row r="43" spans="1:15" ht="18.75">
      <c r="A43" s="55"/>
      <c r="B43" s="53" t="s">
        <v>10</v>
      </c>
      <c r="C43" s="191"/>
      <c r="D43" s="191"/>
      <c r="E43" s="191"/>
      <c r="F43" s="191"/>
      <c r="G43" s="147">
        <f>2.5*I11</f>
        <v>6250</v>
      </c>
      <c r="H43" s="148">
        <v>1</v>
      </c>
      <c r="I43" s="214">
        <f aca="true" t="shared" si="3" ref="I43:I48">G43*(1-H43)</f>
        <v>0</v>
      </c>
      <c r="J43" s="214">
        <f aca="true" t="shared" si="4" ref="J43:J48">G43*H43</f>
        <v>6250</v>
      </c>
      <c r="K43" s="5"/>
      <c r="L43" s="1"/>
      <c r="M43" s="55"/>
      <c r="N43" s="55"/>
      <c r="O43" s="55"/>
    </row>
    <row r="44" spans="1:15" ht="18.75">
      <c r="A44" s="55"/>
      <c r="B44" s="53" t="s">
        <v>18</v>
      </c>
      <c r="C44" s="191"/>
      <c r="D44" s="191"/>
      <c r="E44" s="191"/>
      <c r="F44" s="191"/>
      <c r="G44" s="147">
        <v>0</v>
      </c>
      <c r="H44" s="148">
        <v>0</v>
      </c>
      <c r="I44" s="214">
        <f t="shared" si="3"/>
        <v>0</v>
      </c>
      <c r="J44" s="214">
        <f t="shared" si="4"/>
        <v>0</v>
      </c>
      <c r="K44" s="5"/>
      <c r="L44" s="1"/>
      <c r="M44" s="55"/>
      <c r="N44" s="55"/>
      <c r="O44" s="55"/>
    </row>
    <row r="45" spans="1:16" ht="18.75">
      <c r="A45" s="55"/>
      <c r="B45" s="53" t="s">
        <v>19</v>
      </c>
      <c r="C45" s="191"/>
      <c r="D45" s="191"/>
      <c r="E45" s="191"/>
      <c r="F45" s="191"/>
      <c r="G45" s="147">
        <v>2250</v>
      </c>
      <c r="H45" s="148">
        <v>0</v>
      </c>
      <c r="I45" s="214">
        <f t="shared" si="3"/>
        <v>2250</v>
      </c>
      <c r="J45" s="214">
        <f t="shared" si="4"/>
        <v>0</v>
      </c>
      <c r="K45" s="5"/>
      <c r="L45" s="1"/>
      <c r="M45" s="55"/>
      <c r="N45" s="55"/>
      <c r="O45" s="254"/>
      <c r="P45" s="3"/>
    </row>
    <row r="46" spans="1:16" ht="18.75">
      <c r="A46" s="55"/>
      <c r="B46" s="53" t="s">
        <v>20</v>
      </c>
      <c r="C46" s="191"/>
      <c r="D46" s="191"/>
      <c r="E46" s="191"/>
      <c r="F46" s="191"/>
      <c r="G46" s="147">
        <v>0</v>
      </c>
      <c r="H46" s="148">
        <v>0</v>
      </c>
      <c r="I46" s="214">
        <f t="shared" si="3"/>
        <v>0</v>
      </c>
      <c r="J46" s="214">
        <f t="shared" si="4"/>
        <v>0</v>
      </c>
      <c r="K46" s="5"/>
      <c r="L46" s="1"/>
      <c r="M46" s="55"/>
      <c r="N46" s="55"/>
      <c r="O46" s="55"/>
      <c r="P46" s="3"/>
    </row>
    <row r="47" spans="1:16" ht="18.75">
      <c r="A47" s="55"/>
      <c r="B47" s="53" t="s">
        <v>14</v>
      </c>
      <c r="C47" s="191"/>
      <c r="D47" s="191"/>
      <c r="E47" s="191"/>
      <c r="F47" s="191"/>
      <c r="G47" s="147">
        <v>0</v>
      </c>
      <c r="H47" s="148">
        <v>0</v>
      </c>
      <c r="I47" s="214">
        <f t="shared" si="3"/>
        <v>0</v>
      </c>
      <c r="J47" s="214">
        <f t="shared" si="4"/>
        <v>0</v>
      </c>
      <c r="K47" s="5"/>
      <c r="L47" s="1"/>
      <c r="M47" s="55"/>
      <c r="N47" s="55"/>
      <c r="O47" s="55"/>
      <c r="P47" s="3"/>
    </row>
    <row r="48" spans="1:16" ht="18.75">
      <c r="A48" s="55"/>
      <c r="B48" s="53" t="s">
        <v>23</v>
      </c>
      <c r="C48" s="191"/>
      <c r="D48" s="191"/>
      <c r="E48" s="191"/>
      <c r="F48" s="191"/>
      <c r="G48" s="147">
        <v>0</v>
      </c>
      <c r="H48" s="148">
        <v>0</v>
      </c>
      <c r="I48" s="214">
        <f t="shared" si="3"/>
        <v>0</v>
      </c>
      <c r="J48" s="214">
        <f t="shared" si="4"/>
        <v>0</v>
      </c>
      <c r="K48" s="5"/>
      <c r="L48" s="1"/>
      <c r="M48" s="55"/>
      <c r="N48" s="55"/>
      <c r="O48" s="55"/>
      <c r="P48" s="3"/>
    </row>
    <row r="49" spans="1:15" ht="18.75">
      <c r="A49" s="55"/>
      <c r="B49" s="191"/>
      <c r="C49" s="191"/>
      <c r="D49" s="191"/>
      <c r="E49" s="191"/>
      <c r="F49" s="191"/>
      <c r="G49" s="211"/>
      <c r="H49" s="12"/>
      <c r="I49" s="214"/>
      <c r="J49" s="214"/>
      <c r="K49" s="5"/>
      <c r="L49" s="1"/>
      <c r="M49" s="55"/>
      <c r="N49" s="55"/>
      <c r="O49" s="55"/>
    </row>
    <row r="50" spans="1:15" ht="18.75">
      <c r="A50" s="55"/>
      <c r="B50" s="191"/>
      <c r="C50" s="191"/>
      <c r="D50" s="191"/>
      <c r="E50" s="191"/>
      <c r="F50" s="191"/>
      <c r="G50" s="212" t="s">
        <v>4</v>
      </c>
      <c r="H50" s="12"/>
      <c r="I50" s="214"/>
      <c r="J50" s="214"/>
      <c r="K50" s="5"/>
      <c r="L50" s="1"/>
      <c r="M50" s="55"/>
      <c r="N50" s="55"/>
      <c r="O50" s="55"/>
    </row>
    <row r="51" spans="1:16" ht="18.75">
      <c r="A51" s="55"/>
      <c r="B51" s="209" t="s">
        <v>208</v>
      </c>
      <c r="C51" s="191"/>
      <c r="D51" s="191"/>
      <c r="E51" s="191"/>
      <c r="F51" s="191"/>
      <c r="G51" s="213" t="s">
        <v>24</v>
      </c>
      <c r="H51" s="12"/>
      <c r="I51" s="214"/>
      <c r="J51" s="214"/>
      <c r="K51" s="5"/>
      <c r="L51" s="1"/>
      <c r="M51" s="55"/>
      <c r="N51" s="55"/>
      <c r="O51" s="254"/>
      <c r="P51" s="3"/>
    </row>
    <row r="52" spans="1:15" ht="18.75">
      <c r="A52" s="55"/>
      <c r="B52" s="53" t="s">
        <v>10</v>
      </c>
      <c r="C52" s="191"/>
      <c r="D52" s="191"/>
      <c r="E52" s="191"/>
      <c r="F52" s="191"/>
      <c r="G52" s="147">
        <v>1500</v>
      </c>
      <c r="H52" s="148">
        <v>1</v>
      </c>
      <c r="I52" s="214">
        <f aca="true" t="shared" si="5" ref="I52:I57">G52*(1-H52)</f>
        <v>0</v>
      </c>
      <c r="J52" s="214">
        <f aca="true" t="shared" si="6" ref="J52:J57">G52*H52</f>
        <v>1500</v>
      </c>
      <c r="K52" s="5"/>
      <c r="L52" s="1"/>
      <c r="M52" s="55"/>
      <c r="N52" s="55"/>
      <c r="O52" s="55"/>
    </row>
    <row r="53" spans="1:18" ht="18.75">
      <c r="A53" s="55"/>
      <c r="B53" s="53" t="s">
        <v>18</v>
      </c>
      <c r="C53" s="191"/>
      <c r="D53" s="191"/>
      <c r="E53" s="191"/>
      <c r="F53" s="191"/>
      <c r="G53" s="147">
        <v>0</v>
      </c>
      <c r="H53" s="148">
        <v>0</v>
      </c>
      <c r="I53" s="214">
        <f t="shared" si="5"/>
        <v>0</v>
      </c>
      <c r="J53" s="214">
        <f t="shared" si="6"/>
        <v>0</v>
      </c>
      <c r="K53" s="5"/>
      <c r="L53" s="1"/>
      <c r="M53" s="55"/>
      <c r="N53" s="55"/>
      <c r="O53" s="255"/>
      <c r="P53" s="2"/>
      <c r="Q53" s="2"/>
      <c r="R53" s="2"/>
    </row>
    <row r="54" spans="1:18" ht="18.75">
      <c r="A54" s="55"/>
      <c r="B54" s="53" t="s">
        <v>19</v>
      </c>
      <c r="C54" s="191"/>
      <c r="D54" s="191"/>
      <c r="E54" s="191"/>
      <c r="F54" s="191"/>
      <c r="G54" s="147">
        <v>900</v>
      </c>
      <c r="H54" s="148">
        <v>0</v>
      </c>
      <c r="I54" s="214">
        <f t="shared" si="5"/>
        <v>900</v>
      </c>
      <c r="J54" s="214">
        <f t="shared" si="6"/>
        <v>0</v>
      </c>
      <c r="K54" s="5"/>
      <c r="L54" s="1"/>
      <c r="M54" s="55"/>
      <c r="N54" s="55"/>
      <c r="O54" s="255"/>
      <c r="P54" s="2"/>
      <c r="Q54" s="2"/>
      <c r="R54" s="2"/>
    </row>
    <row r="55" spans="1:18" ht="18.75">
      <c r="A55" s="55"/>
      <c r="B55" s="53" t="s">
        <v>20</v>
      </c>
      <c r="C55" s="191"/>
      <c r="D55" s="191"/>
      <c r="E55" s="191"/>
      <c r="F55" s="191"/>
      <c r="G55" s="147">
        <v>0</v>
      </c>
      <c r="H55" s="148">
        <v>0</v>
      </c>
      <c r="I55" s="214">
        <f t="shared" si="5"/>
        <v>0</v>
      </c>
      <c r="J55" s="214">
        <f t="shared" si="6"/>
        <v>0</v>
      </c>
      <c r="K55" s="5"/>
      <c r="L55" s="1"/>
      <c r="M55" s="55"/>
      <c r="N55" s="55"/>
      <c r="O55" s="255"/>
      <c r="P55" s="2"/>
      <c r="Q55" s="2"/>
      <c r="R55" s="2"/>
    </row>
    <row r="56" spans="1:18" ht="18.75">
      <c r="A56" s="55"/>
      <c r="B56" s="53" t="s">
        <v>14</v>
      </c>
      <c r="C56" s="191"/>
      <c r="D56" s="191"/>
      <c r="E56" s="191"/>
      <c r="F56" s="191"/>
      <c r="G56" s="147">
        <v>0</v>
      </c>
      <c r="H56" s="148">
        <v>0</v>
      </c>
      <c r="I56" s="214">
        <f t="shared" si="5"/>
        <v>0</v>
      </c>
      <c r="J56" s="214">
        <f t="shared" si="6"/>
        <v>0</v>
      </c>
      <c r="K56" s="5"/>
      <c r="L56" s="1"/>
      <c r="M56" s="55"/>
      <c r="N56" s="55"/>
      <c r="O56" s="255"/>
      <c r="P56" s="2"/>
      <c r="Q56" s="2"/>
      <c r="R56" s="2"/>
    </row>
    <row r="57" spans="1:18" ht="18.75">
      <c r="A57" s="55"/>
      <c r="B57" s="53" t="s">
        <v>232</v>
      </c>
      <c r="C57" s="191"/>
      <c r="D57" s="191"/>
      <c r="E57" s="191"/>
      <c r="F57" s="191"/>
      <c r="G57" s="147">
        <v>0</v>
      </c>
      <c r="H57" s="148">
        <v>0</v>
      </c>
      <c r="I57" s="214">
        <f t="shared" si="5"/>
        <v>0</v>
      </c>
      <c r="J57" s="214">
        <f t="shared" si="6"/>
        <v>0</v>
      </c>
      <c r="K57" s="5"/>
      <c r="L57" s="1"/>
      <c r="M57" s="55"/>
      <c r="N57" s="55"/>
      <c r="O57" s="255"/>
      <c r="P57" s="2"/>
      <c r="Q57" s="2"/>
      <c r="R57" s="2"/>
    </row>
    <row r="58" spans="1:18" ht="18.75">
      <c r="A58" s="55"/>
      <c r="B58" s="191"/>
      <c r="C58" s="191"/>
      <c r="D58" s="191"/>
      <c r="E58" s="191"/>
      <c r="F58" s="191"/>
      <c r="G58" s="12"/>
      <c r="H58" s="51"/>
      <c r="I58" s="214"/>
      <c r="J58" s="214"/>
      <c r="K58" s="5"/>
      <c r="L58" s="1"/>
      <c r="M58" s="55"/>
      <c r="N58" s="55"/>
      <c r="O58" s="255"/>
      <c r="P58" s="2"/>
      <c r="Q58" s="2"/>
      <c r="R58" s="2"/>
    </row>
    <row r="59" spans="1:18" ht="18.75">
      <c r="A59" s="55"/>
      <c r="B59" s="195"/>
      <c r="C59" s="191"/>
      <c r="D59" s="185"/>
      <c r="E59" s="191"/>
      <c r="F59" s="191"/>
      <c r="G59" s="10"/>
      <c r="H59" s="52" t="s">
        <v>155</v>
      </c>
      <c r="I59" s="216">
        <f>SUM(I31:I58)</f>
        <v>45150</v>
      </c>
      <c r="J59" s="216">
        <f>SUM(J31:J58)</f>
        <v>68500</v>
      </c>
      <c r="K59" s="5"/>
      <c r="L59" s="1"/>
      <c r="M59" s="55"/>
      <c r="N59" s="55"/>
      <c r="O59" s="255"/>
      <c r="P59" s="2"/>
      <c r="Q59" s="2"/>
      <c r="R59" s="2"/>
    </row>
    <row r="60" spans="1:18" ht="15.75">
      <c r="A60" s="55"/>
      <c r="B60" s="6" t="s">
        <v>154</v>
      </c>
      <c r="C60" s="7"/>
      <c r="D60" s="7"/>
      <c r="E60" s="7"/>
      <c r="F60" s="7"/>
      <c r="G60" s="7"/>
      <c r="H60" s="7"/>
      <c r="I60" s="10"/>
      <c r="J60" s="10"/>
      <c r="K60" s="1"/>
      <c r="L60" s="1"/>
      <c r="M60" s="55"/>
      <c r="N60" s="55"/>
      <c r="O60" s="255"/>
      <c r="P60" s="2"/>
      <c r="Q60" s="2"/>
      <c r="R60" s="2"/>
    </row>
    <row r="61" spans="1:15" ht="15.75">
      <c r="A61" s="55"/>
      <c r="B61" s="7"/>
      <c r="C61" s="7"/>
      <c r="D61" s="7"/>
      <c r="E61" s="7"/>
      <c r="F61" s="7"/>
      <c r="G61" s="7"/>
      <c r="H61" s="7"/>
      <c r="I61" s="7"/>
      <c r="J61" s="7"/>
      <c r="K61" s="1"/>
      <c r="L61" s="1"/>
      <c r="M61" s="55"/>
      <c r="N61" s="55"/>
      <c r="O61" s="55"/>
    </row>
    <row r="62" spans="1:15" ht="15.75">
      <c r="A62" s="55"/>
      <c r="B62" s="32"/>
      <c r="C62" s="7"/>
      <c r="D62" s="7"/>
      <c r="E62" s="7"/>
      <c r="F62" s="7"/>
      <c r="G62" s="7"/>
      <c r="H62" s="7"/>
      <c r="I62" s="7"/>
      <c r="J62" s="7"/>
      <c r="K62" s="1"/>
      <c r="L62" s="1"/>
      <c r="M62" s="55"/>
      <c r="N62" s="55"/>
      <c r="O62" s="55"/>
    </row>
    <row r="63" spans="1:15" ht="15.75">
      <c r="A63" s="55"/>
      <c r="B63" s="6"/>
      <c r="C63" s="7"/>
      <c r="D63" s="7"/>
      <c r="E63" s="7"/>
      <c r="F63" s="7"/>
      <c r="G63" s="7"/>
      <c r="H63" s="7"/>
      <c r="I63" s="7"/>
      <c r="J63" s="7"/>
      <c r="K63" s="1"/>
      <c r="L63" s="1"/>
      <c r="M63" s="55"/>
      <c r="N63" s="55"/>
      <c r="O63" s="55"/>
    </row>
    <row r="64" spans="1:15" ht="15.75">
      <c r="A64" s="55"/>
      <c r="B64" s="6"/>
      <c r="C64" s="7"/>
      <c r="D64" s="7"/>
      <c r="E64" s="7"/>
      <c r="F64" s="7"/>
      <c r="G64" s="7"/>
      <c r="H64" s="7"/>
      <c r="I64" s="7"/>
      <c r="J64" s="7"/>
      <c r="K64" s="1"/>
      <c r="L64" s="1"/>
      <c r="M64" s="55"/>
      <c r="N64" s="55"/>
      <c r="O64" s="55"/>
    </row>
    <row r="65" spans="1:15" ht="15.75">
      <c r="A65" s="55"/>
      <c r="B65" s="6"/>
      <c r="C65" s="7"/>
      <c r="D65" s="7"/>
      <c r="E65" s="7"/>
      <c r="F65" s="7"/>
      <c r="G65" s="7"/>
      <c r="H65" s="7"/>
      <c r="I65" s="7"/>
      <c r="J65" s="7"/>
      <c r="K65" s="1"/>
      <c r="L65" s="1"/>
      <c r="M65" s="55"/>
      <c r="N65" s="55"/>
      <c r="O65" s="55"/>
    </row>
    <row r="66" spans="1:15" ht="15.75">
      <c r="A66" s="55"/>
      <c r="B66" s="6"/>
      <c r="C66" s="7"/>
      <c r="D66" s="7"/>
      <c r="E66" s="7"/>
      <c r="F66" s="7"/>
      <c r="G66" s="7"/>
      <c r="H66" s="7"/>
      <c r="I66" s="7"/>
      <c r="J66" s="7"/>
      <c r="K66" s="1"/>
      <c r="L66" s="1"/>
      <c r="M66" s="55"/>
      <c r="N66" s="55"/>
      <c r="O66" s="55"/>
    </row>
    <row r="67" spans="1:15" ht="15.75">
      <c r="A67" s="55"/>
      <c r="B67" s="6"/>
      <c r="C67" s="7"/>
      <c r="D67" s="7"/>
      <c r="E67" s="7"/>
      <c r="F67" s="7"/>
      <c r="G67" s="7"/>
      <c r="H67" s="7"/>
      <c r="I67" s="7"/>
      <c r="J67" s="7"/>
      <c r="K67" s="1"/>
      <c r="L67" s="1"/>
      <c r="M67" s="55"/>
      <c r="N67" s="55"/>
      <c r="O67" s="55"/>
    </row>
    <row r="68" spans="1:15" ht="15.75">
      <c r="A68" s="55"/>
      <c r="B68" s="55"/>
      <c r="C68" s="55"/>
      <c r="D68" s="55"/>
      <c r="E68" s="55"/>
      <c r="F68" s="55"/>
      <c r="G68" s="55"/>
      <c r="H68" s="55"/>
      <c r="I68" s="55"/>
      <c r="J68" s="55"/>
      <c r="K68" s="1"/>
      <c r="L68" s="1"/>
      <c r="M68" s="55"/>
      <c r="N68" s="55"/>
      <c r="O68" s="55"/>
    </row>
    <row r="69" spans="1:15" ht="15.75">
      <c r="A69" s="55"/>
      <c r="B69" s="55"/>
      <c r="C69" s="55"/>
      <c r="D69" s="55"/>
      <c r="E69" s="55"/>
      <c r="F69" s="55"/>
      <c r="G69" s="55"/>
      <c r="H69" s="55"/>
      <c r="I69" s="55"/>
      <c r="J69" s="55"/>
      <c r="K69" s="1"/>
      <c r="L69" s="1"/>
      <c r="M69" s="55"/>
      <c r="N69" s="55"/>
      <c r="O69" s="55"/>
    </row>
    <row r="70" spans="1:15" ht="15.75">
      <c r="A70" s="55"/>
      <c r="B70" s="55"/>
      <c r="C70" s="55"/>
      <c r="D70" s="55"/>
      <c r="E70" s="55"/>
      <c r="F70" s="55"/>
      <c r="G70" s="55"/>
      <c r="H70" s="55"/>
      <c r="I70" s="55"/>
      <c r="J70" s="55"/>
      <c r="K70" s="1"/>
      <c r="L70" s="1"/>
      <c r="M70" s="55"/>
      <c r="N70" s="55"/>
      <c r="O70" s="55"/>
    </row>
    <row r="71" spans="1:15" ht="15.75">
      <c r="A71" s="55"/>
      <c r="B71" s="55"/>
      <c r="C71" s="55"/>
      <c r="D71" s="55"/>
      <c r="E71" s="55"/>
      <c r="F71" s="55"/>
      <c r="G71" s="55"/>
      <c r="H71" s="55"/>
      <c r="I71" s="55"/>
      <c r="J71" s="55"/>
      <c r="K71" s="1"/>
      <c r="L71" s="1"/>
      <c r="M71" s="55"/>
      <c r="N71" s="55"/>
      <c r="O71" s="55"/>
    </row>
    <row r="72" spans="1:15" ht="15.75">
      <c r="A72" s="55"/>
      <c r="B72" s="55"/>
      <c r="C72" s="55"/>
      <c r="D72" s="55"/>
      <c r="E72" s="55"/>
      <c r="F72" s="55"/>
      <c r="G72" s="55"/>
      <c r="H72" s="55"/>
      <c r="I72" s="55"/>
      <c r="J72" s="55"/>
      <c r="K72" s="1"/>
      <c r="L72" s="1"/>
      <c r="M72" s="55"/>
      <c r="N72" s="55"/>
      <c r="O72" s="55"/>
    </row>
    <row r="73" spans="1:15" ht="15.75">
      <c r="A73" s="55"/>
      <c r="B73" s="55"/>
      <c r="C73" s="55"/>
      <c r="D73" s="55"/>
      <c r="E73" s="55"/>
      <c r="F73" s="55"/>
      <c r="G73" s="55"/>
      <c r="H73" s="55"/>
      <c r="I73" s="55"/>
      <c r="J73" s="55"/>
      <c r="K73" s="1"/>
      <c r="L73" s="1"/>
      <c r="M73" s="55"/>
      <c r="N73" s="55"/>
      <c r="O73" s="55"/>
    </row>
    <row r="74" spans="1:15" ht="15.75">
      <c r="A74" s="55"/>
      <c r="B74" s="55"/>
      <c r="C74" s="55"/>
      <c r="D74" s="55"/>
      <c r="E74" s="55"/>
      <c r="F74" s="55"/>
      <c r="G74" s="55"/>
      <c r="H74" s="55"/>
      <c r="I74" s="55"/>
      <c r="J74" s="55"/>
      <c r="K74" s="1"/>
      <c r="L74" s="1"/>
      <c r="M74" s="55"/>
      <c r="N74" s="55"/>
      <c r="O74" s="55"/>
    </row>
    <row r="75" spans="1:15" ht="15.75">
      <c r="A75" s="55"/>
      <c r="B75" s="55"/>
      <c r="C75" s="55"/>
      <c r="D75" s="55"/>
      <c r="E75" s="55"/>
      <c r="F75" s="55"/>
      <c r="G75" s="55"/>
      <c r="H75" s="55"/>
      <c r="I75" s="55"/>
      <c r="J75" s="55"/>
      <c r="K75" s="1"/>
      <c r="L75" s="1"/>
      <c r="M75" s="55"/>
      <c r="N75" s="55"/>
      <c r="O75" s="55"/>
    </row>
    <row r="76" spans="1:15" ht="15.75">
      <c r="A76" s="55"/>
      <c r="B76" s="55"/>
      <c r="C76" s="55"/>
      <c r="D76" s="55"/>
      <c r="E76" s="55"/>
      <c r="F76" s="55"/>
      <c r="G76" s="55"/>
      <c r="H76" s="55"/>
      <c r="I76" s="55"/>
      <c r="J76" s="55"/>
      <c r="K76" s="1"/>
      <c r="L76" s="1"/>
      <c r="M76" s="55"/>
      <c r="N76" s="55"/>
      <c r="O76" s="55"/>
    </row>
    <row r="77" spans="1:15" ht="15.75">
      <c r="A77" s="55"/>
      <c r="B77" s="55"/>
      <c r="C77" s="55"/>
      <c r="D77" s="55"/>
      <c r="E77" s="55"/>
      <c r="F77" s="55"/>
      <c r="G77" s="55"/>
      <c r="H77" s="55"/>
      <c r="I77" s="55"/>
      <c r="J77" s="55"/>
      <c r="K77" s="1"/>
      <c r="L77" s="1"/>
      <c r="M77" s="55"/>
      <c r="N77" s="55"/>
      <c r="O77" s="55"/>
    </row>
    <row r="78" spans="1:15" ht="15.75">
      <c r="A78" s="55"/>
      <c r="B78" s="55"/>
      <c r="C78" s="55"/>
      <c r="D78" s="55"/>
      <c r="E78" s="55"/>
      <c r="F78" s="55"/>
      <c r="G78" s="55"/>
      <c r="H78" s="55"/>
      <c r="I78" s="55"/>
      <c r="J78" s="55"/>
      <c r="K78" s="1"/>
      <c r="L78" s="1"/>
      <c r="M78" s="55"/>
      <c r="N78" s="55"/>
      <c r="O78" s="55"/>
    </row>
    <row r="79" spans="1:15" ht="15.75">
      <c r="A79" s="55"/>
      <c r="B79" s="55"/>
      <c r="C79" s="55"/>
      <c r="D79" s="55"/>
      <c r="E79" s="55"/>
      <c r="F79" s="55"/>
      <c r="G79" s="55"/>
      <c r="H79" s="55"/>
      <c r="I79" s="55"/>
      <c r="J79" s="55"/>
      <c r="K79" s="55"/>
      <c r="L79" s="1"/>
      <c r="M79" s="55"/>
      <c r="N79" s="55"/>
      <c r="O79" s="55"/>
    </row>
    <row r="80" spans="1:15" ht="15.75">
      <c r="A80" s="55"/>
      <c r="B80" s="55"/>
      <c r="C80" s="55"/>
      <c r="D80" s="55"/>
      <c r="E80" s="55"/>
      <c r="F80" s="55"/>
      <c r="G80" s="55"/>
      <c r="H80" s="55"/>
      <c r="I80" s="55"/>
      <c r="J80" s="55"/>
      <c r="K80" s="55"/>
      <c r="L80" s="1"/>
      <c r="M80" s="55"/>
      <c r="N80" s="55"/>
      <c r="O80" s="55"/>
    </row>
    <row r="81" spans="1:15" ht="15.75">
      <c r="A81" s="55"/>
      <c r="B81" s="55"/>
      <c r="C81" s="55"/>
      <c r="D81" s="55"/>
      <c r="E81" s="55"/>
      <c r="F81" s="55"/>
      <c r="G81" s="55"/>
      <c r="H81" s="55"/>
      <c r="I81" s="55"/>
      <c r="J81" s="55"/>
      <c r="K81" s="55"/>
      <c r="L81" s="1"/>
      <c r="M81" s="55"/>
      <c r="N81" s="55"/>
      <c r="O81" s="55"/>
    </row>
    <row r="82" spans="1:15" ht="15.75">
      <c r="A82" s="55"/>
      <c r="B82" s="55"/>
      <c r="C82" s="55"/>
      <c r="D82" s="55"/>
      <c r="E82" s="55"/>
      <c r="F82" s="55"/>
      <c r="G82" s="55"/>
      <c r="H82" s="55"/>
      <c r="I82" s="55"/>
      <c r="J82" s="55"/>
      <c r="K82" s="55"/>
      <c r="L82" s="1"/>
      <c r="M82" s="55"/>
      <c r="N82" s="55"/>
      <c r="O82" s="55"/>
    </row>
    <row r="83" spans="1:15" ht="15.75">
      <c r="A83" s="55"/>
      <c r="B83" s="55"/>
      <c r="C83" s="55"/>
      <c r="D83" s="55"/>
      <c r="E83" s="55"/>
      <c r="F83" s="55"/>
      <c r="G83" s="55"/>
      <c r="H83" s="55"/>
      <c r="I83" s="55"/>
      <c r="J83" s="55"/>
      <c r="K83" s="55"/>
      <c r="L83" s="1"/>
      <c r="M83" s="55"/>
      <c r="N83" s="55"/>
      <c r="O83" s="55"/>
    </row>
    <row r="84" spans="1:15" ht="15.75">
      <c r="A84" s="55"/>
      <c r="B84" s="55"/>
      <c r="C84" s="55"/>
      <c r="D84" s="55"/>
      <c r="E84" s="55"/>
      <c r="F84" s="55"/>
      <c r="G84" s="55"/>
      <c r="H84" s="55"/>
      <c r="I84" s="55"/>
      <c r="J84" s="55"/>
      <c r="K84" s="55"/>
      <c r="L84" s="1"/>
      <c r="M84" s="55"/>
      <c r="N84" s="55"/>
      <c r="O84" s="55"/>
    </row>
    <row r="85" spans="1:15" ht="15.75">
      <c r="A85" s="55"/>
      <c r="B85" s="55"/>
      <c r="C85" s="55"/>
      <c r="D85" s="55"/>
      <c r="E85" s="55"/>
      <c r="F85" s="55"/>
      <c r="G85" s="55"/>
      <c r="H85" s="55"/>
      <c r="I85" s="55"/>
      <c r="J85" s="55"/>
      <c r="K85" s="55"/>
      <c r="L85" s="1"/>
      <c r="M85" s="55"/>
      <c r="N85" s="55"/>
      <c r="O85" s="55"/>
    </row>
    <row r="86" spans="1:15" ht="15.75">
      <c r="A86" s="55"/>
      <c r="B86" s="55"/>
      <c r="C86" s="55"/>
      <c r="D86" s="55"/>
      <c r="E86" s="55"/>
      <c r="F86" s="55"/>
      <c r="G86" s="55"/>
      <c r="H86" s="55"/>
      <c r="I86" s="55"/>
      <c r="J86" s="55"/>
      <c r="K86" s="55"/>
      <c r="L86" s="1"/>
      <c r="M86" s="55"/>
      <c r="N86" s="55"/>
      <c r="O86" s="55"/>
    </row>
    <row r="87" spans="1:15" ht="15.75">
      <c r="A87" s="55"/>
      <c r="B87" s="55"/>
      <c r="C87" s="55"/>
      <c r="D87" s="55"/>
      <c r="E87" s="55"/>
      <c r="F87" s="55"/>
      <c r="G87" s="55"/>
      <c r="H87" s="55"/>
      <c r="I87" s="55"/>
      <c r="J87" s="55"/>
      <c r="K87" s="55"/>
      <c r="L87" s="1"/>
      <c r="M87" s="55"/>
      <c r="N87" s="55"/>
      <c r="O87" s="55"/>
    </row>
    <row r="88" spans="1:15" ht="15.75">
      <c r="A88" s="55"/>
      <c r="B88" s="55"/>
      <c r="C88" s="55"/>
      <c r="D88" s="55"/>
      <c r="E88" s="55"/>
      <c r="F88" s="55"/>
      <c r="G88" s="55"/>
      <c r="H88" s="55"/>
      <c r="I88" s="55"/>
      <c r="J88" s="55"/>
      <c r="K88" s="55"/>
      <c r="L88" s="1"/>
      <c r="M88" s="55"/>
      <c r="N88" s="55"/>
      <c r="O88" s="55"/>
    </row>
    <row r="89" spans="1:15" ht="15.75">
      <c r="A89" s="55"/>
      <c r="B89" s="55"/>
      <c r="C89" s="55"/>
      <c r="D89" s="55"/>
      <c r="E89" s="55"/>
      <c r="F89" s="55"/>
      <c r="G89" s="55"/>
      <c r="H89" s="55"/>
      <c r="I89" s="55"/>
      <c r="J89" s="55"/>
      <c r="K89" s="55"/>
      <c r="L89" s="1"/>
      <c r="M89" s="55"/>
      <c r="N89" s="55"/>
      <c r="O89" s="55"/>
    </row>
    <row r="90" spans="1:15" ht="15.75">
      <c r="A90" s="55"/>
      <c r="B90" s="55"/>
      <c r="C90" s="55"/>
      <c r="D90" s="55"/>
      <c r="E90" s="55"/>
      <c r="F90" s="55"/>
      <c r="G90" s="55"/>
      <c r="H90" s="55"/>
      <c r="I90" s="55"/>
      <c r="J90" s="55"/>
      <c r="K90" s="55"/>
      <c r="L90" s="1"/>
      <c r="M90" s="55"/>
      <c r="N90" s="55"/>
      <c r="O90" s="55"/>
    </row>
    <row r="91" spans="1:15" ht="15.75">
      <c r="A91" s="55"/>
      <c r="B91" s="55"/>
      <c r="C91" s="55"/>
      <c r="D91" s="55"/>
      <c r="E91" s="55"/>
      <c r="F91" s="55"/>
      <c r="G91" s="55"/>
      <c r="H91" s="55"/>
      <c r="I91" s="55"/>
      <c r="J91" s="55"/>
      <c r="K91" s="55"/>
      <c r="L91" s="1"/>
      <c r="M91" s="55"/>
      <c r="N91" s="55"/>
      <c r="O91" s="55"/>
    </row>
    <row r="92" spans="1:15" ht="15.75">
      <c r="A92" s="55"/>
      <c r="B92" s="55"/>
      <c r="C92" s="55"/>
      <c r="D92" s="55"/>
      <c r="E92" s="55"/>
      <c r="F92" s="55"/>
      <c r="G92" s="55"/>
      <c r="H92" s="55"/>
      <c r="I92" s="55"/>
      <c r="J92" s="55"/>
      <c r="K92" s="55"/>
      <c r="L92" s="1"/>
      <c r="M92" s="55"/>
      <c r="N92" s="55"/>
      <c r="O92" s="55"/>
    </row>
    <row r="93" ht="15.75">
      <c r="L93" s="1"/>
    </row>
    <row r="94" ht="15.75">
      <c r="L94" s="1"/>
    </row>
    <row r="95" ht="15.75">
      <c r="L95" s="1"/>
    </row>
    <row r="96" ht="15.75">
      <c r="L96" s="1"/>
    </row>
    <row r="97" ht="15.75">
      <c r="L97" s="1"/>
    </row>
    <row r="98" ht="15.75">
      <c r="L98" s="1"/>
    </row>
    <row r="99" ht="15.75">
      <c r="L99" s="1"/>
    </row>
    <row r="100" ht="15.75">
      <c r="L100" s="1"/>
    </row>
    <row r="101" ht="15.75">
      <c r="L101" s="1"/>
    </row>
    <row r="102" ht="15.75">
      <c r="L102" s="1"/>
    </row>
    <row r="103" ht="15.75">
      <c r="L103" s="1"/>
    </row>
    <row r="104" ht="15.75">
      <c r="L104" s="1"/>
    </row>
    <row r="105" ht="15.75">
      <c r="L105" s="1"/>
    </row>
    <row r="106" ht="15.75">
      <c r="L106" s="1"/>
    </row>
    <row r="107" ht="15.75">
      <c r="L107" s="1"/>
    </row>
    <row r="108" ht="15.75">
      <c r="L108" s="1"/>
    </row>
    <row r="109" ht="15.75">
      <c r="L109" s="1"/>
    </row>
    <row r="110" ht="15.75">
      <c r="L110" s="1"/>
    </row>
    <row r="111" ht="15.75">
      <c r="L111" s="1"/>
    </row>
    <row r="112" ht="15.75">
      <c r="L112" s="1"/>
    </row>
    <row r="113" ht="15.75">
      <c r="L113" s="1"/>
    </row>
    <row r="114" ht="15.75">
      <c r="L114" s="1"/>
    </row>
    <row r="115" ht="15.75">
      <c r="L115" s="1"/>
    </row>
    <row r="116" ht="15.75">
      <c r="L116" s="1"/>
    </row>
    <row r="117" ht="15.75">
      <c r="L117" s="1"/>
    </row>
    <row r="118" ht="15.75">
      <c r="L118" s="1"/>
    </row>
    <row r="119" ht="15.75">
      <c r="L119" s="1"/>
    </row>
    <row r="120" ht="15.75">
      <c r="L120" s="1"/>
    </row>
    <row r="121" ht="15.75">
      <c r="L121" s="1"/>
    </row>
    <row r="122" ht="15.75">
      <c r="L122" s="1"/>
    </row>
    <row r="123" ht="15.75">
      <c r="L123" s="1"/>
    </row>
    <row r="124" ht="15.75">
      <c r="L124" s="1"/>
    </row>
    <row r="125" ht="15.75">
      <c r="L125" s="1"/>
    </row>
    <row r="126" ht="15.75">
      <c r="L126" s="1"/>
    </row>
    <row r="127" ht="15.75">
      <c r="L127" s="1"/>
    </row>
    <row r="128" ht="15.75">
      <c r="L128" s="1"/>
    </row>
    <row r="129" ht="15.75">
      <c r="L129" s="1"/>
    </row>
    <row r="130" ht="15.75">
      <c r="L130" s="1"/>
    </row>
    <row r="131" ht="15.75">
      <c r="L131" s="1"/>
    </row>
    <row r="132" ht="15.75">
      <c r="L132" s="1"/>
    </row>
    <row r="133" ht="15.75">
      <c r="L133" s="1"/>
    </row>
    <row r="134" ht="15.75">
      <c r="L134" s="1"/>
    </row>
    <row r="135" ht="15.75">
      <c r="L135" s="1"/>
    </row>
    <row r="136" ht="15.75">
      <c r="L136" s="1"/>
    </row>
    <row r="137" ht="15.75">
      <c r="L137" s="1"/>
    </row>
    <row r="138" ht="15.75">
      <c r="L138" s="1"/>
    </row>
    <row r="139" ht="15.75">
      <c r="L139" s="1"/>
    </row>
    <row r="140" ht="15.75">
      <c r="L140" s="1"/>
    </row>
    <row r="141" ht="15.75">
      <c r="L141" s="1"/>
    </row>
    <row r="142" ht="15.75">
      <c r="L142" s="1"/>
    </row>
    <row r="143" ht="15.75">
      <c r="L143" s="1"/>
    </row>
    <row r="144" ht="15.75">
      <c r="L144" s="1"/>
    </row>
    <row r="145" ht="15.75">
      <c r="L145" s="1"/>
    </row>
    <row r="146" ht="15.75">
      <c r="L146" s="1"/>
    </row>
    <row r="147" ht="15.75">
      <c r="L147" s="1"/>
    </row>
    <row r="148" ht="15.75">
      <c r="L148" s="1"/>
    </row>
    <row r="149" ht="15.75">
      <c r="L149" s="1"/>
    </row>
    <row r="150" ht="15.75">
      <c r="L150" s="1"/>
    </row>
    <row r="151" ht="15.75">
      <c r="L151" s="1"/>
    </row>
    <row r="152" ht="15.75">
      <c r="L152" s="1"/>
    </row>
    <row r="153" ht="15.75">
      <c r="L153" s="1"/>
    </row>
    <row r="154" ht="15.75">
      <c r="L154" s="1"/>
    </row>
    <row r="155" ht="15.75">
      <c r="L155" s="1"/>
    </row>
    <row r="156" ht="15.75">
      <c r="L156" s="1"/>
    </row>
    <row r="157" ht="15.75">
      <c r="L157" s="1"/>
    </row>
    <row r="158" ht="15.75">
      <c r="L158" s="1"/>
    </row>
    <row r="159" ht="15.75">
      <c r="L159" s="1"/>
    </row>
    <row r="160" ht="15.75">
      <c r="L160" s="1"/>
    </row>
    <row r="161" ht="15.75">
      <c r="L161" s="1"/>
    </row>
    <row r="162" ht="15.75">
      <c r="L162" s="1"/>
    </row>
    <row r="163" ht="15.75">
      <c r="L163" s="1"/>
    </row>
    <row r="164" ht="15.75">
      <c r="L164" s="1"/>
    </row>
    <row r="165" ht="15.75">
      <c r="L165" s="1"/>
    </row>
    <row r="166" ht="15.75">
      <c r="L166" s="1"/>
    </row>
    <row r="167" ht="15.75">
      <c r="L167" s="1"/>
    </row>
    <row r="168" ht="15.75">
      <c r="L168" s="1"/>
    </row>
    <row r="169" ht="15.75">
      <c r="L169" s="1"/>
    </row>
    <row r="170" ht="15.75">
      <c r="L170" s="1"/>
    </row>
    <row r="171" ht="15.75">
      <c r="L171" s="1"/>
    </row>
    <row r="172" ht="15.75">
      <c r="L172" s="1"/>
    </row>
    <row r="173" ht="15.75">
      <c r="L173" s="1"/>
    </row>
    <row r="174" ht="15.75">
      <c r="L174" s="1"/>
    </row>
    <row r="175" ht="15.75">
      <c r="L175" s="1"/>
    </row>
    <row r="176" ht="15.75">
      <c r="L176" s="1"/>
    </row>
    <row r="177" ht="15.75">
      <c r="L177" s="1"/>
    </row>
    <row r="178" ht="15.75">
      <c r="L178" s="1"/>
    </row>
    <row r="179" ht="15.75">
      <c r="L179" s="1"/>
    </row>
    <row r="180" ht="15.75">
      <c r="L180" s="1"/>
    </row>
    <row r="181" ht="15.75">
      <c r="L181" s="1"/>
    </row>
    <row r="182" ht="15.75">
      <c r="L182" s="1"/>
    </row>
    <row r="183" ht="15.75">
      <c r="L183" s="1"/>
    </row>
    <row r="184" ht="15.75">
      <c r="L184" s="1"/>
    </row>
    <row r="185" ht="15.75">
      <c r="L185" s="1"/>
    </row>
    <row r="186" ht="15.75">
      <c r="L186" s="1"/>
    </row>
    <row r="187" ht="15.75">
      <c r="L187" s="1"/>
    </row>
    <row r="188" ht="15.75">
      <c r="L188" s="1"/>
    </row>
    <row r="189" ht="15.75">
      <c r="L189" s="1"/>
    </row>
    <row r="190" ht="15.75">
      <c r="L190" s="1"/>
    </row>
    <row r="191" ht="15.75">
      <c r="L191" s="1"/>
    </row>
    <row r="192" ht="15.75">
      <c r="L192" s="1"/>
    </row>
    <row r="193" ht="15.75">
      <c r="L193" s="1"/>
    </row>
    <row r="194" ht="15.75">
      <c r="L194" s="1"/>
    </row>
    <row r="195" ht="15.75">
      <c r="L195" s="1"/>
    </row>
    <row r="196" ht="15.75">
      <c r="L196" s="1"/>
    </row>
    <row r="197" ht="15.75">
      <c r="L197" s="1"/>
    </row>
    <row r="198" ht="15.75">
      <c r="L198" s="1"/>
    </row>
    <row r="199" ht="15.75">
      <c r="L199" s="1"/>
    </row>
    <row r="200" ht="15.75">
      <c r="L200" s="1"/>
    </row>
    <row r="201" ht="15.75">
      <c r="L201" s="1"/>
    </row>
    <row r="202" ht="15.75">
      <c r="L202" s="1"/>
    </row>
    <row r="203" ht="15.75">
      <c r="L203" s="1"/>
    </row>
    <row r="204" ht="15.75">
      <c r="L204" s="1"/>
    </row>
    <row r="205" ht="15.75">
      <c r="L205" s="1"/>
    </row>
    <row r="206" ht="15.75">
      <c r="L206" s="1"/>
    </row>
    <row r="207" ht="15.75">
      <c r="L207" s="1"/>
    </row>
    <row r="208" ht="15.75">
      <c r="L208" s="1"/>
    </row>
    <row r="209" ht="15.75">
      <c r="L209" s="1"/>
    </row>
    <row r="210" ht="15.75">
      <c r="L210" s="1"/>
    </row>
    <row r="211" ht="15.75">
      <c r="L211" s="1"/>
    </row>
    <row r="212" ht="15.75">
      <c r="L212" s="1"/>
    </row>
    <row r="213" ht="15.75">
      <c r="L213" s="1"/>
    </row>
    <row r="214" ht="15.75">
      <c r="L214" s="1"/>
    </row>
    <row r="215" ht="15.75">
      <c r="L215" s="1"/>
    </row>
    <row r="216" ht="15.75">
      <c r="L216" s="1"/>
    </row>
    <row r="217" ht="15.75">
      <c r="L217" s="1"/>
    </row>
    <row r="218" ht="15.75">
      <c r="L218" s="1"/>
    </row>
    <row r="219" ht="15.75">
      <c r="L219" s="1"/>
    </row>
    <row r="220" ht="15.75">
      <c r="L220" s="1"/>
    </row>
    <row r="221" ht="15.75">
      <c r="L221" s="1"/>
    </row>
    <row r="222" ht="15.75">
      <c r="L222" s="1"/>
    </row>
    <row r="223" ht="15.75">
      <c r="L223" s="1"/>
    </row>
    <row r="224" ht="15.75">
      <c r="L224" s="1"/>
    </row>
    <row r="225" ht="15.75">
      <c r="L225" s="1"/>
    </row>
    <row r="226" ht="15.75">
      <c r="L226" s="1"/>
    </row>
    <row r="227" ht="15.75">
      <c r="L227" s="1"/>
    </row>
    <row r="228" ht="15.75">
      <c r="L228" s="1"/>
    </row>
    <row r="229" ht="15.75">
      <c r="L229" s="1"/>
    </row>
    <row r="230" ht="15.75">
      <c r="L230" s="1"/>
    </row>
    <row r="231" ht="15.75">
      <c r="L231" s="1"/>
    </row>
    <row r="232" ht="15.75">
      <c r="L232" s="1"/>
    </row>
    <row r="233" ht="15.75">
      <c r="L233" s="1"/>
    </row>
    <row r="234" ht="15.75">
      <c r="L234" s="1"/>
    </row>
    <row r="235" ht="15.75">
      <c r="L235" s="1"/>
    </row>
    <row r="236" ht="15.75">
      <c r="L236" s="1"/>
    </row>
    <row r="237" ht="15.75">
      <c r="L237" s="1"/>
    </row>
    <row r="238" ht="15.75">
      <c r="L238" s="1"/>
    </row>
    <row r="239" ht="15.75">
      <c r="L239" s="1"/>
    </row>
    <row r="240" ht="15.75">
      <c r="L240" s="1"/>
    </row>
    <row r="241" ht="15.75">
      <c r="L241" s="1"/>
    </row>
    <row r="242" ht="15.75">
      <c r="L242" s="1"/>
    </row>
    <row r="243" ht="15.75">
      <c r="L243" s="1"/>
    </row>
    <row r="244" ht="15.75">
      <c r="L244" s="1"/>
    </row>
    <row r="245" ht="15.75">
      <c r="L245" s="1"/>
    </row>
    <row r="246" ht="15.75">
      <c r="L246" s="1"/>
    </row>
    <row r="247" ht="15.75">
      <c r="L247" s="1"/>
    </row>
    <row r="248" ht="15.75">
      <c r="L248" s="1"/>
    </row>
    <row r="249" ht="15.75">
      <c r="L249" s="1"/>
    </row>
    <row r="250" ht="15.75">
      <c r="L250" s="1"/>
    </row>
    <row r="251" ht="15.75">
      <c r="L251" s="1"/>
    </row>
    <row r="252" ht="15.75">
      <c r="L252" s="1"/>
    </row>
    <row r="253" ht="15.75">
      <c r="L253" s="1"/>
    </row>
    <row r="254" ht="15.75">
      <c r="L254" s="1"/>
    </row>
    <row r="255" ht="15.75">
      <c r="L255" s="1"/>
    </row>
    <row r="256" ht="15.75">
      <c r="L256" s="1"/>
    </row>
    <row r="257" ht="15.75">
      <c r="L257" s="1"/>
    </row>
    <row r="258" ht="15.75">
      <c r="L258" s="1"/>
    </row>
    <row r="259" ht="15.75">
      <c r="L259" s="1"/>
    </row>
    <row r="260" ht="15.75">
      <c r="L260" s="1"/>
    </row>
    <row r="261" ht="15.75">
      <c r="L261" s="1"/>
    </row>
    <row r="262" ht="15.75">
      <c r="L262" s="1"/>
    </row>
    <row r="263" ht="15.75">
      <c r="L263" s="1"/>
    </row>
    <row r="264" ht="15.75">
      <c r="L264" s="1"/>
    </row>
    <row r="265" ht="15.75">
      <c r="L265" s="1"/>
    </row>
    <row r="266" ht="15.75">
      <c r="L266" s="1"/>
    </row>
    <row r="267" ht="15.75">
      <c r="L267" s="1"/>
    </row>
    <row r="268" ht="15.75">
      <c r="L268" s="1"/>
    </row>
    <row r="269" ht="15.75">
      <c r="L269" s="1"/>
    </row>
    <row r="270" ht="15.75">
      <c r="L270" s="1"/>
    </row>
    <row r="271" ht="15.75">
      <c r="L271" s="1"/>
    </row>
    <row r="272" ht="15.75">
      <c r="L272" s="1"/>
    </row>
    <row r="273" ht="15.75">
      <c r="L273" s="1"/>
    </row>
    <row r="274" ht="15.75">
      <c r="L274" s="1"/>
    </row>
    <row r="275" ht="15.75">
      <c r="L275" s="1"/>
    </row>
    <row r="276" ht="15.75">
      <c r="L276" s="1"/>
    </row>
    <row r="277" ht="15.75">
      <c r="L277" s="1"/>
    </row>
    <row r="278" ht="15.75">
      <c r="L278" s="1"/>
    </row>
    <row r="279" ht="15.75">
      <c r="L279" s="1"/>
    </row>
    <row r="280" ht="15.75">
      <c r="L280" s="1"/>
    </row>
    <row r="281" ht="15.75">
      <c r="L281" s="1"/>
    </row>
    <row r="282" ht="15.75">
      <c r="L282" s="1"/>
    </row>
    <row r="283" ht="15.75">
      <c r="L283" s="1"/>
    </row>
    <row r="284" ht="15.75">
      <c r="L284" s="1"/>
    </row>
    <row r="285" ht="15.75">
      <c r="L285" s="1"/>
    </row>
    <row r="286" ht="15.75">
      <c r="L286" s="1"/>
    </row>
    <row r="287" ht="15.75">
      <c r="L287" s="1"/>
    </row>
    <row r="288" ht="15.75">
      <c r="L288" s="1"/>
    </row>
    <row r="289" ht="15.75">
      <c r="L289" s="1"/>
    </row>
    <row r="290" ht="15.75">
      <c r="L290" s="1"/>
    </row>
    <row r="291" ht="15.75">
      <c r="L291" s="1"/>
    </row>
    <row r="292" ht="15.75">
      <c r="L292" s="1"/>
    </row>
    <row r="293" ht="15.75">
      <c r="L293" s="1"/>
    </row>
    <row r="294" ht="15.75">
      <c r="L294" s="1"/>
    </row>
    <row r="295" ht="15.75">
      <c r="L295" s="1"/>
    </row>
    <row r="296" ht="15.75">
      <c r="L296" s="1"/>
    </row>
    <row r="297" ht="15.75">
      <c r="L297" s="1"/>
    </row>
    <row r="298" ht="15.75">
      <c r="L298" s="1"/>
    </row>
    <row r="299" ht="15.75">
      <c r="L299" s="1"/>
    </row>
    <row r="300" ht="15.75">
      <c r="L300" s="1"/>
    </row>
    <row r="301" ht="15.75">
      <c r="L301" s="1"/>
    </row>
    <row r="302" ht="15.75">
      <c r="L302" s="1"/>
    </row>
    <row r="303" ht="15.75">
      <c r="L303" s="1"/>
    </row>
    <row r="304" ht="15.75">
      <c r="L304" s="1"/>
    </row>
    <row r="305" ht="15.75">
      <c r="L305" s="1"/>
    </row>
    <row r="306" ht="15.75">
      <c r="L306" s="1"/>
    </row>
    <row r="307" ht="15.75">
      <c r="L307" s="1"/>
    </row>
    <row r="308" ht="15.75">
      <c r="L308" s="1"/>
    </row>
    <row r="309" ht="15.75">
      <c r="L309" s="1"/>
    </row>
    <row r="310" ht="15.75">
      <c r="L310" s="1"/>
    </row>
    <row r="311" ht="15.75">
      <c r="L311" s="1"/>
    </row>
    <row r="312" ht="15.75">
      <c r="L312" s="1"/>
    </row>
    <row r="313" ht="15.75">
      <c r="L313" s="1"/>
    </row>
    <row r="314" ht="15.75">
      <c r="L314" s="1"/>
    </row>
    <row r="315" ht="15.75">
      <c r="L315" s="1"/>
    </row>
    <row r="316" ht="15.75">
      <c r="L316" s="1"/>
    </row>
    <row r="317" ht="15.75">
      <c r="L317" s="1"/>
    </row>
    <row r="318" spans="11:12" ht="15.75">
      <c r="K318" s="1"/>
      <c r="L318" s="1"/>
    </row>
    <row r="319" spans="11:12" ht="15.75">
      <c r="K319" s="1"/>
      <c r="L319" s="1"/>
    </row>
    <row r="320" spans="11:12" ht="15.75">
      <c r="K320" s="1"/>
      <c r="L320" s="1"/>
    </row>
    <row r="321" spans="11:12" ht="15.75">
      <c r="K321" s="1"/>
      <c r="L321" s="1"/>
    </row>
    <row r="322" spans="11:12" ht="15.75">
      <c r="K322" s="1"/>
      <c r="L322" s="1"/>
    </row>
    <row r="323" spans="11:12" ht="15.75">
      <c r="K323" s="1"/>
      <c r="L323" s="1"/>
    </row>
    <row r="324" spans="11:12" ht="15.75">
      <c r="K324" s="1"/>
      <c r="L324" s="1"/>
    </row>
    <row r="325" spans="11:12" ht="15.75">
      <c r="K325" s="1"/>
      <c r="L325" s="1"/>
    </row>
    <row r="326" spans="11:12" ht="15.75">
      <c r="K326" s="1"/>
      <c r="L326" s="1"/>
    </row>
    <row r="327" spans="11:12" ht="15.75">
      <c r="K327" s="1"/>
      <c r="L327" s="1"/>
    </row>
    <row r="328" spans="11:12" ht="15.75">
      <c r="K328" s="1"/>
      <c r="L328" s="1"/>
    </row>
    <row r="329" spans="11:12" ht="15.75">
      <c r="K329" s="1"/>
      <c r="L329" s="1"/>
    </row>
    <row r="330" spans="11:12" ht="15.75">
      <c r="K330" s="1"/>
      <c r="L330" s="1"/>
    </row>
    <row r="331" spans="11:12" ht="15.75">
      <c r="K331" s="1"/>
      <c r="L331" s="1"/>
    </row>
    <row r="332" spans="11:12" ht="15.75">
      <c r="K332" s="1"/>
      <c r="L332" s="1"/>
    </row>
    <row r="333" spans="11:12" ht="15.75">
      <c r="K333" s="1"/>
      <c r="L333" s="1"/>
    </row>
    <row r="334" spans="11:12" ht="15.75">
      <c r="K334" s="1"/>
      <c r="L334" s="1"/>
    </row>
    <row r="335" spans="11:12" ht="15.75">
      <c r="K335" s="1"/>
      <c r="L335" s="1"/>
    </row>
    <row r="336" spans="11:12" ht="15.75">
      <c r="K336" s="1"/>
      <c r="L336" s="1"/>
    </row>
    <row r="337" spans="11:12" ht="15.75">
      <c r="K337" s="1"/>
      <c r="L337" s="1"/>
    </row>
    <row r="338" spans="11:12" ht="15.75">
      <c r="K338" s="1"/>
      <c r="L338" s="1"/>
    </row>
    <row r="339" spans="11:12" ht="15.75">
      <c r="K339" s="1"/>
      <c r="L339" s="1"/>
    </row>
    <row r="340" spans="11:12" ht="15.75">
      <c r="K340" s="1"/>
      <c r="L340" s="1"/>
    </row>
    <row r="341" spans="11:12" ht="15.75">
      <c r="K341" s="1"/>
      <c r="L341" s="1"/>
    </row>
    <row r="342" spans="11:12" ht="15.75">
      <c r="K342" s="1"/>
      <c r="L342" s="1"/>
    </row>
    <row r="343" spans="11:12" ht="15.75">
      <c r="K343" s="1"/>
      <c r="L343" s="1"/>
    </row>
    <row r="344" spans="11:12" ht="15.75">
      <c r="K344" s="1"/>
      <c r="L344" s="1"/>
    </row>
    <row r="437" spans="2:11" ht="15.75">
      <c r="B437" s="17"/>
      <c r="C437" s="17"/>
      <c r="D437" s="17"/>
      <c r="E437" s="17"/>
      <c r="F437" s="17"/>
      <c r="G437" s="17"/>
      <c r="H437" s="17"/>
      <c r="I437" s="17"/>
      <c r="J437" s="17"/>
      <c r="K437" s="17"/>
    </row>
    <row r="438" spans="2:11" ht="15.75">
      <c r="B438" s="17"/>
      <c r="C438" s="17"/>
      <c r="D438" s="17"/>
      <c r="E438" s="17"/>
      <c r="F438" s="17"/>
      <c r="G438" s="17"/>
      <c r="H438" s="17"/>
      <c r="I438" s="17"/>
      <c r="J438" s="17"/>
      <c r="K438" s="17"/>
    </row>
    <row r="439" spans="2:11" ht="15.75">
      <c r="B439" s="17"/>
      <c r="C439" s="17"/>
      <c r="D439" s="17"/>
      <c r="E439" s="17"/>
      <c r="F439" s="17"/>
      <c r="G439" s="17"/>
      <c r="H439" s="17"/>
      <c r="I439" s="17"/>
      <c r="J439" s="17"/>
      <c r="K439" s="17"/>
    </row>
    <row r="440" spans="2:11" ht="15.75">
      <c r="B440" s="17"/>
      <c r="C440" s="17"/>
      <c r="D440" s="17"/>
      <c r="E440" s="17"/>
      <c r="F440" s="17"/>
      <c r="G440" s="17"/>
      <c r="H440" s="17"/>
      <c r="I440" s="17"/>
      <c r="J440" s="17"/>
      <c r="K440" s="17"/>
    </row>
    <row r="441" spans="2:11" ht="15.75">
      <c r="B441" s="17"/>
      <c r="C441" s="17"/>
      <c r="D441" s="17"/>
      <c r="E441" s="17"/>
      <c r="F441" s="17"/>
      <c r="G441" s="17"/>
      <c r="H441" s="17"/>
      <c r="I441" s="17"/>
      <c r="J441" s="17"/>
      <c r="K441" s="17"/>
    </row>
    <row r="442" spans="2:11" ht="15.75">
      <c r="B442" s="17"/>
      <c r="C442" s="17"/>
      <c r="D442" s="17"/>
      <c r="E442" s="17"/>
      <c r="F442" s="17"/>
      <c r="G442" s="17"/>
      <c r="H442" s="17"/>
      <c r="I442" s="17"/>
      <c r="J442" s="17"/>
      <c r="K442" s="17"/>
    </row>
    <row r="443" spans="2:11" ht="15.75">
      <c r="B443" s="17"/>
      <c r="C443" s="17"/>
      <c r="D443" s="17"/>
      <c r="E443" s="17"/>
      <c r="F443" s="17"/>
      <c r="G443" s="17"/>
      <c r="H443" s="17"/>
      <c r="I443" s="17"/>
      <c r="J443" s="17"/>
      <c r="K443" s="17"/>
    </row>
    <row r="444" spans="2:11" ht="15.75">
      <c r="B444" s="17"/>
      <c r="C444" s="17"/>
      <c r="D444" s="17"/>
      <c r="E444" s="17"/>
      <c r="F444" s="17"/>
      <c r="G444" s="17"/>
      <c r="H444" s="17"/>
      <c r="I444" s="17"/>
      <c r="J444" s="17"/>
      <c r="K444" s="17"/>
    </row>
    <row r="445" spans="2:11" ht="15.75">
      <c r="B445" s="17"/>
      <c r="C445" s="17"/>
      <c r="D445" s="17"/>
      <c r="E445" s="17"/>
      <c r="F445" s="17"/>
      <c r="G445" s="17"/>
      <c r="H445" s="17"/>
      <c r="I445" s="17"/>
      <c r="J445" s="17"/>
      <c r="K445" s="17"/>
    </row>
    <row r="446" spans="2:11" ht="15.75">
      <c r="B446" s="17"/>
      <c r="C446" s="17"/>
      <c r="D446" s="17"/>
      <c r="E446" s="17"/>
      <c r="F446" s="17"/>
      <c r="G446" s="17"/>
      <c r="H446" s="17"/>
      <c r="I446" s="17"/>
      <c r="J446" s="17"/>
      <c r="K446" s="17"/>
    </row>
  </sheetData>
  <sheetProtection sheet="1" formatCells="0" formatColumns="0" formatRows="0"/>
  <mergeCells count="6">
    <mergeCell ref="G9:G10"/>
    <mergeCell ref="H9:H10"/>
    <mergeCell ref="C9:C10"/>
    <mergeCell ref="D9:D10"/>
    <mergeCell ref="E9:E10"/>
    <mergeCell ref="F9:F10"/>
  </mergeCells>
  <hyperlinks>
    <hyperlink ref="K5" r:id="rId1" display="http://www.montana.edu/extensionecon/cropdownloads.html "/>
  </hyperlinks>
  <printOptions horizontalCentered="1"/>
  <pageMargins left="0.5" right="0.5" top="0.5" bottom="0.5" header="0.5" footer="0.5"/>
  <pageSetup fitToHeight="1" fitToWidth="1" horizontalDpi="300" verticalDpi="300" orientation="portrait" scale="67" r:id="rId5"/>
  <drawing r:id="rId4"/>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T84"/>
  <sheetViews>
    <sheetView showGridLines="0" zoomScalePageLayoutView="0" workbookViewId="0" topLeftCell="A1">
      <selection activeCell="B2" sqref="B2"/>
    </sheetView>
  </sheetViews>
  <sheetFormatPr defaultColWidth="8.796875" defaultRowHeight="15"/>
  <cols>
    <col min="1" max="1" width="4.09765625" style="132" customWidth="1"/>
    <col min="2" max="4" width="12.69921875" style="0" customWidth="1"/>
    <col min="5" max="10" width="11.69921875" style="0" customWidth="1"/>
    <col min="13" max="13" width="11.69921875" style="0" customWidth="1"/>
    <col min="16" max="16" width="10.8984375" style="0" customWidth="1"/>
  </cols>
  <sheetData>
    <row r="1" spans="1:20" ht="15.75">
      <c r="A1" s="258"/>
      <c r="B1" s="55"/>
      <c r="C1" s="55"/>
      <c r="D1" s="55"/>
      <c r="E1" s="55"/>
      <c r="F1" s="55"/>
      <c r="G1" s="55"/>
      <c r="H1" s="55"/>
      <c r="I1" s="55"/>
      <c r="J1" s="55"/>
      <c r="K1" s="55"/>
      <c r="L1" s="55"/>
      <c r="M1" s="55"/>
      <c r="N1" s="55"/>
      <c r="O1" s="55"/>
      <c r="P1" s="55"/>
      <c r="Q1" s="55"/>
      <c r="R1" s="55"/>
      <c r="S1" s="55"/>
      <c r="T1" s="55"/>
    </row>
    <row r="2" spans="1:20" ht="16.5" thickBot="1">
      <c r="A2" s="258"/>
      <c r="B2" s="55"/>
      <c r="C2" s="55"/>
      <c r="D2" s="55"/>
      <c r="E2" s="57" t="str">
        <f>EnterP_Inv!C8</f>
        <v>Crop#1</v>
      </c>
      <c r="F2" s="232" t="str">
        <f>EnterP_Inv!D8</f>
        <v>Crop#2</v>
      </c>
      <c r="G2" s="232" t="str">
        <f>EnterP_Inv!E8</f>
        <v>Crop#3</v>
      </c>
      <c r="H2" s="232" t="str">
        <f>EnterP_Inv!F8</f>
        <v>Crop#4</v>
      </c>
      <c r="I2" s="232" t="str">
        <f>EnterP_Inv!G8</f>
        <v>Crop#5</v>
      </c>
      <c r="J2" s="232" t="str">
        <f>EnterP_Inv!H8</f>
        <v>Crop#6</v>
      </c>
      <c r="K2" s="55"/>
      <c r="L2" s="55"/>
      <c r="M2" s="55"/>
      <c r="N2" s="55"/>
      <c r="O2" s="55"/>
      <c r="P2" s="55"/>
      <c r="Q2" s="55"/>
      <c r="R2" s="55"/>
      <c r="S2" s="55"/>
      <c r="T2" s="55"/>
    </row>
    <row r="3" spans="1:20" ht="15.75">
      <c r="A3" s="258"/>
      <c r="B3" s="55"/>
      <c r="C3" s="55"/>
      <c r="D3" s="55"/>
      <c r="E3" s="283" t="str">
        <f>EnterP_Inv!C9</f>
        <v>Winter Wheat</v>
      </c>
      <c r="F3" s="281" t="str">
        <f>EnterP_Inv!D9</f>
        <v>Spring Wheat</v>
      </c>
      <c r="G3" s="281" t="str">
        <f>EnterP_Inv!E9</f>
        <v>Durum</v>
      </c>
      <c r="H3" s="281" t="str">
        <f>EnterP_Inv!F9</f>
        <v>Malt Barley</v>
      </c>
      <c r="I3" s="281" t="str">
        <f>EnterP_Inv!G9</f>
        <v>Summer Fallow</v>
      </c>
      <c r="J3" s="281" t="str">
        <f>EnterP_Inv!H9</f>
        <v>Not Used</v>
      </c>
      <c r="K3" s="55"/>
      <c r="L3" s="55"/>
      <c r="M3" s="55"/>
      <c r="N3" s="55"/>
      <c r="O3" s="55"/>
      <c r="P3" s="55"/>
      <c r="Q3" s="55"/>
      <c r="R3" s="55"/>
      <c r="S3" s="55"/>
      <c r="T3" s="55"/>
    </row>
    <row r="4" spans="1:20" ht="15.75">
      <c r="A4" s="258"/>
      <c r="B4" s="55"/>
      <c r="C4" s="55"/>
      <c r="D4" s="55"/>
      <c r="E4" s="284"/>
      <c r="F4" s="282"/>
      <c r="G4" s="282"/>
      <c r="H4" s="282"/>
      <c r="I4" s="282"/>
      <c r="J4" s="282"/>
      <c r="K4" s="55"/>
      <c r="L4" s="55"/>
      <c r="M4" s="55"/>
      <c r="N4" s="55"/>
      <c r="O4" s="55"/>
      <c r="P4" s="55"/>
      <c r="Q4" s="55"/>
      <c r="R4" s="55"/>
      <c r="S4" s="55"/>
      <c r="T4" s="55"/>
    </row>
    <row r="5" spans="1:20" ht="15.75">
      <c r="A5" s="258"/>
      <c r="B5" s="55"/>
      <c r="C5" s="55"/>
      <c r="D5" s="55" t="str">
        <f>EnterP_Inv!B12</f>
        <v>Expected Yield</v>
      </c>
      <c r="E5" s="223">
        <f>EnterP_Inv!C12</f>
        <v>42</v>
      </c>
      <c r="F5" s="233">
        <f>EnterP_Inv!D12</f>
        <v>28</v>
      </c>
      <c r="G5" s="233">
        <f>EnterP_Inv!E12</f>
        <v>22</v>
      </c>
      <c r="H5" s="233">
        <f>EnterP_Inv!F12</f>
        <v>52</v>
      </c>
      <c r="I5" s="233">
        <f>EnterP_Inv!G12</f>
        <v>0</v>
      </c>
      <c r="J5" s="233">
        <f>EnterP_Inv!H12</f>
        <v>0</v>
      </c>
      <c r="K5" s="55"/>
      <c r="L5" s="55"/>
      <c r="M5" s="55"/>
      <c r="N5" s="55"/>
      <c r="O5" s="55"/>
      <c r="P5" s="55"/>
      <c r="Q5" s="55"/>
      <c r="R5" s="55"/>
      <c r="S5" s="55"/>
      <c r="T5" s="55"/>
    </row>
    <row r="6" spans="1:20" ht="15.75">
      <c r="A6" s="258"/>
      <c r="B6" s="58" t="s">
        <v>148</v>
      </c>
      <c r="C6" s="58"/>
      <c r="D6" s="156" t="s">
        <v>26</v>
      </c>
      <c r="E6" s="7"/>
      <c r="F6" s="7"/>
      <c r="G6" s="7"/>
      <c r="H6" s="7"/>
      <c r="I6" s="7"/>
      <c r="J6" s="7"/>
      <c r="K6" s="1"/>
      <c r="L6" s="1"/>
      <c r="M6" s="1"/>
      <c r="N6" s="55"/>
      <c r="O6" s="55"/>
      <c r="P6" s="55"/>
      <c r="Q6" s="55"/>
      <c r="R6" s="55"/>
      <c r="S6" s="55"/>
      <c r="T6" s="55"/>
    </row>
    <row r="7" spans="1:20" ht="18.75">
      <c r="A7" s="258"/>
      <c r="B7" s="45" t="str">
        <f>EnterP_Inv!$C$9</f>
        <v>Winter Wheat</v>
      </c>
      <c r="C7" s="55"/>
      <c r="D7" s="46">
        <f>EnterP_Inv!$C$11</f>
        <v>400</v>
      </c>
      <c r="E7" s="18" t="s">
        <v>39</v>
      </c>
      <c r="F7" s="10"/>
      <c r="G7" s="10"/>
      <c r="H7" s="10"/>
      <c r="I7" s="10"/>
      <c r="J7" s="10"/>
      <c r="K7" s="5"/>
      <c r="L7" s="180"/>
      <c r="M7" s="180"/>
      <c r="N7" s="55"/>
      <c r="O7" s="55"/>
      <c r="P7" s="55"/>
      <c r="Q7" s="55"/>
      <c r="R7" s="55"/>
      <c r="S7" s="55"/>
      <c r="T7" s="55"/>
    </row>
    <row r="8" spans="1:20" ht="15.75">
      <c r="A8" s="258"/>
      <c r="B8" s="10"/>
      <c r="C8" s="10"/>
      <c r="D8" s="10"/>
      <c r="E8" s="11"/>
      <c r="F8" s="14" t="s">
        <v>40</v>
      </c>
      <c r="G8" s="15" t="s">
        <v>41</v>
      </c>
      <c r="H8" s="15" t="s">
        <v>2</v>
      </c>
      <c r="I8" s="15" t="s">
        <v>3</v>
      </c>
      <c r="J8" s="15" t="s">
        <v>3</v>
      </c>
      <c r="K8" s="5"/>
      <c r="L8" s="180"/>
      <c r="M8" s="180"/>
      <c r="N8" s="55"/>
      <c r="O8" s="55"/>
      <c r="P8" s="55"/>
      <c r="Q8" s="55"/>
      <c r="R8" s="55"/>
      <c r="S8" s="55"/>
      <c r="T8" s="55"/>
    </row>
    <row r="9" spans="1:20" ht="15.75">
      <c r="A9" s="258"/>
      <c r="B9" s="7"/>
      <c r="C9" s="7"/>
      <c r="D9" s="7"/>
      <c r="E9" s="12"/>
      <c r="F9" s="13" t="s">
        <v>42</v>
      </c>
      <c r="G9" s="9" t="s">
        <v>42</v>
      </c>
      <c r="H9" s="9" t="s">
        <v>7</v>
      </c>
      <c r="I9" s="9" t="s">
        <v>7</v>
      </c>
      <c r="J9" s="9" t="s">
        <v>6</v>
      </c>
      <c r="K9" s="5"/>
      <c r="L9" s="180"/>
      <c r="M9" s="180"/>
      <c r="N9" s="55"/>
      <c r="O9" s="55"/>
      <c r="P9" s="55"/>
      <c r="Q9" s="55"/>
      <c r="R9" s="55"/>
      <c r="S9" s="55"/>
      <c r="T9" s="55"/>
    </row>
    <row r="10" spans="1:20" ht="18.75">
      <c r="A10" s="258"/>
      <c r="B10" s="45" t="s">
        <v>193</v>
      </c>
      <c r="C10" s="7"/>
      <c r="D10" s="7"/>
      <c r="E10" s="19" t="s">
        <v>43</v>
      </c>
      <c r="F10" s="13" t="s">
        <v>44</v>
      </c>
      <c r="G10" s="9" t="s">
        <v>44</v>
      </c>
      <c r="H10" s="9" t="s">
        <v>9</v>
      </c>
      <c r="I10" s="9" t="s">
        <v>9</v>
      </c>
      <c r="J10" s="9" t="s">
        <v>9</v>
      </c>
      <c r="K10" s="5"/>
      <c r="L10" s="180"/>
      <c r="M10" s="180"/>
      <c r="N10" s="55"/>
      <c r="O10" s="55"/>
      <c r="P10" s="55"/>
      <c r="Q10" s="55"/>
      <c r="R10" s="55"/>
      <c r="S10" s="55"/>
      <c r="T10" s="55"/>
    </row>
    <row r="11" spans="1:20" ht="15.75">
      <c r="A11" s="258"/>
      <c r="B11" s="10"/>
      <c r="C11" s="10"/>
      <c r="D11" s="10"/>
      <c r="E11" s="174"/>
      <c r="F11" s="174"/>
      <c r="G11" s="174"/>
      <c r="H11" s="174"/>
      <c r="I11" s="174"/>
      <c r="J11" s="174"/>
      <c r="K11" s="5"/>
      <c r="L11" s="180"/>
      <c r="M11" s="180"/>
      <c r="N11" s="55"/>
      <c r="O11" s="55"/>
      <c r="P11" s="55"/>
      <c r="Q11" s="55"/>
      <c r="R11" s="55"/>
      <c r="S11" s="55"/>
      <c r="T11" s="55"/>
    </row>
    <row r="12" spans="1:20" ht="15.75">
      <c r="A12" s="258"/>
      <c r="B12" s="32" t="s">
        <v>173</v>
      </c>
      <c r="C12" s="7"/>
      <c r="D12" s="7"/>
      <c r="E12" s="154" t="s">
        <v>45</v>
      </c>
      <c r="F12" s="229">
        <v>10.75</v>
      </c>
      <c r="G12" s="147">
        <v>1</v>
      </c>
      <c r="H12" s="155">
        <v>1</v>
      </c>
      <c r="I12" s="168">
        <f>F12*G12*H12*$D$7</f>
        <v>4300</v>
      </c>
      <c r="J12" s="168">
        <f>F12*G12*(1-H12)*$D$7</f>
        <v>0</v>
      </c>
      <c r="K12" s="5"/>
      <c r="L12" s="180"/>
      <c r="M12" s="180"/>
      <c r="N12" s="55"/>
      <c r="O12" s="55"/>
      <c r="P12" s="55"/>
      <c r="Q12" s="55"/>
      <c r="R12" s="55"/>
      <c r="S12" s="55"/>
      <c r="T12" s="55"/>
    </row>
    <row r="13" spans="1:20" ht="15.75">
      <c r="A13" s="258"/>
      <c r="B13" s="32" t="s">
        <v>174</v>
      </c>
      <c r="C13" s="21"/>
      <c r="D13" s="259"/>
      <c r="E13" s="154" t="s">
        <v>46</v>
      </c>
      <c r="F13" s="229">
        <v>24.5</v>
      </c>
      <c r="G13" s="147">
        <v>1</v>
      </c>
      <c r="H13" s="155">
        <v>1</v>
      </c>
      <c r="I13" s="168">
        <f>F13*G13*H13*$D$7*EnterP_Inv!$L$10</f>
        <v>9800</v>
      </c>
      <c r="J13" s="168">
        <f>F13*G13*(1-H13)*$D$7*EnterP_Inv!$L$10</f>
        <v>0</v>
      </c>
      <c r="K13" s="5"/>
      <c r="L13" s="180"/>
      <c r="M13" s="180"/>
      <c r="N13" s="55"/>
      <c r="O13" s="55"/>
      <c r="P13" s="55"/>
      <c r="Q13" s="55"/>
      <c r="R13" s="55"/>
      <c r="S13" s="55"/>
      <c r="T13" s="55"/>
    </row>
    <row r="14" spans="1:20" ht="15.75">
      <c r="A14" s="258"/>
      <c r="B14" s="226"/>
      <c r="C14" s="227"/>
      <c r="D14" s="8"/>
      <c r="E14" s="154" t="s">
        <v>46</v>
      </c>
      <c r="F14" s="229">
        <v>0</v>
      </c>
      <c r="G14" s="147">
        <v>1</v>
      </c>
      <c r="H14" s="155">
        <v>1</v>
      </c>
      <c r="I14" s="168">
        <f>F14*G14*H14*$D$7*EnterP_Inv!$L$10</f>
        <v>0</v>
      </c>
      <c r="J14" s="168">
        <f>F14*G14*(1-H14)*$D$7*EnterP_Inv!$L$10</f>
        <v>0</v>
      </c>
      <c r="K14" s="5"/>
      <c r="L14" s="180"/>
      <c r="M14" s="180"/>
      <c r="N14" s="55"/>
      <c r="O14" s="55"/>
      <c r="P14" s="55"/>
      <c r="Q14" s="55"/>
      <c r="R14" s="55"/>
      <c r="S14" s="55"/>
      <c r="T14" s="55"/>
    </row>
    <row r="15" spans="1:20" ht="15.75">
      <c r="A15" s="258"/>
      <c r="B15" s="226"/>
      <c r="C15" s="227"/>
      <c r="D15" s="8"/>
      <c r="E15" s="154" t="s">
        <v>46</v>
      </c>
      <c r="F15" s="229">
        <v>0</v>
      </c>
      <c r="G15" s="147">
        <v>1</v>
      </c>
      <c r="H15" s="155">
        <v>1</v>
      </c>
      <c r="I15" s="168">
        <f>F15*G15*H15*$D$7*EnterP_Inv!$L$10</f>
        <v>0</v>
      </c>
      <c r="J15" s="168">
        <f>F15*G15*(1-H15)*$D$7*EnterP_Inv!$L$10</f>
        <v>0</v>
      </c>
      <c r="K15" s="5"/>
      <c r="L15" s="180"/>
      <c r="M15" s="180"/>
      <c r="N15" s="55"/>
      <c r="O15" s="55"/>
      <c r="P15" s="260" t="s">
        <v>220</v>
      </c>
      <c r="Q15" s="55"/>
      <c r="R15" s="55"/>
      <c r="S15" s="55"/>
      <c r="T15" s="55"/>
    </row>
    <row r="16" spans="1:20" ht="15.75">
      <c r="A16" s="258"/>
      <c r="B16" s="32" t="s">
        <v>198</v>
      </c>
      <c r="C16" s="7"/>
      <c r="D16" s="21"/>
      <c r="E16" s="154" t="s">
        <v>47</v>
      </c>
      <c r="F16" s="229">
        <v>0</v>
      </c>
      <c r="G16" s="147">
        <v>1</v>
      </c>
      <c r="H16" s="155">
        <v>1</v>
      </c>
      <c r="I16" s="168">
        <f>F16*G16*H16*$D$7</f>
        <v>0</v>
      </c>
      <c r="J16" s="168">
        <f>F16*G16*(1-H16)*$D$7</f>
        <v>0</v>
      </c>
      <c r="K16" s="5"/>
      <c r="L16" s="180"/>
      <c r="M16" s="180"/>
      <c r="N16" s="55"/>
      <c r="O16" s="55"/>
      <c r="P16" s="261" t="s">
        <v>221</v>
      </c>
      <c r="Q16" s="55"/>
      <c r="R16" s="55"/>
      <c r="S16" s="55"/>
      <c r="T16" s="55"/>
    </row>
    <row r="17" spans="1:20" ht="15.75">
      <c r="A17" s="258"/>
      <c r="B17" s="32" t="s">
        <v>175</v>
      </c>
      <c r="C17" s="21"/>
      <c r="D17" s="259"/>
      <c r="E17" s="154" t="s">
        <v>210</v>
      </c>
      <c r="F17" s="229">
        <v>0</v>
      </c>
      <c r="G17" s="147">
        <v>1</v>
      </c>
      <c r="H17" s="155">
        <v>0</v>
      </c>
      <c r="I17" s="168">
        <f>F17*G17*H17*$D$7*EnterP_Inv!$L$11</f>
        <v>0</v>
      </c>
      <c r="J17" s="168">
        <f>F17*G17*(1-H17)*$D$7*EnterP_Inv!$L$11</f>
        <v>0</v>
      </c>
      <c r="K17" s="5"/>
      <c r="L17" s="180"/>
      <c r="M17" s="180"/>
      <c r="N17" s="55"/>
      <c r="O17" s="55"/>
      <c r="P17" s="262" t="s">
        <v>222</v>
      </c>
      <c r="Q17" s="55"/>
      <c r="R17" s="55"/>
      <c r="S17" s="55"/>
      <c r="T17" s="55"/>
    </row>
    <row r="18" spans="1:20" ht="15.75">
      <c r="A18" s="258"/>
      <c r="B18" s="226"/>
      <c r="C18" s="227" t="s">
        <v>212</v>
      </c>
      <c r="D18" s="20"/>
      <c r="E18" s="154" t="s">
        <v>210</v>
      </c>
      <c r="F18" s="229">
        <v>1100</v>
      </c>
      <c r="G18" s="147">
        <v>0.024</v>
      </c>
      <c r="H18" s="155">
        <v>0.76</v>
      </c>
      <c r="I18" s="168">
        <f>F18*G18*H18*$D$7*EnterP_Inv!$L$11</f>
        <v>8025.600000000001</v>
      </c>
      <c r="J18" s="168">
        <f>F18*G18*(1-H18)*$D$7*EnterP_Inv!$L$11</f>
        <v>2534.4</v>
      </c>
      <c r="K18" s="5"/>
      <c r="L18" s="180"/>
      <c r="M18" s="180"/>
      <c r="N18" s="223" t="s">
        <v>212</v>
      </c>
      <c r="O18" s="277">
        <v>0.024038461538461543</v>
      </c>
      <c r="P18" s="263">
        <f>2000*O18</f>
        <v>48.07692307692309</v>
      </c>
      <c r="Q18" s="55"/>
      <c r="R18" s="55"/>
      <c r="S18" s="55"/>
      <c r="T18" s="55"/>
    </row>
    <row r="19" spans="1:20" ht="15.75">
      <c r="A19" s="258"/>
      <c r="B19" s="226"/>
      <c r="C19" s="227" t="s">
        <v>211</v>
      </c>
      <c r="D19" s="8"/>
      <c r="E19" s="154" t="s">
        <v>236</v>
      </c>
      <c r="F19" s="229">
        <v>0.6</v>
      </c>
      <c r="G19" s="147">
        <v>105</v>
      </c>
      <c r="H19" s="155">
        <v>0.76</v>
      </c>
      <c r="I19" s="168">
        <f>F19*G19*H19*$D$7*EnterP_Inv!$L$11</f>
        <v>19152</v>
      </c>
      <c r="J19" s="168">
        <f>F19*G19*(1-H19)*$D$7*EnterP_Inv!$L$11</f>
        <v>6048</v>
      </c>
      <c r="K19" s="5"/>
      <c r="L19" s="180"/>
      <c r="M19" s="180" t="s">
        <v>217</v>
      </c>
      <c r="N19" s="120">
        <f>2000*0.11</f>
        <v>220</v>
      </c>
      <c r="O19" s="264">
        <f>N19*$O$18</f>
        <v>5.288461538461539</v>
      </c>
      <c r="P19" s="55"/>
      <c r="Q19" s="55"/>
      <c r="R19" s="55"/>
      <c r="S19" s="55"/>
      <c r="T19" s="55"/>
    </row>
    <row r="20" spans="1:20" ht="15.75">
      <c r="A20" s="258"/>
      <c r="B20" s="32" t="s">
        <v>199</v>
      </c>
      <c r="C20" s="7"/>
      <c r="D20" s="7"/>
      <c r="E20" s="154" t="s">
        <v>47</v>
      </c>
      <c r="F20" s="229">
        <v>4</v>
      </c>
      <c r="G20" s="147">
        <v>1</v>
      </c>
      <c r="H20" s="155">
        <v>1</v>
      </c>
      <c r="I20" s="168">
        <f>F20*G20*H20*$D$7</f>
        <v>1600</v>
      </c>
      <c r="J20" s="168">
        <f>F20*G20*(1-H20)*$D$7</f>
        <v>0</v>
      </c>
      <c r="K20" s="5"/>
      <c r="L20" s="180"/>
      <c r="M20" s="180" t="s">
        <v>218</v>
      </c>
      <c r="N20" s="120">
        <f>2000*0.52</f>
        <v>1040</v>
      </c>
      <c r="O20" s="264">
        <f>N20*$O$18</f>
        <v>25.000000000000004</v>
      </c>
      <c r="P20" s="55"/>
      <c r="Q20" s="55"/>
      <c r="R20" s="55"/>
      <c r="S20" s="55"/>
      <c r="T20" s="55"/>
    </row>
    <row r="21" spans="1:20" ht="15.75">
      <c r="A21" s="258"/>
      <c r="B21" s="32" t="s">
        <v>176</v>
      </c>
      <c r="C21" s="7"/>
      <c r="D21" s="7"/>
      <c r="E21" s="154" t="s">
        <v>47</v>
      </c>
      <c r="F21" s="229">
        <v>17</v>
      </c>
      <c r="G21" s="147">
        <v>1</v>
      </c>
      <c r="H21" s="155">
        <v>1</v>
      </c>
      <c r="I21" s="168">
        <f>F21*G21*H21*$D$7</f>
        <v>6800</v>
      </c>
      <c r="J21" s="168">
        <f>F21*G21*(1-H21)*$D$7</f>
        <v>0</v>
      </c>
      <c r="K21" s="5"/>
      <c r="L21" s="180"/>
      <c r="M21" s="225" t="s">
        <v>219</v>
      </c>
      <c r="N21" s="121">
        <f>2000-(N19+N20)</f>
        <v>740</v>
      </c>
      <c r="O21" s="264">
        <f>N21*$O$18</f>
        <v>17.788461538461544</v>
      </c>
      <c r="P21" s="55"/>
      <c r="Q21" s="55"/>
      <c r="R21" s="55"/>
      <c r="S21" s="55"/>
      <c r="T21" s="55"/>
    </row>
    <row r="22" spans="1:20" ht="15.75">
      <c r="A22" s="258"/>
      <c r="B22" s="32" t="s">
        <v>213</v>
      </c>
      <c r="C22" s="7"/>
      <c r="D22" s="7"/>
      <c r="E22" s="265"/>
      <c r="F22" s="266"/>
      <c r="G22" s="267"/>
      <c r="H22" s="268"/>
      <c r="I22" s="173"/>
      <c r="J22" s="173"/>
      <c r="K22" s="5"/>
      <c r="L22" s="180"/>
      <c r="M22" s="180" t="s">
        <v>223</v>
      </c>
      <c r="N22" s="120">
        <f>SUM(N19:N21)</f>
        <v>2000</v>
      </c>
      <c r="O22" s="55"/>
      <c r="P22" s="55"/>
      <c r="Q22" s="55"/>
      <c r="R22" s="55"/>
      <c r="S22" s="55"/>
      <c r="T22" s="55"/>
    </row>
    <row r="23" spans="1:20" ht="15.75">
      <c r="A23" s="258"/>
      <c r="B23" s="6" t="s">
        <v>171</v>
      </c>
      <c r="C23" s="7"/>
      <c r="D23" s="7"/>
      <c r="E23" s="154" t="s">
        <v>46</v>
      </c>
      <c r="F23" s="229">
        <f>(7706+6652+2221+385+333+111)/4500</f>
        <v>3.8684444444444446</v>
      </c>
      <c r="G23" s="147">
        <v>1</v>
      </c>
      <c r="H23" s="155">
        <v>1</v>
      </c>
      <c r="I23" s="168">
        <f>IF(F23&gt;100,F23*G23*H23,+F23*G23*H23*$D$7)*EnterP_Inv!$L$12</f>
        <v>1547.3777777777777</v>
      </c>
      <c r="J23" s="168">
        <f>(IF(F23&gt;100,F23*G23*(1-H23),F23*G23*(1-H23)*$D$7))*EnterP_Inv!$L$12</f>
        <v>0</v>
      </c>
      <c r="K23" s="5"/>
      <c r="L23" s="180"/>
      <c r="M23" s="180" t="s">
        <v>224</v>
      </c>
      <c r="N23" s="276">
        <v>1100</v>
      </c>
      <c r="O23" s="55"/>
      <c r="P23" s="55"/>
      <c r="Q23" s="55"/>
      <c r="R23" s="55"/>
      <c r="S23" s="55"/>
      <c r="T23" s="55"/>
    </row>
    <row r="24" spans="1:20" ht="15.75">
      <c r="A24" s="258"/>
      <c r="B24" s="6" t="s">
        <v>172</v>
      </c>
      <c r="C24" s="7"/>
      <c r="D24" s="7"/>
      <c r="E24" s="154" t="s">
        <v>46</v>
      </c>
      <c r="F24" s="229">
        <f>(1168+1911+947+1425)/4500</f>
        <v>1.2113333333333334</v>
      </c>
      <c r="G24" s="147">
        <v>1</v>
      </c>
      <c r="H24" s="155">
        <v>1</v>
      </c>
      <c r="I24" s="168">
        <f>IF(F24&gt;100,F24*G24*H24,+F24*G24*H24*$D$7)</f>
        <v>484.53333333333336</v>
      </c>
      <c r="J24" s="168">
        <f>IF(F24&gt;100,F24*G24*(1-H24),F24*G24*(1-H24)*$D$7)</f>
        <v>0</v>
      </c>
      <c r="K24" s="5"/>
      <c r="L24" s="180"/>
      <c r="M24" s="55"/>
      <c r="N24" s="224">
        <f>N23/2000</f>
        <v>0.55</v>
      </c>
      <c r="O24" s="180" t="s">
        <v>225</v>
      </c>
      <c r="P24" s="55"/>
      <c r="Q24" s="55"/>
      <c r="R24" s="55"/>
      <c r="S24" s="55"/>
      <c r="T24" s="55"/>
    </row>
    <row r="25" spans="1:20" ht="15.75">
      <c r="A25" s="258"/>
      <c r="B25" s="32" t="s">
        <v>177</v>
      </c>
      <c r="C25" s="7"/>
      <c r="D25" s="7"/>
      <c r="E25" s="265"/>
      <c r="F25" s="266"/>
      <c r="G25" s="267"/>
      <c r="H25" s="268"/>
      <c r="I25" s="173"/>
      <c r="J25" s="173"/>
      <c r="K25" s="5"/>
      <c r="L25" s="180"/>
      <c r="M25" s="180"/>
      <c r="N25" s="55"/>
      <c r="O25" s="55"/>
      <c r="P25" s="55"/>
      <c r="Q25" s="55"/>
      <c r="R25" s="55"/>
      <c r="S25" s="55"/>
      <c r="T25" s="55"/>
    </row>
    <row r="26" spans="1:20" ht="15.75">
      <c r="A26" s="258"/>
      <c r="B26" s="6" t="s">
        <v>171</v>
      </c>
      <c r="C26" s="7"/>
      <c r="D26" s="7"/>
      <c r="E26" s="154" t="s">
        <v>46</v>
      </c>
      <c r="F26" s="229">
        <f>(2700+135+6738+2166+337+108)/4500</f>
        <v>2.7075555555555555</v>
      </c>
      <c r="G26" s="147">
        <v>1</v>
      </c>
      <c r="H26" s="155">
        <v>1</v>
      </c>
      <c r="I26" s="168">
        <f>IF(F26&gt;100,F26*G26*H26,+F26*G26*H26*$D$7)*EnterP_Inv!$L$12</f>
        <v>1083.0222222222221</v>
      </c>
      <c r="J26" s="168">
        <f>(IF(F26&gt;100,F26*G26*(1-H26),F26*G26*(1-H26)*$D$7))*EnterP_Inv!$L$12</f>
        <v>0</v>
      </c>
      <c r="K26" s="5"/>
      <c r="L26" s="180"/>
      <c r="M26" s="180"/>
      <c r="N26" s="55"/>
      <c r="O26" s="55"/>
      <c r="P26" s="55"/>
      <c r="Q26" s="55"/>
      <c r="R26" s="55"/>
      <c r="S26" s="55"/>
      <c r="T26" s="55"/>
    </row>
    <row r="27" spans="1:20" ht="15.75">
      <c r="A27" s="258"/>
      <c r="B27" s="6" t="s">
        <v>172</v>
      </c>
      <c r="C27" s="7"/>
      <c r="D27" s="7"/>
      <c r="E27" s="154" t="s">
        <v>46</v>
      </c>
      <c r="F27" s="229">
        <f>(4957+7643+2917+804)/4500</f>
        <v>3.626888888888889</v>
      </c>
      <c r="G27" s="147">
        <v>1</v>
      </c>
      <c r="H27" s="155">
        <v>1</v>
      </c>
      <c r="I27" s="168">
        <f>IF(F27&gt;100,F27*G27*H27,+F27*G27*H27*$D$7)</f>
        <v>1450.7555555555555</v>
      </c>
      <c r="J27" s="168">
        <f>IF(F27&gt;100,F27*G27*(1-H27),F27*G27*(1-H27)*$D$7)</f>
        <v>0</v>
      </c>
      <c r="K27" s="5"/>
      <c r="L27" s="180"/>
      <c r="M27" s="180"/>
      <c r="N27" s="125" t="s">
        <v>211</v>
      </c>
      <c r="O27" s="55"/>
      <c r="P27" s="55"/>
      <c r="Q27" s="55"/>
      <c r="R27" s="55"/>
      <c r="S27" s="55"/>
      <c r="T27" s="55"/>
    </row>
    <row r="28" spans="1:20" ht="15.75">
      <c r="A28" s="258"/>
      <c r="B28" s="32" t="s">
        <v>178</v>
      </c>
      <c r="C28" s="7"/>
      <c r="D28" s="7"/>
      <c r="E28" s="265"/>
      <c r="F28" s="266" t="s">
        <v>49</v>
      </c>
      <c r="G28" s="267"/>
      <c r="H28" s="268"/>
      <c r="I28" s="173"/>
      <c r="J28" s="173"/>
      <c r="K28" s="5"/>
      <c r="L28" s="180"/>
      <c r="M28" s="180"/>
      <c r="N28" s="120">
        <f>2000*0.46</f>
        <v>920</v>
      </c>
      <c r="O28" s="55" t="s">
        <v>216</v>
      </c>
      <c r="P28" s="55"/>
      <c r="Q28" s="55"/>
      <c r="R28" s="55"/>
      <c r="S28" s="55"/>
      <c r="T28" s="55"/>
    </row>
    <row r="29" spans="1:20" ht="15.75">
      <c r="A29" s="258"/>
      <c r="B29" s="6" t="s">
        <v>185</v>
      </c>
      <c r="C29" s="7"/>
      <c r="D29" s="7"/>
      <c r="E29" s="154" t="s">
        <v>50</v>
      </c>
      <c r="F29" s="229">
        <v>0</v>
      </c>
      <c r="G29" s="147">
        <v>0</v>
      </c>
      <c r="H29" s="155">
        <v>1</v>
      </c>
      <c r="I29" s="168">
        <f>F29*G29*H29*$D$7</f>
        <v>0</v>
      </c>
      <c r="J29" s="168">
        <f>F29*G29*(1-H29)*$D$7</f>
        <v>0</v>
      </c>
      <c r="K29" s="5"/>
      <c r="L29" s="180"/>
      <c r="M29" s="180"/>
      <c r="N29" s="276">
        <v>600</v>
      </c>
      <c r="O29" s="55" t="s">
        <v>226</v>
      </c>
      <c r="P29" s="55"/>
      <c r="Q29" s="55"/>
      <c r="R29" s="55"/>
      <c r="S29" s="55"/>
      <c r="T29" s="55"/>
    </row>
    <row r="30" spans="1:20" ht="15.75">
      <c r="A30" s="258"/>
      <c r="B30" s="6" t="s">
        <v>186</v>
      </c>
      <c r="C30" s="7"/>
      <c r="D30" s="7"/>
      <c r="E30" s="154" t="s">
        <v>50</v>
      </c>
      <c r="F30" s="229">
        <v>0</v>
      </c>
      <c r="G30" s="147">
        <v>0</v>
      </c>
      <c r="H30" s="155">
        <v>1</v>
      </c>
      <c r="I30" s="168">
        <f>F30*G30*H30*$D$7</f>
        <v>0</v>
      </c>
      <c r="J30" s="168">
        <f>F30*G30*(1-H30)*$D$7</f>
        <v>0</v>
      </c>
      <c r="K30" s="5"/>
      <c r="L30" s="180"/>
      <c r="M30" s="180"/>
      <c r="N30" s="224">
        <f>N29/920</f>
        <v>0.6521739130434783</v>
      </c>
      <c r="O30" s="55" t="s">
        <v>227</v>
      </c>
      <c r="P30" s="55"/>
      <c r="Q30" s="55"/>
      <c r="R30" s="55"/>
      <c r="S30" s="55"/>
      <c r="T30" s="55"/>
    </row>
    <row r="31" spans="1:20" ht="15.75">
      <c r="A31" s="258"/>
      <c r="B31" s="6" t="s">
        <v>187</v>
      </c>
      <c r="C31" s="7"/>
      <c r="D31" s="7"/>
      <c r="E31" s="154" t="s">
        <v>50</v>
      </c>
      <c r="F31" s="229">
        <v>0</v>
      </c>
      <c r="G31" s="147">
        <v>0</v>
      </c>
      <c r="H31" s="177">
        <v>1</v>
      </c>
      <c r="I31" s="181">
        <f>F31*G31*H31*$D$7</f>
        <v>0</v>
      </c>
      <c r="J31" s="182">
        <f>F31*G31*(1-H31)*$D$7</f>
        <v>0</v>
      </c>
      <c r="K31" s="5"/>
      <c r="L31" s="180"/>
      <c r="M31" s="180"/>
      <c r="N31" s="55"/>
      <c r="O31" s="55"/>
      <c r="P31" s="55"/>
      <c r="Q31" s="55"/>
      <c r="R31" s="55"/>
      <c r="S31" s="55"/>
      <c r="T31" s="55"/>
    </row>
    <row r="32" spans="1:20" ht="15.75">
      <c r="A32" s="258"/>
      <c r="B32" s="32" t="s">
        <v>179</v>
      </c>
      <c r="C32" s="7"/>
      <c r="D32" s="7"/>
      <c r="E32" s="174"/>
      <c r="F32" s="231" t="s">
        <v>49</v>
      </c>
      <c r="G32" s="174"/>
      <c r="H32" s="176"/>
      <c r="I32" s="176"/>
      <c r="J32" s="176"/>
      <c r="K32" s="180"/>
      <c r="L32" s="180"/>
      <c r="M32" s="180"/>
      <c r="N32" s="55"/>
      <c r="O32" s="55"/>
      <c r="P32" s="55"/>
      <c r="Q32" s="55"/>
      <c r="R32" s="55"/>
      <c r="S32" s="55"/>
      <c r="T32" s="55"/>
    </row>
    <row r="33" spans="1:20" ht="15.75">
      <c r="A33" s="258"/>
      <c r="B33" s="6" t="s">
        <v>180</v>
      </c>
      <c r="C33" s="7"/>
      <c r="D33" s="7"/>
      <c r="E33" s="154" t="s">
        <v>50</v>
      </c>
      <c r="F33" s="229">
        <v>0</v>
      </c>
      <c r="G33" s="147">
        <v>1</v>
      </c>
      <c r="H33" s="176"/>
      <c r="I33" s="176"/>
      <c r="J33" s="168">
        <f>F33*G33*$D$7</f>
        <v>0</v>
      </c>
      <c r="K33" s="5"/>
      <c r="L33" s="180"/>
      <c r="M33" s="180"/>
      <c r="N33" s="55"/>
      <c r="O33" s="55"/>
      <c r="P33" s="55"/>
      <c r="Q33" s="55"/>
      <c r="R33" s="55"/>
      <c r="S33" s="55"/>
      <c r="T33" s="55"/>
    </row>
    <row r="34" spans="1:20" ht="15.75">
      <c r="A34" s="258"/>
      <c r="B34" s="6" t="s">
        <v>181</v>
      </c>
      <c r="C34" s="7"/>
      <c r="D34" s="7"/>
      <c r="E34" s="154" t="s">
        <v>50</v>
      </c>
      <c r="F34" s="229">
        <v>10</v>
      </c>
      <c r="G34" s="147">
        <v>0.4</v>
      </c>
      <c r="H34" s="176"/>
      <c r="I34" s="175">
        <f>F34*G34*$D$7</f>
        <v>1600</v>
      </c>
      <c r="J34" s="176"/>
      <c r="K34" s="5"/>
      <c r="L34" s="180"/>
      <c r="M34" s="180"/>
      <c r="N34" s="55"/>
      <c r="O34" s="55"/>
      <c r="P34" s="55"/>
      <c r="Q34" s="55"/>
      <c r="R34" s="55"/>
      <c r="S34" s="55"/>
      <c r="T34" s="55"/>
    </row>
    <row r="35" spans="1:20" ht="15.75">
      <c r="A35" s="258"/>
      <c r="B35" s="6" t="s">
        <v>182</v>
      </c>
      <c r="C35" s="7"/>
      <c r="D35" s="7"/>
      <c r="E35" s="154" t="s">
        <v>50</v>
      </c>
      <c r="F35" s="229">
        <v>0</v>
      </c>
      <c r="G35" s="147">
        <v>0.25</v>
      </c>
      <c r="H35" s="176"/>
      <c r="I35" s="175">
        <f>F35*G35*$D$7</f>
        <v>0</v>
      </c>
      <c r="J35" s="176"/>
      <c r="K35" s="5"/>
      <c r="L35" s="180"/>
      <c r="M35" s="180"/>
      <c r="N35" s="55"/>
      <c r="O35" s="55"/>
      <c r="P35" s="55"/>
      <c r="Q35" s="55"/>
      <c r="R35" s="55"/>
      <c r="S35" s="55"/>
      <c r="T35" s="55"/>
    </row>
    <row r="36" spans="1:20" ht="15.75">
      <c r="A36" s="258"/>
      <c r="B36" s="6" t="s">
        <v>183</v>
      </c>
      <c r="C36" s="7"/>
      <c r="D36" s="7"/>
      <c r="E36" s="154" t="s">
        <v>50</v>
      </c>
      <c r="F36" s="229">
        <v>0</v>
      </c>
      <c r="G36" s="147">
        <v>1</v>
      </c>
      <c r="H36" s="176"/>
      <c r="I36" s="175">
        <f>F36*G36*$D$7</f>
        <v>0</v>
      </c>
      <c r="J36" s="176"/>
      <c r="K36" s="5"/>
      <c r="L36" s="180"/>
      <c r="M36" s="180"/>
      <c r="N36" s="55"/>
      <c r="O36" s="55"/>
      <c r="P36" s="55"/>
      <c r="Q36" s="55"/>
      <c r="R36" s="55"/>
      <c r="S36" s="55"/>
      <c r="T36" s="55"/>
    </row>
    <row r="37" spans="1:20" ht="15.75">
      <c r="A37" s="258"/>
      <c r="B37" s="274" t="s">
        <v>200</v>
      </c>
      <c r="C37" s="8"/>
      <c r="D37" s="275"/>
      <c r="E37" s="154" t="s">
        <v>47</v>
      </c>
      <c r="F37" s="229">
        <v>0</v>
      </c>
      <c r="G37" s="147">
        <v>1</v>
      </c>
      <c r="H37" s="155">
        <v>1</v>
      </c>
      <c r="I37" s="168">
        <f>F37*G37*H37*$D$7</f>
        <v>0</v>
      </c>
      <c r="J37" s="168">
        <f>F37*G37*(1-H37)*$D$7</f>
        <v>0</v>
      </c>
      <c r="K37" s="5"/>
      <c r="L37" s="180"/>
      <c r="M37" s="180"/>
      <c r="N37" s="55"/>
      <c r="O37" s="55"/>
      <c r="P37" s="55"/>
      <c r="Q37" s="55"/>
      <c r="R37" s="55"/>
      <c r="S37" s="55"/>
      <c r="T37" s="55"/>
    </row>
    <row r="38" spans="1:20" ht="15.75">
      <c r="A38" s="258"/>
      <c r="B38" s="274" t="s">
        <v>201</v>
      </c>
      <c r="C38" s="8"/>
      <c r="D38" s="275"/>
      <c r="E38" s="154" t="s">
        <v>47</v>
      </c>
      <c r="F38" s="229">
        <v>0</v>
      </c>
      <c r="G38" s="147">
        <v>1</v>
      </c>
      <c r="H38" s="155">
        <v>1</v>
      </c>
      <c r="I38" s="168">
        <f>F38*G38*H38*$D$7</f>
        <v>0</v>
      </c>
      <c r="J38" s="168">
        <f>F38*G38*(1-H38)*$D$7</f>
        <v>0</v>
      </c>
      <c r="K38" s="5"/>
      <c r="L38" s="180"/>
      <c r="M38" s="180"/>
      <c r="N38" s="55"/>
      <c r="O38" s="55"/>
      <c r="P38" s="55"/>
      <c r="Q38" s="55"/>
      <c r="R38" s="55"/>
      <c r="S38" s="55"/>
      <c r="T38" s="55"/>
    </row>
    <row r="39" spans="1:20" ht="15.75">
      <c r="A39" s="258"/>
      <c r="B39" s="32" t="s">
        <v>184</v>
      </c>
      <c r="C39" s="7"/>
      <c r="D39" s="7"/>
      <c r="E39" s="154" t="s">
        <v>51</v>
      </c>
      <c r="F39" s="176"/>
      <c r="G39" s="176"/>
      <c r="H39" s="176"/>
      <c r="I39" s="168">
        <f>(SUM(I12:I31)+I37+I38)*EnterP_Inv!$C$17/12*$F$40</f>
        <v>1898.5151111111118</v>
      </c>
      <c r="J39" s="168">
        <f>(SUM(J12:J31)+J37+J38)*EnterP_Inv!$C$17/12*$F$40</f>
        <v>300.384</v>
      </c>
      <c r="K39" s="5"/>
      <c r="L39" s="180"/>
      <c r="M39" s="180"/>
      <c r="N39" s="55"/>
      <c r="O39" s="55"/>
      <c r="P39" s="55"/>
      <c r="Q39" s="55"/>
      <c r="R39" s="55"/>
      <c r="S39" s="55"/>
      <c r="T39" s="55"/>
    </row>
    <row r="40" spans="1:20" ht="15.75">
      <c r="A40" s="258"/>
      <c r="B40" s="6" t="s">
        <v>192</v>
      </c>
      <c r="C40" s="7"/>
      <c r="D40" s="7"/>
      <c r="E40" s="176"/>
      <c r="F40" s="147">
        <v>6</v>
      </c>
      <c r="G40" s="176"/>
      <c r="H40" s="176"/>
      <c r="I40" s="178"/>
      <c r="J40" s="179"/>
      <c r="K40" s="5"/>
      <c r="L40" s="180"/>
      <c r="M40" s="180"/>
      <c r="N40" s="55"/>
      <c r="O40" s="55"/>
      <c r="P40" s="55"/>
      <c r="Q40" s="55"/>
      <c r="R40" s="55"/>
      <c r="S40" s="55"/>
      <c r="T40" s="55"/>
    </row>
    <row r="41" spans="1:20" ht="18.75">
      <c r="A41" s="258"/>
      <c r="B41" s="150" t="s">
        <v>194</v>
      </c>
      <c r="C41" s="10"/>
      <c r="D41" s="10"/>
      <c r="E41" s="174"/>
      <c r="F41" s="174"/>
      <c r="G41" s="174"/>
      <c r="H41" s="174"/>
      <c r="I41" s="176"/>
      <c r="J41" s="176"/>
      <c r="K41" s="5"/>
      <c r="L41" s="180"/>
      <c r="M41" s="180"/>
      <c r="N41" s="55"/>
      <c r="O41" s="55"/>
      <c r="P41" s="55"/>
      <c r="Q41" s="55"/>
      <c r="R41" s="55"/>
      <c r="S41" s="55"/>
      <c r="T41" s="55"/>
    </row>
    <row r="42" spans="1:20" ht="15.75">
      <c r="A42" s="258"/>
      <c r="B42" s="32" t="s">
        <v>188</v>
      </c>
      <c r="C42" s="7"/>
      <c r="D42" s="7"/>
      <c r="E42" s="265"/>
      <c r="F42" s="269"/>
      <c r="G42" s="267"/>
      <c r="H42" s="268"/>
      <c r="I42" s="173"/>
      <c r="J42" s="173"/>
      <c r="K42" s="5"/>
      <c r="L42" s="180"/>
      <c r="M42" s="180"/>
      <c r="N42" s="55"/>
      <c r="O42" s="55"/>
      <c r="P42" s="55"/>
      <c r="Q42" s="55"/>
      <c r="R42" s="55"/>
      <c r="S42" s="55"/>
      <c r="T42" s="55"/>
    </row>
    <row r="43" spans="1:20" ht="15.75">
      <c r="A43" s="258"/>
      <c r="B43" s="6" t="s">
        <v>171</v>
      </c>
      <c r="C43" s="7"/>
      <c r="D43" s="7"/>
      <c r="E43" s="154" t="s">
        <v>47</v>
      </c>
      <c r="F43" s="229">
        <f>(10808+540)/4500</f>
        <v>2.521777777777778</v>
      </c>
      <c r="G43" s="147">
        <v>1</v>
      </c>
      <c r="H43" s="155">
        <v>1</v>
      </c>
      <c r="I43" s="168">
        <f>IF(F43&gt;100,F43*G43*H43,+F43*G43*H43*$D$7)*EnterP_Inv!$L$12</f>
        <v>1008.7111111111111</v>
      </c>
      <c r="J43" s="168">
        <f>(IF(F43&gt;100,F43*G43*(1-H43),F43*G43*(1-H43)*$D$7))*EnterP_Inv!$L$12</f>
        <v>0</v>
      </c>
      <c r="K43" s="5"/>
      <c r="L43" s="180"/>
      <c r="M43" s="180"/>
      <c r="N43" s="55"/>
      <c r="O43" s="55"/>
      <c r="P43" s="55"/>
      <c r="Q43" s="55"/>
      <c r="R43" s="55"/>
      <c r="S43" s="55"/>
      <c r="T43" s="55"/>
    </row>
    <row r="44" spans="1:20" ht="15.75">
      <c r="A44" s="258"/>
      <c r="B44" s="6" t="s">
        <v>172</v>
      </c>
      <c r="C44" s="7"/>
      <c r="D44" s="7"/>
      <c r="E44" s="154" t="s">
        <v>46</v>
      </c>
      <c r="F44" s="229">
        <f>14800/4500</f>
        <v>3.2888888888888888</v>
      </c>
      <c r="G44" s="147">
        <v>1</v>
      </c>
      <c r="H44" s="155">
        <v>1</v>
      </c>
      <c r="I44" s="168">
        <f>IF(F44&gt;100,F44*G44*H44,+F44*G44*H44*$D$7)</f>
        <v>1315.5555555555554</v>
      </c>
      <c r="J44" s="168">
        <f>IF(F44&gt;100,F44*G44*(1-H44),F44*G44*(1-H44)*$D$7)</f>
        <v>0</v>
      </c>
      <c r="K44" s="5"/>
      <c r="L44" s="180"/>
      <c r="M44" s="180"/>
      <c r="N44" s="55"/>
      <c r="O44" s="55"/>
      <c r="P44" s="55"/>
      <c r="Q44" s="55"/>
      <c r="R44" s="55"/>
      <c r="S44" s="55"/>
      <c r="T44" s="55"/>
    </row>
    <row r="45" spans="1:20" ht="15.75">
      <c r="A45" s="258"/>
      <c r="B45" s="6" t="s">
        <v>202</v>
      </c>
      <c r="C45" s="7"/>
      <c r="D45" s="7"/>
      <c r="E45" s="154" t="s">
        <v>46</v>
      </c>
      <c r="F45" s="229"/>
      <c r="G45" s="147"/>
      <c r="H45" s="155">
        <v>1</v>
      </c>
      <c r="I45" s="168">
        <f>IF(F45&gt;100,F45*G45*H45,+F45*G45*H45*$D$7)</f>
        <v>0</v>
      </c>
      <c r="J45" s="168">
        <f>IF(F45&gt;100,F45*G45*(1-H45),F45*G45*(1-H45)*$D$7)</f>
        <v>0</v>
      </c>
      <c r="K45" s="5"/>
      <c r="L45" s="180"/>
      <c r="M45" s="180"/>
      <c r="N45" s="55"/>
      <c r="O45" s="55"/>
      <c r="P45" s="55"/>
      <c r="Q45" s="55"/>
      <c r="R45" s="55"/>
      <c r="S45" s="55"/>
      <c r="T45" s="55"/>
    </row>
    <row r="46" spans="1:20" ht="15.75">
      <c r="A46" s="258"/>
      <c r="B46" s="32" t="s">
        <v>189</v>
      </c>
      <c r="C46" s="7"/>
      <c r="D46" s="7"/>
      <c r="E46" s="265"/>
      <c r="F46" s="266"/>
      <c r="G46" s="267"/>
      <c r="H46" s="268"/>
      <c r="I46" s="173"/>
      <c r="J46" s="173"/>
      <c r="K46" s="5"/>
      <c r="L46" s="180"/>
      <c r="M46" s="180"/>
      <c r="N46" s="55"/>
      <c r="O46" s="55"/>
      <c r="P46" s="55"/>
      <c r="Q46" s="55"/>
      <c r="R46" s="55"/>
      <c r="S46" s="55"/>
      <c r="T46" s="55"/>
    </row>
    <row r="47" spans="1:20" ht="15.75">
      <c r="A47" s="258"/>
      <c r="B47" s="6" t="s">
        <v>171</v>
      </c>
      <c r="C47" s="7"/>
      <c r="D47" s="7"/>
      <c r="E47" s="154" t="s">
        <v>47</v>
      </c>
      <c r="F47" s="229">
        <f>(8077+9387+337+469)/4500</f>
        <v>4.06</v>
      </c>
      <c r="G47" s="147">
        <v>1</v>
      </c>
      <c r="H47" s="155">
        <v>1</v>
      </c>
      <c r="I47" s="168">
        <f>IF(F47&gt;100,F47*G47*H47,+F47*G47*H47*$D$7)*EnterP_Inv!$L$12</f>
        <v>1623.9999999999998</v>
      </c>
      <c r="J47" s="168">
        <f>(IF(F47&gt;100,F47*G47*(1-H47),F47*G47*(1-H47)*$D$7))*EnterP_Inv!$L$12</f>
        <v>0</v>
      </c>
      <c r="K47" s="5"/>
      <c r="L47" s="180"/>
      <c r="M47" s="180"/>
      <c r="N47" s="55"/>
      <c r="O47" s="55"/>
      <c r="P47" s="55"/>
      <c r="Q47" s="55"/>
      <c r="R47" s="55"/>
      <c r="S47" s="55"/>
      <c r="T47" s="55"/>
    </row>
    <row r="48" spans="1:20" ht="15.75">
      <c r="A48" s="258"/>
      <c r="B48" s="6" t="s">
        <v>172</v>
      </c>
      <c r="C48" s="7"/>
      <c r="D48" s="7"/>
      <c r="E48" s="154" t="s">
        <v>46</v>
      </c>
      <c r="F48" s="229">
        <f>(1750+1426)/4500</f>
        <v>0.7057777777777777</v>
      </c>
      <c r="G48" s="147">
        <v>1</v>
      </c>
      <c r="H48" s="155">
        <v>1</v>
      </c>
      <c r="I48" s="168">
        <f>IF(F48&gt;100,F48*G48*H48,+F48*G48*H48*$D$7)</f>
        <v>282.3111111111111</v>
      </c>
      <c r="J48" s="168">
        <f>IF(F48&gt;100,F48*G48*(1-H48),F48*G48*(1-H48)*$D$7)</f>
        <v>0</v>
      </c>
      <c r="K48" s="5"/>
      <c r="L48" s="180"/>
      <c r="M48" s="180"/>
      <c r="N48" s="55"/>
      <c r="O48" s="55"/>
      <c r="P48" s="55"/>
      <c r="Q48" s="55"/>
      <c r="R48" s="55"/>
      <c r="S48" s="55"/>
      <c r="T48" s="55"/>
    </row>
    <row r="49" spans="1:20" ht="15.75">
      <c r="A49" s="258"/>
      <c r="B49" s="6" t="s">
        <v>203</v>
      </c>
      <c r="C49" s="7"/>
      <c r="D49" s="7"/>
      <c r="E49" s="154" t="s">
        <v>46</v>
      </c>
      <c r="F49" s="229"/>
      <c r="G49" s="147"/>
      <c r="H49" s="155">
        <v>1</v>
      </c>
      <c r="I49" s="168">
        <f>IF(F49&gt;100,F49*G49*H49,+F49*G49*H49*$D$7)</f>
        <v>0</v>
      </c>
      <c r="J49" s="168">
        <f>IF(F49&gt;100,F49*G49*(1-H49),F49*G49*(1-H49)*$D$7)</f>
        <v>0</v>
      </c>
      <c r="K49" s="5"/>
      <c r="L49" s="180"/>
      <c r="M49" s="180"/>
      <c r="N49" s="55"/>
      <c r="O49" s="55"/>
      <c r="P49" s="55"/>
      <c r="Q49" s="55"/>
      <c r="R49" s="55"/>
      <c r="S49" s="55"/>
      <c r="T49" s="55"/>
    </row>
    <row r="50" spans="1:20" ht="15.75">
      <c r="A50" s="258"/>
      <c r="B50" s="32" t="s">
        <v>190</v>
      </c>
      <c r="C50" s="7"/>
      <c r="D50" s="7"/>
      <c r="E50" s="154" t="s">
        <v>51</v>
      </c>
      <c r="F50" s="176"/>
      <c r="G50" s="176"/>
      <c r="H50" s="176"/>
      <c r="I50" s="169">
        <f>SUM(I42:I48)*EnterP_Inv!$C$17/12*$F$51</f>
        <v>24.678370370370374</v>
      </c>
      <c r="J50" s="169">
        <f>SUM(J42:J48)*EnterP_Inv!$C$17/12*$F$51</f>
        <v>0</v>
      </c>
      <c r="K50" s="5"/>
      <c r="L50" s="180"/>
      <c r="M50" s="180"/>
      <c r="N50" s="55"/>
      <c r="O50" s="55"/>
      <c r="P50" s="55"/>
      <c r="Q50" s="55"/>
      <c r="R50" s="55"/>
      <c r="S50" s="55"/>
      <c r="T50" s="55"/>
    </row>
    <row r="51" spans="1:20" ht="15.75">
      <c r="A51" s="258"/>
      <c r="B51" s="153" t="s">
        <v>191</v>
      </c>
      <c r="C51" s="7"/>
      <c r="D51" s="7"/>
      <c r="E51" s="176"/>
      <c r="F51" s="147">
        <v>1</v>
      </c>
      <c r="G51" s="176"/>
      <c r="H51" s="178"/>
      <c r="I51" s="178"/>
      <c r="J51" s="179"/>
      <c r="K51" s="5"/>
      <c r="L51" s="180"/>
      <c r="M51" s="180"/>
      <c r="N51" s="55"/>
      <c r="O51" s="55"/>
      <c r="P51" s="55"/>
      <c r="Q51" s="55"/>
      <c r="R51" s="55"/>
      <c r="S51" s="55"/>
      <c r="T51" s="55"/>
    </row>
    <row r="52" spans="1:20" ht="15.75">
      <c r="A52" s="258"/>
      <c r="B52" s="270"/>
      <c r="C52" s="151" t="s">
        <v>146</v>
      </c>
      <c r="D52" s="152" t="str">
        <f>$E$3</f>
        <v>Winter Wheat</v>
      </c>
      <c r="E52" s="152" t="s">
        <v>26</v>
      </c>
      <c r="F52" s="152"/>
      <c r="G52" s="152"/>
      <c r="H52" s="270"/>
      <c r="I52" s="222">
        <f>SUM(I12:I50)</f>
        <v>61997.06014814816</v>
      </c>
      <c r="J52" s="222">
        <f>SUM(J12:J50)</f>
        <v>8882.784</v>
      </c>
      <c r="K52" s="180"/>
      <c r="L52" s="180"/>
      <c r="M52" s="180"/>
      <c r="N52" s="55"/>
      <c r="O52" s="55"/>
      <c r="P52" s="55"/>
      <c r="Q52" s="55"/>
      <c r="R52" s="55"/>
      <c r="S52" s="55"/>
      <c r="T52" s="55"/>
    </row>
    <row r="53" spans="1:20" ht="15.75">
      <c r="A53" s="258"/>
      <c r="B53" s="7"/>
      <c r="C53" s="7"/>
      <c r="D53" s="7"/>
      <c r="E53" s="7"/>
      <c r="F53" s="7"/>
      <c r="G53" s="7"/>
      <c r="H53" s="218" t="s">
        <v>215</v>
      </c>
      <c r="I53" s="219">
        <f>IF(D7=0,0,I52/D7)</f>
        <v>154.9926503703704</v>
      </c>
      <c r="J53" s="221">
        <f>IF(D7=0,0,J52/D7)</f>
        <v>22.20696</v>
      </c>
      <c r="K53" s="1"/>
      <c r="L53" s="1"/>
      <c r="M53" s="1"/>
      <c r="N53" s="55"/>
      <c r="O53" s="55"/>
      <c r="P53" s="55"/>
      <c r="Q53" s="55"/>
      <c r="R53" s="55"/>
      <c r="S53" s="55"/>
      <c r="T53" s="55"/>
    </row>
    <row r="54" spans="1:20" ht="15.75">
      <c r="A54" s="258"/>
      <c r="B54" s="7"/>
      <c r="C54" s="7"/>
      <c r="D54" s="7"/>
      <c r="E54" s="7"/>
      <c r="F54" s="7"/>
      <c r="G54" s="7"/>
      <c r="H54" s="7"/>
      <c r="I54" s="220" t="s">
        <v>214</v>
      </c>
      <c r="J54" s="219">
        <f>I53+J53</f>
        <v>177.1996103703704</v>
      </c>
      <c r="K54" s="1"/>
      <c r="L54" s="1"/>
      <c r="M54" s="1"/>
      <c r="N54" s="55"/>
      <c r="O54" s="55"/>
      <c r="P54" s="55"/>
      <c r="Q54" s="55"/>
      <c r="R54" s="55"/>
      <c r="S54" s="55"/>
      <c r="T54" s="55"/>
    </row>
    <row r="55" spans="1:20" ht="15.75">
      <c r="A55" s="258"/>
      <c r="B55" s="55"/>
      <c r="C55" s="55"/>
      <c r="D55" s="55"/>
      <c r="E55" s="55"/>
      <c r="F55" s="55"/>
      <c r="G55" s="55"/>
      <c r="H55" s="55"/>
      <c r="I55" s="55"/>
      <c r="J55" s="55"/>
      <c r="K55" s="55"/>
      <c r="L55" s="55"/>
      <c r="M55" s="55"/>
      <c r="N55" s="55"/>
      <c r="O55" s="55"/>
      <c r="P55" s="55"/>
      <c r="Q55" s="55"/>
      <c r="R55" s="55"/>
      <c r="S55" s="55"/>
      <c r="T55" s="55"/>
    </row>
    <row r="56" spans="1:20" ht="15.75">
      <c r="A56" s="258"/>
      <c r="B56" s="55"/>
      <c r="C56" s="55"/>
      <c r="D56" s="55"/>
      <c r="E56" s="55"/>
      <c r="F56" s="55"/>
      <c r="G56" s="55"/>
      <c r="H56" s="55"/>
      <c r="I56" s="55"/>
      <c r="J56" s="55"/>
      <c r="K56" s="55"/>
      <c r="L56" s="55"/>
      <c r="M56" s="55"/>
      <c r="N56" s="55"/>
      <c r="O56" s="55"/>
      <c r="P56" s="55"/>
      <c r="Q56" s="55"/>
      <c r="R56" s="55"/>
      <c r="S56" s="55"/>
      <c r="T56" s="55"/>
    </row>
    <row r="57" spans="1:20" ht="15.75">
      <c r="A57" s="258"/>
      <c r="B57" s="55"/>
      <c r="C57" s="55"/>
      <c r="D57" s="55"/>
      <c r="E57" s="55"/>
      <c r="F57" s="55"/>
      <c r="G57" s="55"/>
      <c r="H57" s="55"/>
      <c r="I57" s="55"/>
      <c r="J57" s="55"/>
      <c r="K57" s="55"/>
      <c r="L57" s="55"/>
      <c r="M57" s="55"/>
      <c r="N57" s="55"/>
      <c r="O57" s="55"/>
      <c r="P57" s="55"/>
      <c r="Q57" s="55"/>
      <c r="R57" s="55"/>
      <c r="S57" s="55"/>
      <c r="T57" s="55"/>
    </row>
    <row r="58" spans="1:20" ht="15.75">
      <c r="A58" s="258"/>
      <c r="B58" s="55"/>
      <c r="C58" s="55"/>
      <c r="D58" s="55"/>
      <c r="E58" s="55"/>
      <c r="F58" s="55"/>
      <c r="G58" s="55"/>
      <c r="H58" s="55"/>
      <c r="I58" s="55"/>
      <c r="J58" s="55"/>
      <c r="K58" s="55"/>
      <c r="L58" s="55"/>
      <c r="M58" s="55"/>
      <c r="N58" s="55"/>
      <c r="O58" s="55"/>
      <c r="P58" s="55"/>
      <c r="Q58" s="55"/>
      <c r="R58" s="55"/>
      <c r="S58" s="55"/>
      <c r="T58" s="55"/>
    </row>
    <row r="59" spans="1:20" ht="15.75">
      <c r="A59" s="258"/>
      <c r="B59" s="55"/>
      <c r="C59" s="55"/>
      <c r="D59" s="55"/>
      <c r="E59" s="55"/>
      <c r="F59" s="55"/>
      <c r="G59" s="55"/>
      <c r="H59" s="55"/>
      <c r="I59" s="55"/>
      <c r="J59" s="55"/>
      <c r="K59" s="55"/>
      <c r="L59" s="55"/>
      <c r="M59" s="55"/>
      <c r="N59" s="55"/>
      <c r="O59" s="55"/>
      <c r="P59" s="55"/>
      <c r="Q59" s="55"/>
      <c r="R59" s="55"/>
      <c r="S59" s="55"/>
      <c r="T59" s="55"/>
    </row>
    <row r="60" spans="1:20" ht="15.75">
      <c r="A60" s="258"/>
      <c r="B60" s="55"/>
      <c r="C60" s="55"/>
      <c r="D60" s="55"/>
      <c r="E60" s="55"/>
      <c r="F60" s="55"/>
      <c r="G60" s="55"/>
      <c r="H60" s="55"/>
      <c r="I60" s="55"/>
      <c r="J60" s="55"/>
      <c r="K60" s="55"/>
      <c r="L60" s="55"/>
      <c r="M60" s="55"/>
      <c r="N60" s="55"/>
      <c r="O60" s="55"/>
      <c r="P60" s="55"/>
      <c r="Q60" s="55"/>
      <c r="R60" s="55"/>
      <c r="S60" s="55"/>
      <c r="T60" s="55"/>
    </row>
    <row r="61" spans="1:20" ht="15.75">
      <c r="A61" s="258"/>
      <c r="B61" s="55"/>
      <c r="C61" s="55"/>
      <c r="D61" s="55"/>
      <c r="E61" s="55"/>
      <c r="F61" s="55"/>
      <c r="G61" s="55"/>
      <c r="H61" s="55"/>
      <c r="I61" s="55"/>
      <c r="J61" s="55"/>
      <c r="K61" s="55"/>
      <c r="L61" s="55"/>
      <c r="M61" s="55"/>
      <c r="N61" s="55"/>
      <c r="O61" s="55"/>
      <c r="P61" s="55"/>
      <c r="Q61" s="55"/>
      <c r="R61" s="55"/>
      <c r="S61" s="55"/>
      <c r="T61" s="55"/>
    </row>
    <row r="62" spans="1:20" ht="15.75">
      <c r="A62" s="258"/>
      <c r="B62" s="55"/>
      <c r="C62" s="55"/>
      <c r="D62" s="55"/>
      <c r="E62" s="55"/>
      <c r="F62" s="55"/>
      <c r="G62" s="55"/>
      <c r="H62" s="55"/>
      <c r="I62" s="55"/>
      <c r="J62" s="55"/>
      <c r="K62" s="55"/>
      <c r="L62" s="55"/>
      <c r="M62" s="55"/>
      <c r="N62" s="55"/>
      <c r="O62" s="55"/>
      <c r="P62" s="55"/>
      <c r="Q62" s="55"/>
      <c r="R62" s="55"/>
      <c r="S62" s="55"/>
      <c r="T62" s="55"/>
    </row>
    <row r="63" spans="1:20" ht="15.75">
      <c r="A63" s="258"/>
      <c r="B63" s="55"/>
      <c r="C63" s="55"/>
      <c r="D63" s="55"/>
      <c r="E63" s="55"/>
      <c r="F63" s="55"/>
      <c r="G63" s="55"/>
      <c r="H63" s="55"/>
      <c r="I63" s="55"/>
      <c r="J63" s="55"/>
      <c r="K63" s="55"/>
      <c r="L63" s="55"/>
      <c r="M63" s="55"/>
      <c r="N63" s="55"/>
      <c r="O63" s="55"/>
      <c r="P63" s="55"/>
      <c r="Q63" s="55"/>
      <c r="R63" s="55"/>
      <c r="S63" s="55"/>
      <c r="T63" s="55"/>
    </row>
    <row r="64" spans="1:20" ht="15.75">
      <c r="A64" s="258"/>
      <c r="B64" s="55"/>
      <c r="C64" s="55"/>
      <c r="D64" s="55"/>
      <c r="E64" s="55"/>
      <c r="F64" s="55"/>
      <c r="G64" s="55"/>
      <c r="H64" s="55"/>
      <c r="I64" s="55"/>
      <c r="J64" s="55"/>
      <c r="K64" s="55"/>
      <c r="L64" s="55"/>
      <c r="M64" s="55"/>
      <c r="N64" s="55"/>
      <c r="O64" s="55"/>
      <c r="P64" s="55"/>
      <c r="Q64" s="55"/>
      <c r="R64" s="55"/>
      <c r="S64" s="55"/>
      <c r="T64" s="55"/>
    </row>
    <row r="65" spans="1:20" ht="15.75">
      <c r="A65" s="258"/>
      <c r="B65" s="55"/>
      <c r="C65" s="55"/>
      <c r="D65" s="55"/>
      <c r="E65" s="55"/>
      <c r="F65" s="55"/>
      <c r="G65" s="55"/>
      <c r="H65" s="55"/>
      <c r="I65" s="55"/>
      <c r="J65" s="55"/>
      <c r="K65" s="55"/>
      <c r="L65" s="55"/>
      <c r="M65" s="55"/>
      <c r="N65" s="55"/>
      <c r="O65" s="55"/>
      <c r="P65" s="55"/>
      <c r="Q65" s="55"/>
      <c r="R65" s="55"/>
      <c r="S65" s="55"/>
      <c r="T65" s="55"/>
    </row>
    <row r="66" spans="1:20" ht="15.75">
      <c r="A66" s="258"/>
      <c r="B66" s="55"/>
      <c r="C66" s="55"/>
      <c r="D66" s="55"/>
      <c r="E66" s="55"/>
      <c r="F66" s="55"/>
      <c r="G66" s="55"/>
      <c r="H66" s="55"/>
      <c r="I66" s="55"/>
      <c r="J66" s="55"/>
      <c r="K66" s="55"/>
      <c r="L66" s="55"/>
      <c r="M66" s="55"/>
      <c r="N66" s="55"/>
      <c r="O66" s="55"/>
      <c r="P66" s="55"/>
      <c r="Q66" s="55"/>
      <c r="R66" s="55"/>
      <c r="S66" s="55"/>
      <c r="T66" s="55"/>
    </row>
    <row r="67" spans="1:20" ht="15.75">
      <c r="A67" s="258"/>
      <c r="B67" s="55"/>
      <c r="C67" s="55"/>
      <c r="D67" s="55"/>
      <c r="E67" s="271" t="s">
        <v>229</v>
      </c>
      <c r="F67" s="272">
        <f>(F23+F26+F43+F47)</f>
        <v>13.157777777777778</v>
      </c>
      <c r="G67" s="55"/>
      <c r="H67" s="55"/>
      <c r="I67" s="55"/>
      <c r="J67" s="55"/>
      <c r="K67" s="55"/>
      <c r="L67" s="55"/>
      <c r="M67" s="55"/>
      <c r="N67" s="55"/>
      <c r="O67" s="55"/>
      <c r="P67" s="55"/>
      <c r="Q67" s="55"/>
      <c r="R67" s="55"/>
      <c r="S67" s="55"/>
      <c r="T67" s="55"/>
    </row>
    <row r="68" spans="1:20" ht="15.75">
      <c r="A68" s="258"/>
      <c r="B68" s="55"/>
      <c r="C68" s="55"/>
      <c r="D68" s="55"/>
      <c r="E68" s="271" t="s">
        <v>228</v>
      </c>
      <c r="F68" s="273">
        <f>(F24+F27+F44+F48)</f>
        <v>8.832888888888888</v>
      </c>
      <c r="G68" s="55"/>
      <c r="H68" s="55"/>
      <c r="I68" s="55"/>
      <c r="J68" s="55"/>
      <c r="K68" s="55"/>
      <c r="L68" s="55"/>
      <c r="M68" s="55"/>
      <c r="N68" s="55"/>
      <c r="O68" s="55"/>
      <c r="P68" s="55"/>
      <c r="Q68" s="55"/>
      <c r="R68" s="55"/>
      <c r="S68" s="55"/>
      <c r="T68" s="55"/>
    </row>
    <row r="69" spans="1:20" ht="15.75">
      <c r="A69" s="258"/>
      <c r="B69" s="55"/>
      <c r="C69" s="55"/>
      <c r="D69" s="55"/>
      <c r="E69" s="55"/>
      <c r="F69" s="55"/>
      <c r="G69" s="55"/>
      <c r="H69" s="55"/>
      <c r="I69" s="55"/>
      <c r="J69" s="55"/>
      <c r="K69" s="55"/>
      <c r="L69" s="55"/>
      <c r="M69" s="55"/>
      <c r="N69" s="55"/>
      <c r="O69" s="55"/>
      <c r="P69" s="55"/>
      <c r="Q69" s="55"/>
      <c r="R69" s="55"/>
      <c r="S69" s="55"/>
      <c r="T69" s="55"/>
    </row>
    <row r="70" spans="1:20" ht="15.75">
      <c r="A70" s="258"/>
      <c r="B70" s="55"/>
      <c r="C70" s="55"/>
      <c r="D70" s="55"/>
      <c r="E70" s="55"/>
      <c r="F70" s="55"/>
      <c r="G70" s="55"/>
      <c r="H70" s="55"/>
      <c r="I70" s="55"/>
      <c r="J70" s="55"/>
      <c r="K70" s="55"/>
      <c r="L70" s="55"/>
      <c r="M70" s="55"/>
      <c r="N70" s="55"/>
      <c r="O70" s="55"/>
      <c r="P70" s="55"/>
      <c r="Q70" s="55"/>
      <c r="R70" s="55"/>
      <c r="S70" s="55"/>
      <c r="T70" s="55"/>
    </row>
    <row r="71" spans="1:20" ht="15.75">
      <c r="A71" s="258"/>
      <c r="B71" s="55"/>
      <c r="C71" s="55"/>
      <c r="D71" s="55"/>
      <c r="E71" s="55"/>
      <c r="F71" s="55"/>
      <c r="G71" s="55"/>
      <c r="H71" s="55"/>
      <c r="I71" s="55"/>
      <c r="J71" s="55"/>
      <c r="K71" s="55"/>
      <c r="L71" s="55"/>
      <c r="M71" s="55"/>
      <c r="N71" s="55"/>
      <c r="O71" s="55"/>
      <c r="P71" s="55"/>
      <c r="Q71" s="55"/>
      <c r="R71" s="55"/>
      <c r="S71" s="55"/>
      <c r="T71" s="55"/>
    </row>
    <row r="72" spans="1:20" ht="15.75">
      <c r="A72" s="258"/>
      <c r="B72" s="55"/>
      <c r="C72" s="55"/>
      <c r="D72" s="55"/>
      <c r="E72" s="55"/>
      <c r="F72" s="55"/>
      <c r="G72" s="55"/>
      <c r="H72" s="55"/>
      <c r="I72" s="55"/>
      <c r="J72" s="55"/>
      <c r="K72" s="55"/>
      <c r="L72" s="55"/>
      <c r="M72" s="55"/>
      <c r="N72" s="55"/>
      <c r="O72" s="55"/>
      <c r="P72" s="55"/>
      <c r="Q72" s="55"/>
      <c r="R72" s="55"/>
      <c r="S72" s="55"/>
      <c r="T72" s="55"/>
    </row>
    <row r="73" spans="1:20" ht="15.75">
      <c r="A73" s="258"/>
      <c r="B73" s="55"/>
      <c r="C73" s="55"/>
      <c r="D73" s="55"/>
      <c r="E73" s="55"/>
      <c r="F73" s="55"/>
      <c r="G73" s="55"/>
      <c r="H73" s="55"/>
      <c r="I73" s="55"/>
      <c r="J73" s="55"/>
      <c r="K73" s="55"/>
      <c r="L73" s="55"/>
      <c r="M73" s="55"/>
      <c r="N73" s="55"/>
      <c r="O73" s="55"/>
      <c r="P73" s="55"/>
      <c r="Q73" s="55"/>
      <c r="R73" s="55"/>
      <c r="S73" s="55"/>
      <c r="T73" s="55"/>
    </row>
    <row r="74" spans="1:20" ht="15.75">
      <c r="A74" s="258"/>
      <c r="B74" s="55"/>
      <c r="C74" s="55"/>
      <c r="D74" s="55"/>
      <c r="E74" s="55"/>
      <c r="F74" s="55"/>
      <c r="G74" s="55"/>
      <c r="H74" s="55"/>
      <c r="I74" s="55"/>
      <c r="J74" s="55"/>
      <c r="K74" s="55"/>
      <c r="L74" s="55"/>
      <c r="M74" s="55"/>
      <c r="N74" s="55"/>
      <c r="O74" s="55"/>
      <c r="P74" s="55"/>
      <c r="Q74" s="55"/>
      <c r="R74" s="55"/>
      <c r="S74" s="55"/>
      <c r="T74" s="55"/>
    </row>
    <row r="75" spans="1:20" ht="15.75">
      <c r="A75" s="258"/>
      <c r="B75" s="55"/>
      <c r="C75" s="55"/>
      <c r="D75" s="55"/>
      <c r="E75" s="55"/>
      <c r="F75" s="55"/>
      <c r="G75" s="55"/>
      <c r="H75" s="55"/>
      <c r="I75" s="55"/>
      <c r="J75" s="55"/>
      <c r="K75" s="55"/>
      <c r="L75" s="55"/>
      <c r="M75" s="55"/>
      <c r="N75" s="55"/>
      <c r="O75" s="55"/>
      <c r="P75" s="55"/>
      <c r="Q75" s="55"/>
      <c r="R75" s="55"/>
      <c r="S75" s="55"/>
      <c r="T75" s="55"/>
    </row>
    <row r="76" spans="1:20" ht="15.75">
      <c r="A76" s="258"/>
      <c r="B76" s="55"/>
      <c r="C76" s="55"/>
      <c r="D76" s="55"/>
      <c r="E76" s="55"/>
      <c r="F76" s="55"/>
      <c r="G76" s="55"/>
      <c r="H76" s="55"/>
      <c r="I76" s="55"/>
      <c r="J76" s="55"/>
      <c r="K76" s="55"/>
      <c r="L76" s="55"/>
      <c r="M76" s="55"/>
      <c r="N76" s="55"/>
      <c r="O76" s="55"/>
      <c r="P76" s="55"/>
      <c r="Q76" s="55"/>
      <c r="R76" s="55"/>
      <c r="S76" s="55"/>
      <c r="T76" s="55"/>
    </row>
    <row r="77" spans="1:20" ht="15.75">
      <c r="A77" s="258"/>
      <c r="B77" s="55"/>
      <c r="C77" s="55"/>
      <c r="D77" s="55"/>
      <c r="E77" s="55"/>
      <c r="F77" s="55"/>
      <c r="G77" s="55"/>
      <c r="H77" s="55"/>
      <c r="I77" s="55"/>
      <c r="J77" s="55"/>
      <c r="K77" s="55"/>
      <c r="L77" s="55"/>
      <c r="M77" s="55"/>
      <c r="N77" s="55"/>
      <c r="O77" s="55"/>
      <c r="P77" s="55"/>
      <c r="Q77" s="55"/>
      <c r="R77" s="55"/>
      <c r="S77" s="55"/>
      <c r="T77" s="55"/>
    </row>
    <row r="78" spans="1:20" ht="15.75">
      <c r="A78" s="258"/>
      <c r="B78" s="55"/>
      <c r="C78" s="55"/>
      <c r="D78" s="55"/>
      <c r="E78" s="55"/>
      <c r="F78" s="55"/>
      <c r="G78" s="55"/>
      <c r="H78" s="55"/>
      <c r="I78" s="55"/>
      <c r="J78" s="55"/>
      <c r="K78" s="55"/>
      <c r="L78" s="55"/>
      <c r="M78" s="55"/>
      <c r="N78" s="55"/>
      <c r="O78" s="55"/>
      <c r="P78" s="55"/>
      <c r="Q78" s="55"/>
      <c r="R78" s="55"/>
      <c r="S78" s="55"/>
      <c r="T78" s="55"/>
    </row>
    <row r="79" spans="1:20" ht="15.75">
      <c r="A79" s="258"/>
      <c r="B79" s="55"/>
      <c r="C79" s="55"/>
      <c r="D79" s="55"/>
      <c r="E79" s="55"/>
      <c r="F79" s="55"/>
      <c r="G79" s="55"/>
      <c r="H79" s="55"/>
      <c r="I79" s="55"/>
      <c r="J79" s="55"/>
      <c r="K79" s="55"/>
      <c r="L79" s="55"/>
      <c r="M79" s="55"/>
      <c r="N79" s="55"/>
      <c r="O79" s="55"/>
      <c r="P79" s="55"/>
      <c r="Q79" s="55"/>
      <c r="R79" s="55"/>
      <c r="S79" s="55"/>
      <c r="T79" s="55"/>
    </row>
    <row r="80" spans="1:20" ht="15.75">
      <c r="A80" s="258"/>
      <c r="B80" s="55"/>
      <c r="C80" s="55"/>
      <c r="D80" s="55"/>
      <c r="E80" s="55"/>
      <c r="F80" s="55"/>
      <c r="G80" s="55"/>
      <c r="H80" s="55"/>
      <c r="I80" s="55"/>
      <c r="J80" s="55"/>
      <c r="K80" s="55"/>
      <c r="L80" s="55"/>
      <c r="M80" s="55"/>
      <c r="N80" s="55"/>
      <c r="O80" s="55"/>
      <c r="P80" s="55"/>
      <c r="Q80" s="55"/>
      <c r="R80" s="55"/>
      <c r="S80" s="55"/>
      <c r="T80" s="55"/>
    </row>
    <row r="81" spans="1:20" ht="15.75">
      <c r="A81" s="258"/>
      <c r="B81" s="55"/>
      <c r="C81" s="55"/>
      <c r="D81" s="55"/>
      <c r="E81" s="55"/>
      <c r="F81" s="55"/>
      <c r="G81" s="55"/>
      <c r="H81" s="55"/>
      <c r="I81" s="55"/>
      <c r="J81" s="55"/>
      <c r="K81" s="55"/>
      <c r="L81" s="55"/>
      <c r="M81" s="55"/>
      <c r="N81" s="55"/>
      <c r="O81" s="55"/>
      <c r="P81" s="55"/>
      <c r="Q81" s="55"/>
      <c r="R81" s="55"/>
      <c r="S81" s="55"/>
      <c r="T81" s="55"/>
    </row>
    <row r="82" spans="1:20" ht="15.75">
      <c r="A82" s="258"/>
      <c r="B82" s="55"/>
      <c r="C82" s="55"/>
      <c r="D82" s="55"/>
      <c r="E82" s="55"/>
      <c r="F82" s="55"/>
      <c r="G82" s="55"/>
      <c r="H82" s="55"/>
      <c r="I82" s="55"/>
      <c r="J82" s="55"/>
      <c r="K82" s="55"/>
      <c r="L82" s="55"/>
      <c r="M82" s="55"/>
      <c r="N82" s="55"/>
      <c r="O82" s="55"/>
      <c r="P82" s="55"/>
      <c r="Q82" s="55"/>
      <c r="R82" s="55"/>
      <c r="S82" s="55"/>
      <c r="T82" s="55"/>
    </row>
    <row r="83" spans="1:20" ht="15.75">
      <c r="A83" s="258"/>
      <c r="B83" s="55"/>
      <c r="C83" s="55"/>
      <c r="D83" s="55"/>
      <c r="E83" s="55"/>
      <c r="F83" s="55"/>
      <c r="G83" s="55"/>
      <c r="H83" s="55"/>
      <c r="I83" s="55"/>
      <c r="J83" s="55"/>
      <c r="K83" s="55"/>
      <c r="L83" s="55"/>
      <c r="M83" s="55"/>
      <c r="N83" s="55"/>
      <c r="O83" s="55"/>
      <c r="P83" s="55"/>
      <c r="Q83" s="55"/>
      <c r="R83" s="55"/>
      <c r="S83" s="55"/>
      <c r="T83" s="55"/>
    </row>
    <row r="84" spans="1:20" ht="15.75">
      <c r="A84" s="258"/>
      <c r="B84" s="55"/>
      <c r="C84" s="55"/>
      <c r="D84" s="55"/>
      <c r="E84" s="55"/>
      <c r="F84" s="55"/>
      <c r="G84" s="55"/>
      <c r="H84" s="55"/>
      <c r="I84" s="55"/>
      <c r="J84" s="55"/>
      <c r="K84" s="55"/>
      <c r="L84" s="55"/>
      <c r="M84" s="55"/>
      <c r="N84" s="55"/>
      <c r="O84" s="55"/>
      <c r="P84" s="55"/>
      <c r="Q84" s="55"/>
      <c r="R84" s="55"/>
      <c r="S84" s="55"/>
      <c r="T84" s="55"/>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8"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R58"/>
  <sheetViews>
    <sheetView showGridLines="0" zoomScalePageLayoutView="0" workbookViewId="0" topLeftCell="A1">
      <selection activeCell="B2" sqref="B2"/>
    </sheetView>
  </sheetViews>
  <sheetFormatPr defaultColWidth="8.796875" defaultRowHeight="15"/>
  <cols>
    <col min="1" max="1" width="4.09765625" style="132" customWidth="1"/>
    <col min="2" max="4" width="12.69921875" style="0" customWidth="1"/>
    <col min="5" max="10" width="11.69921875" style="0" customWidth="1"/>
  </cols>
  <sheetData>
    <row r="1" spans="1:18" ht="15.75">
      <c r="A1" s="258"/>
      <c r="B1" s="55"/>
      <c r="C1" s="55"/>
      <c r="D1" s="55"/>
      <c r="E1" s="55"/>
      <c r="F1" s="55"/>
      <c r="G1" s="55"/>
      <c r="H1" s="55"/>
      <c r="I1" s="55"/>
      <c r="J1" s="55"/>
      <c r="K1" s="55"/>
      <c r="L1" s="55"/>
      <c r="M1" s="55"/>
      <c r="N1" s="55"/>
      <c r="O1" s="55"/>
      <c r="P1" s="55"/>
      <c r="Q1" s="55"/>
      <c r="R1" s="55"/>
    </row>
    <row r="2" spans="1:18" ht="16.5" thickBot="1">
      <c r="A2" s="258"/>
      <c r="B2" s="55"/>
      <c r="C2" s="55"/>
      <c r="D2" s="55"/>
      <c r="E2" s="232" t="str">
        <f>EnterP_Inv!C8</f>
        <v>Crop#1</v>
      </c>
      <c r="F2" s="57" t="str">
        <f>EnterP_Inv!D8</f>
        <v>Crop#2</v>
      </c>
      <c r="G2" s="232" t="str">
        <f>EnterP_Inv!E8</f>
        <v>Crop#3</v>
      </c>
      <c r="H2" s="232" t="str">
        <f>EnterP_Inv!F8</f>
        <v>Crop#4</v>
      </c>
      <c r="I2" s="232" t="str">
        <f>EnterP_Inv!G8</f>
        <v>Crop#5</v>
      </c>
      <c r="J2" s="232" t="str">
        <f>EnterP_Inv!H8</f>
        <v>Crop#6</v>
      </c>
      <c r="K2" s="55"/>
      <c r="L2" s="55"/>
      <c r="M2" s="55"/>
      <c r="N2" s="55"/>
      <c r="O2" s="55"/>
      <c r="P2" s="55"/>
      <c r="Q2" s="55"/>
      <c r="R2" s="55"/>
    </row>
    <row r="3" spans="1:18" ht="15.75">
      <c r="A3" s="258"/>
      <c r="B3" s="55"/>
      <c r="C3" s="55"/>
      <c r="D3" s="55"/>
      <c r="E3" s="281" t="str">
        <f>EnterP_Inv!C9</f>
        <v>Winter Wheat</v>
      </c>
      <c r="F3" s="283" t="str">
        <f>EnterP_Inv!D9</f>
        <v>Spring Wheat</v>
      </c>
      <c r="G3" s="281" t="str">
        <f>EnterP_Inv!E9</f>
        <v>Durum</v>
      </c>
      <c r="H3" s="281" t="str">
        <f>EnterP_Inv!F9</f>
        <v>Malt Barley</v>
      </c>
      <c r="I3" s="281" t="str">
        <f>EnterP_Inv!G9</f>
        <v>Summer Fallow</v>
      </c>
      <c r="J3" s="281" t="str">
        <f>EnterP_Inv!H9</f>
        <v>Not Used</v>
      </c>
      <c r="K3" s="55"/>
      <c r="L3" s="55"/>
      <c r="M3" s="55"/>
      <c r="N3" s="55"/>
      <c r="O3" s="55"/>
      <c r="P3" s="55"/>
      <c r="Q3" s="55"/>
      <c r="R3" s="55"/>
    </row>
    <row r="4" spans="1:18" ht="15.75">
      <c r="A4" s="258"/>
      <c r="B4" s="55"/>
      <c r="C4" s="55"/>
      <c r="D4" s="55"/>
      <c r="E4" s="282"/>
      <c r="F4" s="284"/>
      <c r="G4" s="282"/>
      <c r="H4" s="282"/>
      <c r="I4" s="282"/>
      <c r="J4" s="282"/>
      <c r="K4" s="55"/>
      <c r="L4" s="55"/>
      <c r="M4" s="55"/>
      <c r="N4" s="55"/>
      <c r="O4" s="55"/>
      <c r="P4" s="55"/>
      <c r="Q4" s="55"/>
      <c r="R4" s="55"/>
    </row>
    <row r="5" spans="1:18" ht="15.75">
      <c r="A5" s="258"/>
      <c r="B5" s="55"/>
      <c r="C5" s="55"/>
      <c r="D5" s="55" t="str">
        <f>EnterP_Inv!B12</f>
        <v>Expected Yield</v>
      </c>
      <c r="E5" s="233">
        <f>EnterP_Inv!C12</f>
        <v>42</v>
      </c>
      <c r="F5" s="223">
        <f>EnterP_Inv!D12</f>
        <v>28</v>
      </c>
      <c r="G5" s="233">
        <f>EnterP_Inv!E12</f>
        <v>22</v>
      </c>
      <c r="H5" s="233">
        <f>EnterP_Inv!F12</f>
        <v>52</v>
      </c>
      <c r="I5" s="233">
        <f>EnterP_Inv!G12</f>
        <v>0</v>
      </c>
      <c r="J5" s="233">
        <f>EnterP_Inv!H12</f>
        <v>0</v>
      </c>
      <c r="K5" s="55"/>
      <c r="L5" s="55"/>
      <c r="M5" s="55"/>
      <c r="N5" s="55"/>
      <c r="O5" s="55"/>
      <c r="P5" s="55"/>
      <c r="Q5" s="55"/>
      <c r="R5" s="55"/>
    </row>
    <row r="6" spans="1:18" ht="15.75">
      <c r="A6" s="258"/>
      <c r="B6" s="7" t="s">
        <v>147</v>
      </c>
      <c r="C6" s="7"/>
      <c r="D6" s="156" t="s">
        <v>26</v>
      </c>
      <c r="E6" s="7"/>
      <c r="F6" s="7"/>
      <c r="G6" s="7"/>
      <c r="H6" s="7"/>
      <c r="I6" s="7"/>
      <c r="J6" s="7"/>
      <c r="K6" s="1"/>
      <c r="L6" s="55"/>
      <c r="M6" s="55"/>
      <c r="N6" s="55"/>
      <c r="O6" s="55"/>
      <c r="P6" s="55"/>
      <c r="Q6" s="55"/>
      <c r="R6" s="55"/>
    </row>
    <row r="7" spans="1:18" ht="18.75">
      <c r="A7" s="258"/>
      <c r="B7" s="45" t="str">
        <f>EnterP_Inv!$D$9</f>
        <v>Spring Wheat</v>
      </c>
      <c r="C7" s="55"/>
      <c r="D7" s="46">
        <f>EnterP_Inv!$D$11</f>
        <v>750</v>
      </c>
      <c r="E7" s="18" t="s">
        <v>52</v>
      </c>
      <c r="F7" s="10"/>
      <c r="G7" s="10"/>
      <c r="H7" s="10"/>
      <c r="I7" s="10"/>
      <c r="J7" s="10"/>
      <c r="K7" s="5"/>
      <c r="L7" s="55"/>
      <c r="M7" s="55"/>
      <c r="N7" s="55"/>
      <c r="O7" s="55"/>
      <c r="P7" s="55"/>
      <c r="Q7" s="55"/>
      <c r="R7" s="55"/>
    </row>
    <row r="8" spans="1:18" ht="15.75">
      <c r="A8" s="258"/>
      <c r="B8" s="10"/>
      <c r="C8" s="10"/>
      <c r="D8" s="10"/>
      <c r="E8" s="11"/>
      <c r="F8" s="14" t="s">
        <v>40</v>
      </c>
      <c r="G8" s="15" t="s">
        <v>41</v>
      </c>
      <c r="H8" s="15" t="s">
        <v>2</v>
      </c>
      <c r="I8" s="15" t="s">
        <v>3</v>
      </c>
      <c r="J8" s="15" t="s">
        <v>3</v>
      </c>
      <c r="K8" s="5"/>
      <c r="L8" s="55"/>
      <c r="M8" s="55"/>
      <c r="N8" s="55"/>
      <c r="O8" s="55"/>
      <c r="P8" s="55"/>
      <c r="Q8" s="55"/>
      <c r="R8" s="55"/>
    </row>
    <row r="9" spans="1:18" ht="15.75">
      <c r="A9" s="258"/>
      <c r="B9" s="7"/>
      <c r="C9" s="7"/>
      <c r="D9" s="7"/>
      <c r="E9" s="12"/>
      <c r="F9" s="13" t="s">
        <v>42</v>
      </c>
      <c r="G9" s="9" t="s">
        <v>42</v>
      </c>
      <c r="H9" s="9" t="s">
        <v>7</v>
      </c>
      <c r="I9" s="9" t="s">
        <v>7</v>
      </c>
      <c r="J9" s="9" t="s">
        <v>6</v>
      </c>
      <c r="K9" s="5"/>
      <c r="L9" s="55"/>
      <c r="M9" s="55"/>
      <c r="N9" s="55"/>
      <c r="O9" s="55"/>
      <c r="P9" s="55"/>
      <c r="Q9" s="55"/>
      <c r="R9" s="55"/>
    </row>
    <row r="10" spans="1:18" ht="18.75">
      <c r="A10" s="258"/>
      <c r="B10" s="45" t="s">
        <v>193</v>
      </c>
      <c r="C10" s="7"/>
      <c r="D10" s="7"/>
      <c r="E10" s="19" t="s">
        <v>43</v>
      </c>
      <c r="F10" s="13" t="s">
        <v>44</v>
      </c>
      <c r="G10" s="9" t="s">
        <v>44</v>
      </c>
      <c r="H10" s="9" t="s">
        <v>9</v>
      </c>
      <c r="I10" s="9" t="s">
        <v>9</v>
      </c>
      <c r="J10" s="9" t="s">
        <v>9</v>
      </c>
      <c r="K10" s="5"/>
      <c r="L10" s="55"/>
      <c r="M10" s="55"/>
      <c r="N10" s="55"/>
      <c r="O10" s="55"/>
      <c r="P10" s="55"/>
      <c r="Q10" s="55"/>
      <c r="R10" s="55"/>
    </row>
    <row r="11" spans="1:18" ht="15.75">
      <c r="A11" s="258"/>
      <c r="B11" s="10"/>
      <c r="C11" s="10"/>
      <c r="D11" s="10"/>
      <c r="E11" s="174"/>
      <c r="F11" s="174"/>
      <c r="G11" s="174"/>
      <c r="H11" s="174"/>
      <c r="I11" s="174"/>
      <c r="J11" s="174"/>
      <c r="K11" s="5"/>
      <c r="L11" s="55"/>
      <c r="M11" s="55"/>
      <c r="N11" s="55"/>
      <c r="O11" s="55"/>
      <c r="P11" s="55"/>
      <c r="Q11" s="55"/>
      <c r="R11" s="55"/>
    </row>
    <row r="12" spans="1:18" ht="15.75">
      <c r="A12" s="258"/>
      <c r="B12" s="32" t="s">
        <v>173</v>
      </c>
      <c r="C12" s="7"/>
      <c r="D12" s="7"/>
      <c r="E12" s="154" t="s">
        <v>45</v>
      </c>
      <c r="F12" s="229">
        <v>21</v>
      </c>
      <c r="G12" s="147">
        <v>1</v>
      </c>
      <c r="H12" s="155">
        <v>1</v>
      </c>
      <c r="I12" s="168">
        <f>F12*G12*H12*$D$7</f>
        <v>15750</v>
      </c>
      <c r="J12" s="168">
        <f aca="true" t="shared" si="0" ref="J12:J21">F12*G12*(1-H12)*$D$7</f>
        <v>0</v>
      </c>
      <c r="K12" s="5"/>
      <c r="L12" s="55"/>
      <c r="M12" s="55"/>
      <c r="N12" s="55"/>
      <c r="O12" s="55"/>
      <c r="P12" s="55"/>
      <c r="Q12" s="55"/>
      <c r="R12" s="55"/>
    </row>
    <row r="13" spans="1:18" ht="15.75">
      <c r="A13" s="258"/>
      <c r="B13" s="32" t="s">
        <v>174</v>
      </c>
      <c r="C13" s="21"/>
      <c r="D13" s="259"/>
      <c r="E13" s="154" t="s">
        <v>46</v>
      </c>
      <c r="F13" s="229">
        <v>18</v>
      </c>
      <c r="G13" s="147">
        <v>1</v>
      </c>
      <c r="H13" s="155">
        <v>1</v>
      </c>
      <c r="I13" s="168">
        <f>F13*G13*H13*$D$7</f>
        <v>13500</v>
      </c>
      <c r="J13" s="168">
        <f t="shared" si="0"/>
        <v>0</v>
      </c>
      <c r="K13" s="5"/>
      <c r="L13" s="55"/>
      <c r="M13" s="55"/>
      <c r="N13" s="55"/>
      <c r="O13" s="55"/>
      <c r="P13" s="55"/>
      <c r="Q13" s="55"/>
      <c r="R13" s="55"/>
    </row>
    <row r="14" spans="1:18" ht="15.75">
      <c r="A14" s="258"/>
      <c r="B14" s="226"/>
      <c r="C14" s="227"/>
      <c r="D14" s="20"/>
      <c r="E14" s="154" t="s">
        <v>210</v>
      </c>
      <c r="F14" s="229">
        <v>0</v>
      </c>
      <c r="G14" s="147">
        <v>1</v>
      </c>
      <c r="H14" s="155">
        <v>1</v>
      </c>
      <c r="I14" s="168">
        <f aca="true" t="shared" si="1" ref="I14:I21">F14*G14*H14*$D$7</f>
        <v>0</v>
      </c>
      <c r="J14" s="168">
        <f t="shared" si="0"/>
        <v>0</v>
      </c>
      <c r="K14" s="5"/>
      <c r="L14" s="55"/>
      <c r="M14" s="55"/>
      <c r="N14" s="55"/>
      <c r="O14" s="55"/>
      <c r="P14" s="55"/>
      <c r="Q14" s="55"/>
      <c r="R14" s="55"/>
    </row>
    <row r="15" spans="1:18" ht="15.75">
      <c r="A15" s="258"/>
      <c r="B15" s="226"/>
      <c r="C15" s="227"/>
      <c r="D15" s="8"/>
      <c r="E15" s="154" t="s">
        <v>48</v>
      </c>
      <c r="F15" s="229">
        <v>0</v>
      </c>
      <c r="G15" s="147">
        <v>1</v>
      </c>
      <c r="H15" s="155">
        <v>1</v>
      </c>
      <c r="I15" s="168">
        <f t="shared" si="1"/>
        <v>0</v>
      </c>
      <c r="J15" s="168">
        <f t="shared" si="0"/>
        <v>0</v>
      </c>
      <c r="K15" s="5"/>
      <c r="L15" s="55"/>
      <c r="M15" s="180"/>
      <c r="N15" s="55"/>
      <c r="O15" s="55"/>
      <c r="P15" s="260" t="s">
        <v>220</v>
      </c>
      <c r="Q15" s="55"/>
      <c r="R15" s="55"/>
    </row>
    <row r="16" spans="1:18" ht="15.75">
      <c r="A16" s="258"/>
      <c r="B16" s="32" t="s">
        <v>198</v>
      </c>
      <c r="C16" s="7"/>
      <c r="D16" s="21"/>
      <c r="E16" s="154" t="s">
        <v>47</v>
      </c>
      <c r="F16" s="229">
        <v>0</v>
      </c>
      <c r="G16" s="147">
        <v>1</v>
      </c>
      <c r="H16" s="155">
        <v>1</v>
      </c>
      <c r="I16" s="168">
        <f t="shared" si="1"/>
        <v>0</v>
      </c>
      <c r="J16" s="168">
        <f t="shared" si="0"/>
        <v>0</v>
      </c>
      <c r="K16" s="5"/>
      <c r="L16" s="55"/>
      <c r="M16" s="180"/>
      <c r="N16" s="55"/>
      <c r="O16" s="55"/>
      <c r="P16" s="261" t="s">
        <v>221</v>
      </c>
      <c r="Q16" s="55"/>
      <c r="R16" s="55"/>
    </row>
    <row r="17" spans="1:18" ht="15.75">
      <c r="A17" s="258"/>
      <c r="B17" s="32" t="s">
        <v>175</v>
      </c>
      <c r="C17" s="21"/>
      <c r="D17" s="259"/>
      <c r="E17" s="154" t="s">
        <v>48</v>
      </c>
      <c r="F17" s="229">
        <v>0</v>
      </c>
      <c r="G17" s="147">
        <v>1</v>
      </c>
      <c r="H17" s="155">
        <v>0</v>
      </c>
      <c r="I17" s="168">
        <f t="shared" si="1"/>
        <v>0</v>
      </c>
      <c r="J17" s="168">
        <f t="shared" si="0"/>
        <v>0</v>
      </c>
      <c r="K17" s="5"/>
      <c r="L17" s="55"/>
      <c r="M17" s="180"/>
      <c r="N17" s="55"/>
      <c r="O17" s="55"/>
      <c r="P17" s="262" t="s">
        <v>222</v>
      </c>
      <c r="Q17" s="55"/>
      <c r="R17" s="55"/>
    </row>
    <row r="18" spans="1:18" ht="15.75">
      <c r="A18" s="258"/>
      <c r="B18" s="226"/>
      <c r="C18" s="227" t="s">
        <v>212</v>
      </c>
      <c r="D18" s="20"/>
      <c r="E18" s="154" t="s">
        <v>210</v>
      </c>
      <c r="F18" s="229">
        <v>1100</v>
      </c>
      <c r="G18" s="147">
        <v>0.024</v>
      </c>
      <c r="H18" s="155">
        <v>0.76</v>
      </c>
      <c r="I18" s="168">
        <f t="shared" si="1"/>
        <v>15048.000000000002</v>
      </c>
      <c r="J18" s="168">
        <f t="shared" si="0"/>
        <v>4752</v>
      </c>
      <c r="K18" s="5"/>
      <c r="L18" s="55"/>
      <c r="M18" s="180"/>
      <c r="N18" s="223" t="s">
        <v>212</v>
      </c>
      <c r="O18" s="277">
        <v>0.024038461538461543</v>
      </c>
      <c r="P18" s="263">
        <f>2000*O18</f>
        <v>48.07692307692309</v>
      </c>
      <c r="Q18" s="55"/>
      <c r="R18" s="55"/>
    </row>
    <row r="19" spans="1:18" ht="15.75">
      <c r="A19" s="258"/>
      <c r="B19" s="226"/>
      <c r="C19" s="227" t="s">
        <v>211</v>
      </c>
      <c r="D19" s="8"/>
      <c r="E19" s="154" t="s">
        <v>236</v>
      </c>
      <c r="F19" s="229">
        <v>0.6</v>
      </c>
      <c r="G19" s="147">
        <v>50</v>
      </c>
      <c r="H19" s="155">
        <v>0.76</v>
      </c>
      <c r="I19" s="168">
        <f t="shared" si="1"/>
        <v>17100</v>
      </c>
      <c r="J19" s="168">
        <f t="shared" si="0"/>
        <v>5399.999999999999</v>
      </c>
      <c r="K19" s="5"/>
      <c r="L19" s="55"/>
      <c r="M19" s="180" t="s">
        <v>217</v>
      </c>
      <c r="N19" s="120">
        <f>2000*0.11</f>
        <v>220</v>
      </c>
      <c r="O19" s="264">
        <f>N19*$O$18</f>
        <v>5.288461538461539</v>
      </c>
      <c r="P19" s="55"/>
      <c r="Q19" s="55"/>
      <c r="R19" s="55"/>
    </row>
    <row r="20" spans="1:18" ht="15.75">
      <c r="A20" s="258"/>
      <c r="B20" s="32" t="s">
        <v>199</v>
      </c>
      <c r="C20" s="7"/>
      <c r="D20" s="7"/>
      <c r="E20" s="154" t="s">
        <v>47</v>
      </c>
      <c r="F20" s="229">
        <v>4</v>
      </c>
      <c r="G20" s="147">
        <v>1</v>
      </c>
      <c r="H20" s="155">
        <v>1</v>
      </c>
      <c r="I20" s="168">
        <f t="shared" si="1"/>
        <v>3000</v>
      </c>
      <c r="J20" s="168">
        <f t="shared" si="0"/>
        <v>0</v>
      </c>
      <c r="K20" s="5"/>
      <c r="L20" s="55"/>
      <c r="M20" s="180" t="s">
        <v>218</v>
      </c>
      <c r="N20" s="120">
        <f>2000*0.52</f>
        <v>1040</v>
      </c>
      <c r="O20" s="264">
        <f>N20*$O$18</f>
        <v>25.000000000000004</v>
      </c>
      <c r="P20" s="55"/>
      <c r="Q20" s="55"/>
      <c r="R20" s="55"/>
    </row>
    <row r="21" spans="1:18" ht="15.75">
      <c r="A21" s="258"/>
      <c r="B21" s="32" t="s">
        <v>176</v>
      </c>
      <c r="C21" s="7"/>
      <c r="D21" s="7"/>
      <c r="E21" s="154" t="s">
        <v>47</v>
      </c>
      <c r="F21" s="229">
        <v>15.2</v>
      </c>
      <c r="G21" s="147">
        <v>1</v>
      </c>
      <c r="H21" s="155">
        <v>1</v>
      </c>
      <c r="I21" s="168">
        <f t="shared" si="1"/>
        <v>11400</v>
      </c>
      <c r="J21" s="168">
        <f t="shared" si="0"/>
        <v>0</v>
      </c>
      <c r="K21" s="5"/>
      <c r="L21" s="55"/>
      <c r="M21" s="225" t="s">
        <v>219</v>
      </c>
      <c r="N21" s="121">
        <f>2000-(N19+N20)</f>
        <v>740</v>
      </c>
      <c r="O21" s="264">
        <f>N21*$O$18</f>
        <v>17.788461538461544</v>
      </c>
      <c r="P21" s="55"/>
      <c r="Q21" s="55"/>
      <c r="R21" s="55"/>
    </row>
    <row r="22" spans="1:18" ht="15.75">
      <c r="A22" s="258"/>
      <c r="B22" s="32" t="s">
        <v>213</v>
      </c>
      <c r="C22" s="7"/>
      <c r="D22" s="7"/>
      <c r="E22" s="265"/>
      <c r="F22" s="266"/>
      <c r="G22" s="267"/>
      <c r="H22" s="268"/>
      <c r="I22" s="173"/>
      <c r="J22" s="173"/>
      <c r="K22" s="5"/>
      <c r="L22" s="55"/>
      <c r="M22" s="180" t="s">
        <v>223</v>
      </c>
      <c r="N22" s="120">
        <f>SUM(N19:N21)</f>
        <v>2000</v>
      </c>
      <c r="O22" s="55"/>
      <c r="P22" s="55"/>
      <c r="Q22" s="55"/>
      <c r="R22" s="55"/>
    </row>
    <row r="23" spans="1:18" ht="15.75">
      <c r="A23" s="258"/>
      <c r="B23" s="6" t="s">
        <v>171</v>
      </c>
      <c r="C23" s="7"/>
      <c r="D23" s="7"/>
      <c r="E23" s="154" t="s">
        <v>46</v>
      </c>
      <c r="F23" s="229">
        <f>(7706+6652+2221+385+333+111)/4500</f>
        <v>3.8684444444444446</v>
      </c>
      <c r="G23" s="147">
        <v>1</v>
      </c>
      <c r="H23" s="155">
        <v>1</v>
      </c>
      <c r="I23" s="168">
        <f>IF(F23&gt;100,F23*G23*H23,+F23*G23*H23*$D$7)*EnterP_Inv!$L$12</f>
        <v>2901.3333333333335</v>
      </c>
      <c r="J23" s="168">
        <f>(IF(F23&gt;100,F23*G23*(1-H23),F23*G23*(1-H23)*$D$7))*EnterP_Inv!$L$12</f>
        <v>0</v>
      </c>
      <c r="K23" s="5"/>
      <c r="L23" s="55"/>
      <c r="M23" s="180" t="s">
        <v>224</v>
      </c>
      <c r="N23" s="276">
        <v>1100</v>
      </c>
      <c r="O23" s="55"/>
      <c r="P23" s="55"/>
      <c r="Q23" s="55"/>
      <c r="R23" s="55"/>
    </row>
    <row r="24" spans="1:18" ht="15.75">
      <c r="A24" s="258"/>
      <c r="B24" s="6" t="s">
        <v>172</v>
      </c>
      <c r="C24" s="7"/>
      <c r="D24" s="7"/>
      <c r="E24" s="154" t="s">
        <v>46</v>
      </c>
      <c r="F24" s="229">
        <f>(1168+1911+947+1425)/4500</f>
        <v>1.2113333333333334</v>
      </c>
      <c r="G24" s="147">
        <v>1</v>
      </c>
      <c r="H24" s="155">
        <v>1</v>
      </c>
      <c r="I24" s="168">
        <f>IF(F24&gt;100,F24*G24*H24,+F24*G24*H24*$D$7)</f>
        <v>908.5</v>
      </c>
      <c r="J24" s="168">
        <f>IF(F24&gt;100,F24*G24*(1-H24),F24*G24*(1-H24)*$D$7)</f>
        <v>0</v>
      </c>
      <c r="K24" s="5"/>
      <c r="L24" s="55"/>
      <c r="M24" s="55"/>
      <c r="N24" s="224">
        <f>N23/2000</f>
        <v>0.55</v>
      </c>
      <c r="O24" s="180" t="s">
        <v>225</v>
      </c>
      <c r="P24" s="55"/>
      <c r="Q24" s="55"/>
      <c r="R24" s="55"/>
    </row>
    <row r="25" spans="1:18" ht="15.75">
      <c r="A25" s="258"/>
      <c r="B25" s="32" t="s">
        <v>177</v>
      </c>
      <c r="C25" s="7"/>
      <c r="D25" s="7"/>
      <c r="E25" s="265"/>
      <c r="F25" s="266"/>
      <c r="G25" s="267"/>
      <c r="H25" s="268"/>
      <c r="I25" s="173"/>
      <c r="J25" s="173"/>
      <c r="K25" s="5"/>
      <c r="L25" s="55"/>
      <c r="M25" s="180"/>
      <c r="N25" s="55"/>
      <c r="O25" s="55"/>
      <c r="P25" s="55"/>
      <c r="Q25" s="55"/>
      <c r="R25" s="55"/>
    </row>
    <row r="26" spans="1:18" ht="15.75">
      <c r="A26" s="258"/>
      <c r="B26" s="6" t="s">
        <v>171</v>
      </c>
      <c r="C26" s="7"/>
      <c r="D26" s="7"/>
      <c r="E26" s="154" t="s">
        <v>46</v>
      </c>
      <c r="F26" s="229">
        <f>(2700+135+6738+2166+337+108)/4500</f>
        <v>2.7075555555555555</v>
      </c>
      <c r="G26" s="147">
        <v>1</v>
      </c>
      <c r="H26" s="155">
        <v>1</v>
      </c>
      <c r="I26" s="168">
        <f>IF(F26&gt;100,F26*G26*H26,+F26*G26*H26*$D$7)*EnterP_Inv!$L$12</f>
        <v>2030.6666666666665</v>
      </c>
      <c r="J26" s="168">
        <f>(IF(F26&gt;100,F26*G26*(1-H26),F26*G26*(1-H26)*$D$7))*EnterP_Inv!$L$12</f>
        <v>0</v>
      </c>
      <c r="K26" s="5"/>
      <c r="L26" s="55"/>
      <c r="M26" s="180"/>
      <c r="N26" s="55"/>
      <c r="O26" s="55"/>
      <c r="P26" s="55"/>
      <c r="Q26" s="55"/>
      <c r="R26" s="55"/>
    </row>
    <row r="27" spans="1:18" ht="15.75">
      <c r="A27" s="258"/>
      <c r="B27" s="6" t="s">
        <v>172</v>
      </c>
      <c r="C27" s="7"/>
      <c r="D27" s="7"/>
      <c r="E27" s="154" t="s">
        <v>46</v>
      </c>
      <c r="F27" s="229">
        <f>(4957+7643+2917+804)/4500</f>
        <v>3.626888888888889</v>
      </c>
      <c r="G27" s="147">
        <v>1</v>
      </c>
      <c r="H27" s="155">
        <v>1</v>
      </c>
      <c r="I27" s="168">
        <f>IF(F27&gt;100,F27*G27*H27,+F27*G27*H27*$D$7)</f>
        <v>2720.1666666666665</v>
      </c>
      <c r="J27" s="168">
        <f>IF(F27&gt;100,F27*G27*(1-H27),F27*G27*(1-H27)*$D$7)</f>
        <v>0</v>
      </c>
      <c r="K27" s="5"/>
      <c r="L27" s="55"/>
      <c r="M27" s="180"/>
      <c r="N27" s="125" t="s">
        <v>211</v>
      </c>
      <c r="O27" s="55"/>
      <c r="P27" s="55"/>
      <c r="Q27" s="55"/>
      <c r="R27" s="55"/>
    </row>
    <row r="28" spans="1:18" ht="15.75">
      <c r="A28" s="258"/>
      <c r="B28" s="32" t="s">
        <v>178</v>
      </c>
      <c r="C28" s="7"/>
      <c r="D28" s="7"/>
      <c r="E28" s="265"/>
      <c r="F28" s="266" t="s">
        <v>49</v>
      </c>
      <c r="G28" s="267"/>
      <c r="H28" s="268"/>
      <c r="I28" s="173"/>
      <c r="J28" s="173"/>
      <c r="K28" s="5"/>
      <c r="L28" s="55"/>
      <c r="M28" s="180"/>
      <c r="N28" s="120">
        <f>2000*0.46</f>
        <v>920</v>
      </c>
      <c r="O28" s="55" t="s">
        <v>216</v>
      </c>
      <c r="P28" s="55"/>
      <c r="Q28" s="55"/>
      <c r="R28" s="55"/>
    </row>
    <row r="29" spans="1:18" ht="15.75">
      <c r="A29" s="258"/>
      <c r="B29" s="6" t="s">
        <v>185</v>
      </c>
      <c r="C29" s="7"/>
      <c r="D29" s="7"/>
      <c r="E29" s="154" t="s">
        <v>50</v>
      </c>
      <c r="F29" s="229">
        <v>0</v>
      </c>
      <c r="G29" s="147">
        <v>1</v>
      </c>
      <c r="H29" s="155">
        <v>1</v>
      </c>
      <c r="I29" s="168">
        <f>F29*G29*H29*$D$7</f>
        <v>0</v>
      </c>
      <c r="J29" s="168">
        <f>F29*G29*(1-H29)*$D$7</f>
        <v>0</v>
      </c>
      <c r="K29" s="5"/>
      <c r="L29" s="55"/>
      <c r="M29" s="180"/>
      <c r="N29" s="276">
        <v>600</v>
      </c>
      <c r="O29" s="55" t="s">
        <v>226</v>
      </c>
      <c r="P29" s="55"/>
      <c r="Q29" s="55"/>
      <c r="R29" s="55"/>
    </row>
    <row r="30" spans="1:18" ht="15.75">
      <c r="A30" s="258"/>
      <c r="B30" s="6" t="s">
        <v>186</v>
      </c>
      <c r="C30" s="7"/>
      <c r="D30" s="7"/>
      <c r="E30" s="154" t="s">
        <v>50</v>
      </c>
      <c r="F30" s="229">
        <v>0</v>
      </c>
      <c r="G30" s="147">
        <v>1</v>
      </c>
      <c r="H30" s="155">
        <v>1</v>
      </c>
      <c r="I30" s="168">
        <f>F30*G30*H30*$D$7</f>
        <v>0</v>
      </c>
      <c r="J30" s="168">
        <f>F30*G30*(1-H30)*$D$7</f>
        <v>0</v>
      </c>
      <c r="K30" s="5"/>
      <c r="L30" s="55"/>
      <c r="M30" s="180"/>
      <c r="N30" s="224">
        <f>N29/920</f>
        <v>0.6521739130434783</v>
      </c>
      <c r="O30" s="55" t="s">
        <v>227</v>
      </c>
      <c r="P30" s="55"/>
      <c r="Q30" s="55"/>
      <c r="R30" s="55"/>
    </row>
    <row r="31" spans="1:18" ht="15.75">
      <c r="A31" s="258"/>
      <c r="B31" s="6" t="s">
        <v>187</v>
      </c>
      <c r="C31" s="7"/>
      <c r="D31" s="7"/>
      <c r="E31" s="154" t="s">
        <v>50</v>
      </c>
      <c r="F31" s="229">
        <v>0</v>
      </c>
      <c r="G31" s="147">
        <v>1</v>
      </c>
      <c r="H31" s="177">
        <v>1</v>
      </c>
      <c r="I31" s="181">
        <f>F31*G31*H31*$D$7</f>
        <v>0</v>
      </c>
      <c r="J31" s="182">
        <f>F31*G31*(1-H31)*$D$7</f>
        <v>0</v>
      </c>
      <c r="K31" s="5"/>
      <c r="L31" s="55"/>
      <c r="M31" s="55"/>
      <c r="N31" s="55"/>
      <c r="O31" s="55"/>
      <c r="P31" s="55"/>
      <c r="Q31" s="55"/>
      <c r="R31" s="55"/>
    </row>
    <row r="32" spans="1:18" ht="15.75">
      <c r="A32" s="258"/>
      <c r="B32" s="32" t="s">
        <v>179</v>
      </c>
      <c r="C32" s="7"/>
      <c r="D32" s="7"/>
      <c r="E32" s="174"/>
      <c r="F32" s="231" t="s">
        <v>49</v>
      </c>
      <c r="G32" s="174"/>
      <c r="H32" s="176"/>
      <c r="I32" s="176"/>
      <c r="J32" s="176"/>
      <c r="K32" s="5"/>
      <c r="L32" s="55"/>
      <c r="M32" s="55"/>
      <c r="N32" s="55"/>
      <c r="O32" s="55"/>
      <c r="P32" s="55"/>
      <c r="Q32" s="55"/>
      <c r="R32" s="55"/>
    </row>
    <row r="33" spans="1:18" ht="15.75">
      <c r="A33" s="258"/>
      <c r="B33" s="6" t="s">
        <v>180</v>
      </c>
      <c r="C33" s="7"/>
      <c r="D33" s="7"/>
      <c r="E33" s="154" t="s">
        <v>50</v>
      </c>
      <c r="F33" s="229">
        <v>0</v>
      </c>
      <c r="G33" s="147">
        <v>1</v>
      </c>
      <c r="H33" s="176"/>
      <c r="I33" s="176"/>
      <c r="J33" s="168">
        <f>F33*G33*$D$7</f>
        <v>0</v>
      </c>
      <c r="K33" s="5"/>
      <c r="L33" s="55"/>
      <c r="M33" s="55"/>
      <c r="N33" s="55"/>
      <c r="O33" s="55"/>
      <c r="P33" s="55"/>
      <c r="Q33" s="55"/>
      <c r="R33" s="55"/>
    </row>
    <row r="34" spans="1:18" ht="15.75">
      <c r="A34" s="258"/>
      <c r="B34" s="6" t="s">
        <v>181</v>
      </c>
      <c r="C34" s="7"/>
      <c r="D34" s="7"/>
      <c r="E34" s="154" t="s">
        <v>50</v>
      </c>
      <c r="F34" s="229">
        <v>10</v>
      </c>
      <c r="G34" s="147">
        <v>0.4</v>
      </c>
      <c r="H34" s="176"/>
      <c r="I34" s="175">
        <f>F34*G34*$D$7</f>
        <v>3000</v>
      </c>
      <c r="J34" s="176"/>
      <c r="K34" s="5"/>
      <c r="L34" s="55"/>
      <c r="M34" s="55"/>
      <c r="N34" s="55"/>
      <c r="O34" s="55"/>
      <c r="P34" s="55"/>
      <c r="Q34" s="55"/>
      <c r="R34" s="55"/>
    </row>
    <row r="35" spans="1:18" ht="15.75">
      <c r="A35" s="258"/>
      <c r="B35" s="6" t="s">
        <v>182</v>
      </c>
      <c r="C35" s="7"/>
      <c r="D35" s="7"/>
      <c r="E35" s="154" t="s">
        <v>50</v>
      </c>
      <c r="F35" s="229">
        <v>0</v>
      </c>
      <c r="G35" s="147">
        <v>0.25</v>
      </c>
      <c r="H35" s="176"/>
      <c r="I35" s="175">
        <f>F35*G35*$D$7</f>
        <v>0</v>
      </c>
      <c r="J35" s="176"/>
      <c r="K35" s="5"/>
      <c r="L35" s="55"/>
      <c r="M35" s="55"/>
      <c r="N35" s="55"/>
      <c r="O35" s="55"/>
      <c r="P35" s="55"/>
      <c r="Q35" s="55"/>
      <c r="R35" s="55"/>
    </row>
    <row r="36" spans="1:18" ht="15.75">
      <c r="A36" s="258"/>
      <c r="B36" s="6" t="s">
        <v>183</v>
      </c>
      <c r="C36" s="7"/>
      <c r="D36" s="7"/>
      <c r="E36" s="154" t="s">
        <v>50</v>
      </c>
      <c r="F36" s="229">
        <v>0</v>
      </c>
      <c r="G36" s="147">
        <v>1</v>
      </c>
      <c r="H36" s="176"/>
      <c r="I36" s="175">
        <f>F36*G36*$D$7</f>
        <v>0</v>
      </c>
      <c r="J36" s="176"/>
      <c r="K36" s="5"/>
      <c r="L36" s="55"/>
      <c r="M36" s="55"/>
      <c r="N36" s="55"/>
      <c r="O36" s="55"/>
      <c r="P36" s="55"/>
      <c r="Q36" s="55"/>
      <c r="R36" s="55"/>
    </row>
    <row r="37" spans="1:18" ht="15.75">
      <c r="A37" s="258"/>
      <c r="B37" s="274" t="s">
        <v>200</v>
      </c>
      <c r="C37" s="8"/>
      <c r="D37" s="275"/>
      <c r="E37" s="154" t="s">
        <v>47</v>
      </c>
      <c r="F37" s="229">
        <v>0</v>
      </c>
      <c r="G37" s="147">
        <v>1</v>
      </c>
      <c r="H37" s="155">
        <v>1</v>
      </c>
      <c r="I37" s="168">
        <f>F37*G37*H37*$D$7</f>
        <v>0</v>
      </c>
      <c r="J37" s="168">
        <f>F37*G37*(1-H37)*$D$7</f>
        <v>0</v>
      </c>
      <c r="K37" s="5"/>
      <c r="L37" s="55"/>
      <c r="M37" s="55"/>
      <c r="N37" s="55"/>
      <c r="O37" s="55"/>
      <c r="P37" s="55"/>
      <c r="Q37" s="55"/>
      <c r="R37" s="55"/>
    </row>
    <row r="38" spans="1:18" ht="15.75">
      <c r="A38" s="258"/>
      <c r="B38" s="274" t="s">
        <v>201</v>
      </c>
      <c r="C38" s="8"/>
      <c r="D38" s="275"/>
      <c r="E38" s="154" t="s">
        <v>47</v>
      </c>
      <c r="F38" s="229">
        <v>0</v>
      </c>
      <c r="G38" s="147">
        <v>1</v>
      </c>
      <c r="H38" s="155">
        <v>1</v>
      </c>
      <c r="I38" s="168">
        <f>F38*G38*H38*$D$7</f>
        <v>0</v>
      </c>
      <c r="J38" s="168">
        <f>F38*G38*(1-H38)*$D$7</f>
        <v>0</v>
      </c>
      <c r="K38" s="5"/>
      <c r="L38" s="55"/>
      <c r="M38" s="55"/>
      <c r="N38" s="55"/>
      <c r="O38" s="55"/>
      <c r="P38" s="55"/>
      <c r="Q38" s="55"/>
      <c r="R38" s="55"/>
    </row>
    <row r="39" spans="1:18" ht="15.75">
      <c r="A39" s="258"/>
      <c r="B39" s="32" t="s">
        <v>184</v>
      </c>
      <c r="C39" s="7"/>
      <c r="D39" s="7"/>
      <c r="E39" s="154" t="s">
        <v>51</v>
      </c>
      <c r="F39" s="176"/>
      <c r="G39" s="176"/>
      <c r="H39" s="176"/>
      <c r="I39" s="168">
        <f>(SUM(I12:I31)+I37+I38)*EnterP_Inv!$C$17/12*$F$40</f>
        <v>2952.5533333333337</v>
      </c>
      <c r="J39" s="168">
        <f>(SUM(J12:J31)+J37+J38)*EnterP_Inv!$C$17/12*$F$40</f>
        <v>355.32000000000005</v>
      </c>
      <c r="K39" s="5"/>
      <c r="L39" s="55"/>
      <c r="M39" s="55"/>
      <c r="N39" s="55"/>
      <c r="O39" s="55"/>
      <c r="P39" s="55"/>
      <c r="Q39" s="55"/>
      <c r="R39" s="55"/>
    </row>
    <row r="40" spans="1:18" ht="15.75">
      <c r="A40" s="258"/>
      <c r="B40" s="6" t="s">
        <v>192</v>
      </c>
      <c r="C40" s="7"/>
      <c r="D40" s="7"/>
      <c r="E40" s="176"/>
      <c r="F40" s="147">
        <v>6</v>
      </c>
      <c r="G40" s="176"/>
      <c r="H40" s="176"/>
      <c r="I40" s="178"/>
      <c r="J40" s="179"/>
      <c r="K40" s="5"/>
      <c r="L40" s="55"/>
      <c r="M40" s="55"/>
      <c r="N40" s="55"/>
      <c r="O40" s="55"/>
      <c r="P40" s="55"/>
      <c r="Q40" s="55"/>
      <c r="R40" s="55"/>
    </row>
    <row r="41" spans="1:18" ht="18.75">
      <c r="A41" s="258"/>
      <c r="B41" s="150" t="s">
        <v>194</v>
      </c>
      <c r="C41" s="10"/>
      <c r="D41" s="10"/>
      <c r="E41" s="174"/>
      <c r="F41" s="174"/>
      <c r="G41" s="174"/>
      <c r="H41" s="174"/>
      <c r="I41" s="176"/>
      <c r="J41" s="176"/>
      <c r="K41" s="5"/>
      <c r="L41" s="55"/>
      <c r="M41" s="55"/>
      <c r="N41" s="55"/>
      <c r="O41" s="55"/>
      <c r="P41" s="55"/>
      <c r="Q41" s="55"/>
      <c r="R41" s="55"/>
    </row>
    <row r="42" spans="1:18" ht="15.75">
      <c r="A42" s="258"/>
      <c r="B42" s="32" t="s">
        <v>188</v>
      </c>
      <c r="C42" s="7"/>
      <c r="D42" s="7"/>
      <c r="E42" s="265"/>
      <c r="F42" s="269"/>
      <c r="G42" s="267"/>
      <c r="H42" s="268"/>
      <c r="I42" s="173"/>
      <c r="J42" s="173"/>
      <c r="K42" s="5"/>
      <c r="L42" s="55"/>
      <c r="M42" s="55"/>
      <c r="N42" s="55"/>
      <c r="O42" s="55"/>
      <c r="P42" s="55"/>
      <c r="Q42" s="55"/>
      <c r="R42" s="55"/>
    </row>
    <row r="43" spans="1:18" ht="15.75">
      <c r="A43" s="258"/>
      <c r="B43" s="6" t="s">
        <v>171</v>
      </c>
      <c r="C43" s="7"/>
      <c r="D43" s="7"/>
      <c r="E43" s="154" t="s">
        <v>47</v>
      </c>
      <c r="F43" s="229">
        <f>(10808+540)/4500</f>
        <v>2.521777777777778</v>
      </c>
      <c r="G43" s="147">
        <v>1</v>
      </c>
      <c r="H43" s="155">
        <v>1</v>
      </c>
      <c r="I43" s="168">
        <f>IF(F43&gt;100,F43*G43*H43,+F43*G43*H43*$D$7)*EnterP_Inv!$L$12</f>
        <v>1891.3333333333335</v>
      </c>
      <c r="J43" s="168">
        <f>(IF(F43&gt;100,F43*G43*(1-H43),F43*G43*(1-H43)*$D$7))*EnterP_Inv!$L$12</f>
        <v>0</v>
      </c>
      <c r="K43" s="5"/>
      <c r="L43" s="55"/>
      <c r="M43" s="55"/>
      <c r="N43" s="55"/>
      <c r="O43" s="55"/>
      <c r="P43" s="55"/>
      <c r="Q43" s="55"/>
      <c r="R43" s="55"/>
    </row>
    <row r="44" spans="1:18" ht="15.75">
      <c r="A44" s="258"/>
      <c r="B44" s="6" t="s">
        <v>172</v>
      </c>
      <c r="C44" s="7"/>
      <c r="D44" s="7"/>
      <c r="E44" s="154" t="s">
        <v>46</v>
      </c>
      <c r="F44" s="229">
        <f>14800/4500</f>
        <v>3.2888888888888888</v>
      </c>
      <c r="G44" s="147">
        <v>1</v>
      </c>
      <c r="H44" s="155">
        <v>1</v>
      </c>
      <c r="I44" s="168">
        <f>IF(F44&gt;100,F44*G44*H44,+F44*G44*H44*$D$7)</f>
        <v>2466.6666666666665</v>
      </c>
      <c r="J44" s="168">
        <f>IF(F44&gt;100,F44*G44*(1-H44),F44*G44*(1-H44)*$D$7)</f>
        <v>0</v>
      </c>
      <c r="K44" s="5"/>
      <c r="L44" s="55"/>
      <c r="M44" s="55"/>
      <c r="N44" s="55"/>
      <c r="O44" s="55"/>
      <c r="P44" s="55"/>
      <c r="Q44" s="55"/>
      <c r="R44" s="55"/>
    </row>
    <row r="45" spans="1:18" ht="15.75">
      <c r="A45" s="258"/>
      <c r="B45" s="6" t="s">
        <v>202</v>
      </c>
      <c r="C45" s="7"/>
      <c r="D45" s="7"/>
      <c r="E45" s="154" t="s">
        <v>46</v>
      </c>
      <c r="F45" s="229"/>
      <c r="G45" s="147">
        <v>1</v>
      </c>
      <c r="H45" s="155">
        <v>1</v>
      </c>
      <c r="I45" s="168">
        <f>IF(F45&gt;100,F45*G45*H45,+F45*G45*H45*$D$7)</f>
        <v>0</v>
      </c>
      <c r="J45" s="168">
        <f>IF(F45&gt;100,F45*G45*(1-H45),F45*G45*(1-H45)*$D$7)</f>
        <v>0</v>
      </c>
      <c r="K45" s="5"/>
      <c r="L45" s="55"/>
      <c r="M45" s="55"/>
      <c r="N45" s="55"/>
      <c r="O45" s="55"/>
      <c r="P45" s="55"/>
      <c r="Q45" s="55"/>
      <c r="R45" s="55"/>
    </row>
    <row r="46" spans="1:18" ht="15.75">
      <c r="A46" s="258"/>
      <c r="B46" s="32" t="s">
        <v>189</v>
      </c>
      <c r="C46" s="7"/>
      <c r="D46" s="7"/>
      <c r="E46" s="265"/>
      <c r="F46" s="266"/>
      <c r="G46" s="267"/>
      <c r="H46" s="268"/>
      <c r="I46" s="173"/>
      <c r="J46" s="173"/>
      <c r="K46" s="5"/>
      <c r="L46" s="55"/>
      <c r="M46" s="55"/>
      <c r="N46" s="55"/>
      <c r="O46" s="55"/>
      <c r="P46" s="55"/>
      <c r="Q46" s="55"/>
      <c r="R46" s="55"/>
    </row>
    <row r="47" spans="1:18" ht="15.75">
      <c r="A47" s="258"/>
      <c r="B47" s="6" t="s">
        <v>171</v>
      </c>
      <c r="C47" s="7"/>
      <c r="D47" s="7"/>
      <c r="E47" s="154" t="s">
        <v>47</v>
      </c>
      <c r="F47" s="229">
        <f>(8077+9387+337+469)/4500</f>
        <v>4.06</v>
      </c>
      <c r="G47" s="147">
        <v>1</v>
      </c>
      <c r="H47" s="155">
        <v>1</v>
      </c>
      <c r="I47" s="168">
        <f>IF(F47&gt;100,F47*G47*H47,+F47*G47*H47*$D$7)*EnterP_Inv!$L$12</f>
        <v>3044.9999999999995</v>
      </c>
      <c r="J47" s="168">
        <f>(IF(F47&gt;100,F47*G47*(1-H47),F47*G47*(1-H47)*$D$7))*EnterP_Inv!$L$12</f>
        <v>0</v>
      </c>
      <c r="K47" s="5"/>
      <c r="L47" s="55"/>
      <c r="M47" s="55"/>
      <c r="N47" s="55"/>
      <c r="O47" s="55"/>
      <c r="P47" s="55"/>
      <c r="Q47" s="55"/>
      <c r="R47" s="55"/>
    </row>
    <row r="48" spans="1:18" ht="15.75">
      <c r="A48" s="258"/>
      <c r="B48" s="6" t="s">
        <v>172</v>
      </c>
      <c r="C48" s="7"/>
      <c r="D48" s="7"/>
      <c r="E48" s="154" t="s">
        <v>46</v>
      </c>
      <c r="F48" s="229">
        <f>(1750+1426)/4500</f>
        <v>0.7057777777777777</v>
      </c>
      <c r="G48" s="147">
        <v>1</v>
      </c>
      <c r="H48" s="155">
        <v>1</v>
      </c>
      <c r="I48" s="168">
        <f>IF(F48&gt;100,F48*G48*H48,+F48*G48*H48*$D$7)</f>
        <v>529.3333333333333</v>
      </c>
      <c r="J48" s="168">
        <f>IF(F48&gt;100,F48*G48*(1-H48),F48*G48*(1-H48)*$D$7)</f>
        <v>0</v>
      </c>
      <c r="K48" s="5"/>
      <c r="L48" s="55"/>
      <c r="M48" s="55"/>
      <c r="N48" s="55"/>
      <c r="O48" s="55"/>
      <c r="P48" s="55"/>
      <c r="Q48" s="55"/>
      <c r="R48" s="55"/>
    </row>
    <row r="49" spans="1:18" ht="15.75">
      <c r="A49" s="258"/>
      <c r="B49" s="6" t="s">
        <v>203</v>
      </c>
      <c r="C49" s="7"/>
      <c r="D49" s="7"/>
      <c r="E49" s="154" t="s">
        <v>46</v>
      </c>
      <c r="F49" s="229"/>
      <c r="G49" s="147">
        <v>1</v>
      </c>
      <c r="H49" s="155">
        <v>1</v>
      </c>
      <c r="I49" s="168">
        <f>IF(F49&gt;100,F49*G49*H49,+F49*G49*H49*$D$7)</f>
        <v>0</v>
      </c>
      <c r="J49" s="168">
        <f>IF(F49&gt;100,F49*G49*(1-H49),F49*G49*(1-H49)*$D$7)</f>
        <v>0</v>
      </c>
      <c r="K49" s="5"/>
      <c r="L49" s="55"/>
      <c r="M49" s="55"/>
      <c r="N49" s="55"/>
      <c r="O49" s="55"/>
      <c r="P49" s="55"/>
      <c r="Q49" s="55"/>
      <c r="R49" s="55"/>
    </row>
    <row r="50" spans="1:18" ht="15.75">
      <c r="A50" s="258"/>
      <c r="B50" s="32" t="s">
        <v>190</v>
      </c>
      <c r="C50" s="7"/>
      <c r="D50" s="7"/>
      <c r="E50" s="154" t="s">
        <v>51</v>
      </c>
      <c r="F50" s="176"/>
      <c r="G50" s="176"/>
      <c r="H50" s="176"/>
      <c r="I50" s="169">
        <f>SUM(I42:I48)*EnterP_Inv!$C$17/12*$F$51</f>
        <v>46.27194444444444</v>
      </c>
      <c r="J50" s="169">
        <f>SUM(J42:J48)*EnterP_Inv!$C$17/12*$F$51</f>
        <v>0</v>
      </c>
      <c r="K50" s="5"/>
      <c r="L50" s="55"/>
      <c r="M50" s="55"/>
      <c r="N50" s="55"/>
      <c r="O50" s="55"/>
      <c r="P50" s="55"/>
      <c r="Q50" s="55"/>
      <c r="R50" s="55"/>
    </row>
    <row r="51" spans="1:18" ht="15.75">
      <c r="A51" s="258"/>
      <c r="B51" s="153" t="s">
        <v>191</v>
      </c>
      <c r="C51" s="7"/>
      <c r="D51" s="7"/>
      <c r="E51" s="176"/>
      <c r="F51" s="147">
        <v>1</v>
      </c>
      <c r="G51" s="176"/>
      <c r="H51" s="178"/>
      <c r="I51" s="176"/>
      <c r="J51" s="176"/>
      <c r="K51" s="5"/>
      <c r="L51" s="55"/>
      <c r="M51" s="55"/>
      <c r="N51" s="55"/>
      <c r="O51" s="55"/>
      <c r="P51" s="55"/>
      <c r="Q51" s="55"/>
      <c r="R51" s="55"/>
    </row>
    <row r="52" spans="1:18" ht="15.75">
      <c r="A52" s="258"/>
      <c r="B52" s="270"/>
      <c r="C52" s="151" t="s">
        <v>146</v>
      </c>
      <c r="D52" s="152" t="str">
        <f>$F$3</f>
        <v>Spring Wheat</v>
      </c>
      <c r="E52" s="152" t="s">
        <v>26</v>
      </c>
      <c r="F52" s="152"/>
      <c r="G52" s="152"/>
      <c r="H52" s="270"/>
      <c r="I52" s="222">
        <f>SUM(I12:I50)</f>
        <v>98289.82527777777</v>
      </c>
      <c r="J52" s="222">
        <f>SUM(J12:J50)</f>
        <v>10507.32</v>
      </c>
      <c r="K52" s="5"/>
      <c r="L52" s="55"/>
      <c r="M52" s="55"/>
      <c r="N52" s="55"/>
      <c r="O52" s="55"/>
      <c r="P52" s="55"/>
      <c r="Q52" s="55"/>
      <c r="R52" s="55"/>
    </row>
    <row r="53" spans="1:18" ht="15.75">
      <c r="A53" s="258"/>
      <c r="B53" s="7"/>
      <c r="C53" s="7"/>
      <c r="D53" s="7"/>
      <c r="E53" s="7"/>
      <c r="F53" s="7"/>
      <c r="G53" s="7"/>
      <c r="H53" s="218" t="s">
        <v>215</v>
      </c>
      <c r="I53" s="219">
        <f>IF(D7=0,0,I52/D7)</f>
        <v>131.05310037037034</v>
      </c>
      <c r="J53" s="221">
        <f>IF(D7=0,0,J52/D7)</f>
        <v>14.00976</v>
      </c>
      <c r="K53" s="1"/>
      <c r="L53" s="55"/>
      <c r="M53" s="55"/>
      <c r="N53" s="55"/>
      <c r="O53" s="55"/>
      <c r="P53" s="55"/>
      <c r="Q53" s="55"/>
      <c r="R53" s="55"/>
    </row>
    <row r="54" spans="1:18" ht="15.75">
      <c r="A54" s="258"/>
      <c r="B54" s="7"/>
      <c r="C54" s="7"/>
      <c r="D54" s="7"/>
      <c r="E54" s="7"/>
      <c r="F54" s="7"/>
      <c r="G54" s="7"/>
      <c r="H54" s="7"/>
      <c r="I54" s="220" t="s">
        <v>214</v>
      </c>
      <c r="J54" s="219">
        <f>I53+J53</f>
        <v>145.06286037037034</v>
      </c>
      <c r="K54" s="1"/>
      <c r="L54" s="55"/>
      <c r="M54" s="55"/>
      <c r="N54" s="55"/>
      <c r="O54" s="55"/>
      <c r="P54" s="55"/>
      <c r="Q54" s="55"/>
      <c r="R54" s="55"/>
    </row>
    <row r="55" spans="1:18" ht="15.75">
      <c r="A55" s="258"/>
      <c r="B55" s="55"/>
      <c r="C55" s="55"/>
      <c r="D55" s="55"/>
      <c r="E55" s="55"/>
      <c r="F55" s="55"/>
      <c r="G55" s="55"/>
      <c r="H55" s="55"/>
      <c r="I55" s="55"/>
      <c r="J55" s="55"/>
      <c r="K55" s="55"/>
      <c r="L55" s="55"/>
      <c r="M55" s="55"/>
      <c r="N55" s="55"/>
      <c r="O55" s="55"/>
      <c r="P55" s="55"/>
      <c r="Q55" s="55"/>
      <c r="R55" s="55"/>
    </row>
    <row r="56" spans="1:18" ht="15.75">
      <c r="A56" s="258"/>
      <c r="B56" s="55"/>
      <c r="C56" s="55"/>
      <c r="D56" s="55"/>
      <c r="E56" s="55"/>
      <c r="F56" s="55"/>
      <c r="G56" s="55"/>
      <c r="H56" s="55"/>
      <c r="I56" s="55"/>
      <c r="J56" s="55"/>
      <c r="K56" s="55"/>
      <c r="L56" s="55"/>
      <c r="M56" s="55"/>
      <c r="N56" s="55"/>
      <c r="O56" s="55"/>
      <c r="P56" s="55"/>
      <c r="Q56" s="55"/>
      <c r="R56" s="55"/>
    </row>
    <row r="57" spans="1:18" ht="15.75">
      <c r="A57" s="258"/>
      <c r="B57" s="55"/>
      <c r="C57" s="55"/>
      <c r="D57" s="55"/>
      <c r="E57" s="55"/>
      <c r="F57" s="55"/>
      <c r="G57" s="55"/>
      <c r="H57" s="55"/>
      <c r="I57" s="55"/>
      <c r="J57" s="55"/>
      <c r="K57" s="55"/>
      <c r="L57" s="55"/>
      <c r="M57" s="55"/>
      <c r="N57" s="55"/>
      <c r="O57" s="55"/>
      <c r="P57" s="55"/>
      <c r="Q57" s="55"/>
      <c r="R57" s="55"/>
    </row>
    <row r="58" spans="1:18" ht="15.75">
      <c r="A58" s="258"/>
      <c r="B58" s="55"/>
      <c r="C58" s="55"/>
      <c r="D58" s="55"/>
      <c r="E58" s="55"/>
      <c r="F58" s="55"/>
      <c r="G58" s="55"/>
      <c r="H58" s="55"/>
      <c r="I58" s="55"/>
      <c r="J58" s="55"/>
      <c r="K58" s="55"/>
      <c r="L58" s="55"/>
      <c r="M58" s="55"/>
      <c r="N58" s="55"/>
      <c r="O58" s="55"/>
      <c r="P58" s="55"/>
      <c r="Q58" s="55"/>
      <c r="R58" s="55"/>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Q63"/>
  <sheetViews>
    <sheetView showGridLines="0" zoomScalePageLayoutView="0" workbookViewId="0" topLeftCell="A1">
      <selection activeCell="B2" sqref="B2"/>
    </sheetView>
  </sheetViews>
  <sheetFormatPr defaultColWidth="8.796875" defaultRowHeight="15"/>
  <cols>
    <col min="1" max="1" width="4.09765625" style="132" customWidth="1"/>
    <col min="2" max="4" width="12.69921875" style="0" customWidth="1"/>
    <col min="5" max="10" width="11.69921875" style="0" customWidth="1"/>
  </cols>
  <sheetData>
    <row r="1" spans="1:17" ht="15.75">
      <c r="A1" s="258"/>
      <c r="B1" s="55"/>
      <c r="C1" s="55"/>
      <c r="D1" s="55"/>
      <c r="E1" s="55"/>
      <c r="F1" s="55"/>
      <c r="G1" s="55"/>
      <c r="H1" s="55"/>
      <c r="I1" s="55"/>
      <c r="J1" s="55"/>
      <c r="K1" s="55"/>
      <c r="L1" s="55"/>
      <c r="M1" s="55"/>
      <c r="N1" s="55"/>
      <c r="O1" s="55"/>
      <c r="P1" s="55"/>
      <c r="Q1" s="55"/>
    </row>
    <row r="2" spans="1:17" ht="16.5" thickBot="1">
      <c r="A2" s="258"/>
      <c r="B2" s="55"/>
      <c r="C2" s="55"/>
      <c r="D2" s="55"/>
      <c r="E2" s="232" t="str">
        <f>EnterP_Inv!C8</f>
        <v>Crop#1</v>
      </c>
      <c r="F2" s="232" t="str">
        <f>EnterP_Inv!D8</f>
        <v>Crop#2</v>
      </c>
      <c r="G2" s="57" t="str">
        <f>EnterP_Inv!E8</f>
        <v>Crop#3</v>
      </c>
      <c r="H2" s="232" t="str">
        <f>EnterP_Inv!F8</f>
        <v>Crop#4</v>
      </c>
      <c r="I2" s="232" t="str">
        <f>EnterP_Inv!G8</f>
        <v>Crop#5</v>
      </c>
      <c r="J2" s="232" t="str">
        <f>EnterP_Inv!H8</f>
        <v>Crop#6</v>
      </c>
      <c r="K2" s="55"/>
      <c r="L2" s="55"/>
      <c r="M2" s="55"/>
      <c r="N2" s="55"/>
      <c r="O2" s="55"/>
      <c r="P2" s="55"/>
      <c r="Q2" s="55"/>
    </row>
    <row r="3" spans="1:17" ht="15.75">
      <c r="A3" s="258"/>
      <c r="B3" s="55"/>
      <c r="C3" s="55"/>
      <c r="D3" s="55"/>
      <c r="E3" s="281" t="str">
        <f>EnterP_Inv!C9</f>
        <v>Winter Wheat</v>
      </c>
      <c r="F3" s="281" t="str">
        <f>EnterP_Inv!D9</f>
        <v>Spring Wheat</v>
      </c>
      <c r="G3" s="283" t="str">
        <f>EnterP_Inv!E9</f>
        <v>Durum</v>
      </c>
      <c r="H3" s="281" t="str">
        <f>EnterP_Inv!F9</f>
        <v>Malt Barley</v>
      </c>
      <c r="I3" s="281" t="str">
        <f>EnterP_Inv!G9</f>
        <v>Summer Fallow</v>
      </c>
      <c r="J3" s="281" t="str">
        <f>EnterP_Inv!H9</f>
        <v>Not Used</v>
      </c>
      <c r="K3" s="55"/>
      <c r="L3" s="55"/>
      <c r="M3" s="55"/>
      <c r="N3" s="55"/>
      <c r="O3" s="55"/>
      <c r="P3" s="55"/>
      <c r="Q3" s="55"/>
    </row>
    <row r="4" spans="1:17" ht="15.75">
      <c r="A4" s="258"/>
      <c r="B4" s="55"/>
      <c r="C4" s="55"/>
      <c r="D4" s="55"/>
      <c r="E4" s="282"/>
      <c r="F4" s="282"/>
      <c r="G4" s="284"/>
      <c r="H4" s="282"/>
      <c r="I4" s="282"/>
      <c r="J4" s="282"/>
      <c r="K4" s="55"/>
      <c r="L4" s="55"/>
      <c r="M4" s="55"/>
      <c r="N4" s="55"/>
      <c r="O4" s="55"/>
      <c r="P4" s="55"/>
      <c r="Q4" s="55"/>
    </row>
    <row r="5" spans="1:17" ht="15.75">
      <c r="A5" s="258"/>
      <c r="B5" s="55"/>
      <c r="C5" s="55"/>
      <c r="D5" s="55" t="str">
        <f>EnterP_Inv!B12</f>
        <v>Expected Yield</v>
      </c>
      <c r="E5" s="233">
        <f>EnterP_Inv!C12</f>
        <v>42</v>
      </c>
      <c r="F5" s="233">
        <f>EnterP_Inv!D12</f>
        <v>28</v>
      </c>
      <c r="G5" s="223">
        <f>EnterP_Inv!E12</f>
        <v>22</v>
      </c>
      <c r="H5" s="233">
        <f>EnterP_Inv!F12</f>
        <v>52</v>
      </c>
      <c r="I5" s="233">
        <f>EnterP_Inv!G12</f>
        <v>0</v>
      </c>
      <c r="J5" s="233">
        <f>EnterP_Inv!H12</f>
        <v>0</v>
      </c>
      <c r="K5" s="55"/>
      <c r="L5" s="55"/>
      <c r="M5" s="55"/>
      <c r="N5" s="55"/>
      <c r="O5" s="55"/>
      <c r="P5" s="55"/>
      <c r="Q5" s="55"/>
    </row>
    <row r="6" spans="1:17" ht="15.75">
      <c r="A6" s="258"/>
      <c r="B6" s="7" t="s">
        <v>149</v>
      </c>
      <c r="C6" s="7"/>
      <c r="D6" s="156" t="s">
        <v>26</v>
      </c>
      <c r="E6" s="7"/>
      <c r="F6" s="7"/>
      <c r="G6" s="7"/>
      <c r="H6" s="7"/>
      <c r="I6" s="7"/>
      <c r="J6" s="7"/>
      <c r="K6" s="1"/>
      <c r="L6" s="55"/>
      <c r="M6" s="55"/>
      <c r="N6" s="55"/>
      <c r="O6" s="55"/>
      <c r="P6" s="55"/>
      <c r="Q6" s="55"/>
    </row>
    <row r="7" spans="1:17" ht="18.75">
      <c r="A7" s="258"/>
      <c r="B7" s="45" t="str">
        <f>EnterP_Inv!$E$9</f>
        <v>Durum</v>
      </c>
      <c r="C7" s="55"/>
      <c r="D7" s="46">
        <f>EnterP_Inv!$E$11</f>
        <v>500</v>
      </c>
      <c r="E7" s="18" t="s">
        <v>53</v>
      </c>
      <c r="F7" s="10"/>
      <c r="G7" s="10"/>
      <c r="H7" s="10"/>
      <c r="I7" s="10"/>
      <c r="J7" s="10"/>
      <c r="K7" s="5"/>
      <c r="L7" s="55"/>
      <c r="M7" s="55"/>
      <c r="N7" s="55"/>
      <c r="O7" s="55"/>
      <c r="P7" s="55"/>
      <c r="Q7" s="55"/>
    </row>
    <row r="8" spans="1:17" ht="15.75">
      <c r="A8" s="258"/>
      <c r="B8" s="10"/>
      <c r="C8" s="10"/>
      <c r="D8" s="10"/>
      <c r="E8" s="11"/>
      <c r="F8" s="14" t="s">
        <v>40</v>
      </c>
      <c r="G8" s="15" t="s">
        <v>41</v>
      </c>
      <c r="H8" s="15" t="s">
        <v>2</v>
      </c>
      <c r="I8" s="15" t="s">
        <v>3</v>
      </c>
      <c r="J8" s="15" t="s">
        <v>3</v>
      </c>
      <c r="K8" s="5"/>
      <c r="L8" s="55"/>
      <c r="M8" s="55"/>
      <c r="N8" s="55"/>
      <c r="O8" s="55"/>
      <c r="P8" s="55"/>
      <c r="Q8" s="55"/>
    </row>
    <row r="9" spans="1:17" ht="15.75">
      <c r="A9" s="258"/>
      <c r="B9" s="7"/>
      <c r="C9" s="7"/>
      <c r="D9" s="7"/>
      <c r="E9" s="12"/>
      <c r="F9" s="13" t="s">
        <v>42</v>
      </c>
      <c r="G9" s="9" t="s">
        <v>42</v>
      </c>
      <c r="H9" s="9" t="s">
        <v>7</v>
      </c>
      <c r="I9" s="9" t="s">
        <v>7</v>
      </c>
      <c r="J9" s="9" t="s">
        <v>6</v>
      </c>
      <c r="K9" s="5"/>
      <c r="L9" s="55"/>
      <c r="M9" s="55"/>
      <c r="N9" s="55"/>
      <c r="O9" s="55"/>
      <c r="P9" s="55"/>
      <c r="Q9" s="55"/>
    </row>
    <row r="10" spans="1:17" ht="18.75">
      <c r="A10" s="258"/>
      <c r="B10" s="45" t="s">
        <v>193</v>
      </c>
      <c r="C10" s="7"/>
      <c r="D10" s="7"/>
      <c r="E10" s="19" t="s">
        <v>43</v>
      </c>
      <c r="F10" s="13" t="s">
        <v>44</v>
      </c>
      <c r="G10" s="9" t="s">
        <v>44</v>
      </c>
      <c r="H10" s="9" t="s">
        <v>9</v>
      </c>
      <c r="I10" s="9" t="s">
        <v>9</v>
      </c>
      <c r="J10" s="9" t="s">
        <v>9</v>
      </c>
      <c r="K10" s="5"/>
      <c r="L10" s="55"/>
      <c r="M10" s="55"/>
      <c r="N10" s="55"/>
      <c r="O10" s="55"/>
      <c r="P10" s="55"/>
      <c r="Q10" s="55"/>
    </row>
    <row r="11" spans="1:17" ht="15.75">
      <c r="A11" s="258"/>
      <c r="B11" s="10"/>
      <c r="C11" s="10"/>
      <c r="D11" s="10"/>
      <c r="E11" s="174"/>
      <c r="F11" s="174"/>
      <c r="G11" s="174"/>
      <c r="H11" s="174"/>
      <c r="I11" s="174"/>
      <c r="J11" s="174"/>
      <c r="K11" s="5"/>
      <c r="L11" s="55"/>
      <c r="M11" s="55"/>
      <c r="N11" s="55"/>
      <c r="O11" s="55"/>
      <c r="P11" s="55"/>
      <c r="Q11" s="55"/>
    </row>
    <row r="12" spans="1:17" ht="15.75">
      <c r="A12" s="258"/>
      <c r="B12" s="32" t="s">
        <v>173</v>
      </c>
      <c r="C12" s="7"/>
      <c r="D12" s="7"/>
      <c r="E12" s="154" t="s">
        <v>45</v>
      </c>
      <c r="F12" s="229">
        <v>25</v>
      </c>
      <c r="G12" s="147">
        <v>1</v>
      </c>
      <c r="H12" s="155">
        <v>1</v>
      </c>
      <c r="I12" s="168">
        <f>F12*G12*H12*$D$7</f>
        <v>12500</v>
      </c>
      <c r="J12" s="168">
        <f aca="true" t="shared" si="0" ref="J12:J21">F12*G12*(1-H12)*$D$7</f>
        <v>0</v>
      </c>
      <c r="K12" s="5"/>
      <c r="L12" s="55"/>
      <c r="M12" s="55"/>
      <c r="N12" s="55"/>
      <c r="O12" s="55"/>
      <c r="P12" s="55"/>
      <c r="Q12" s="55"/>
    </row>
    <row r="13" spans="1:17" ht="15.75">
      <c r="A13" s="258"/>
      <c r="B13" s="32" t="s">
        <v>174</v>
      </c>
      <c r="C13" s="21"/>
      <c r="D13" s="259"/>
      <c r="E13" s="154" t="s">
        <v>46</v>
      </c>
      <c r="F13" s="229">
        <v>16</v>
      </c>
      <c r="G13" s="147">
        <v>1</v>
      </c>
      <c r="H13" s="155">
        <v>1</v>
      </c>
      <c r="I13" s="168">
        <f>F13*G13*H13*$D$7</f>
        <v>8000</v>
      </c>
      <c r="J13" s="168">
        <f t="shared" si="0"/>
        <v>0</v>
      </c>
      <c r="K13" s="5"/>
      <c r="L13" s="55"/>
      <c r="M13" s="55"/>
      <c r="N13" s="55"/>
      <c r="O13" s="55"/>
      <c r="P13" s="55"/>
      <c r="Q13" s="55"/>
    </row>
    <row r="14" spans="1:17" ht="15.75">
      <c r="A14" s="258"/>
      <c r="B14" s="226"/>
      <c r="C14" s="227"/>
      <c r="D14" s="8"/>
      <c r="E14" s="154" t="s">
        <v>46</v>
      </c>
      <c r="F14" s="229">
        <v>0</v>
      </c>
      <c r="G14" s="147">
        <v>1</v>
      </c>
      <c r="H14" s="155">
        <v>1</v>
      </c>
      <c r="I14" s="168">
        <f aca="true" t="shared" si="1" ref="I14:I21">F14*G14*H14*$D$7</f>
        <v>0</v>
      </c>
      <c r="J14" s="168">
        <f t="shared" si="0"/>
        <v>0</v>
      </c>
      <c r="K14" s="5"/>
      <c r="L14" s="55"/>
      <c r="M14" s="55"/>
      <c r="N14" s="55"/>
      <c r="O14" s="55"/>
      <c r="P14" s="55"/>
      <c r="Q14" s="55"/>
    </row>
    <row r="15" spans="1:17" ht="15.75">
      <c r="A15" s="258"/>
      <c r="B15" s="226"/>
      <c r="C15" s="227"/>
      <c r="D15" s="8"/>
      <c r="E15" s="154" t="s">
        <v>46</v>
      </c>
      <c r="F15" s="229">
        <v>0</v>
      </c>
      <c r="G15" s="147">
        <v>1</v>
      </c>
      <c r="H15" s="155">
        <v>1</v>
      </c>
      <c r="I15" s="168">
        <f t="shared" si="1"/>
        <v>0</v>
      </c>
      <c r="J15" s="168">
        <f t="shared" si="0"/>
        <v>0</v>
      </c>
      <c r="K15" s="5"/>
      <c r="L15" s="55"/>
      <c r="M15" s="180"/>
      <c r="N15" s="55"/>
      <c r="O15" s="55"/>
      <c r="P15" s="260" t="s">
        <v>220</v>
      </c>
      <c r="Q15" s="55"/>
    </row>
    <row r="16" spans="1:17" ht="15.75">
      <c r="A16" s="258"/>
      <c r="B16" s="32" t="s">
        <v>198</v>
      </c>
      <c r="C16" s="7"/>
      <c r="D16" s="21"/>
      <c r="E16" s="154" t="s">
        <v>47</v>
      </c>
      <c r="F16" s="229">
        <v>0</v>
      </c>
      <c r="G16" s="147">
        <v>1</v>
      </c>
      <c r="H16" s="155">
        <v>1</v>
      </c>
      <c r="I16" s="168">
        <f t="shared" si="1"/>
        <v>0</v>
      </c>
      <c r="J16" s="168">
        <f t="shared" si="0"/>
        <v>0</v>
      </c>
      <c r="K16" s="5"/>
      <c r="L16" s="55"/>
      <c r="M16" s="180"/>
      <c r="N16" s="55"/>
      <c r="O16" s="55"/>
      <c r="P16" s="261" t="s">
        <v>221</v>
      </c>
      <c r="Q16" s="55"/>
    </row>
    <row r="17" spans="1:17" ht="15.75">
      <c r="A17" s="258"/>
      <c r="B17" s="32" t="s">
        <v>175</v>
      </c>
      <c r="C17" s="21"/>
      <c r="D17" s="259"/>
      <c r="E17" s="154" t="s">
        <v>48</v>
      </c>
      <c r="F17" s="229">
        <v>0</v>
      </c>
      <c r="G17" s="147">
        <v>1</v>
      </c>
      <c r="H17" s="155">
        <v>0</v>
      </c>
      <c r="I17" s="168">
        <f t="shared" si="1"/>
        <v>0</v>
      </c>
      <c r="J17" s="168">
        <f t="shared" si="0"/>
        <v>0</v>
      </c>
      <c r="K17" s="5"/>
      <c r="L17" s="55"/>
      <c r="M17" s="180"/>
      <c r="N17" s="55"/>
      <c r="O17" s="55"/>
      <c r="P17" s="262" t="s">
        <v>222</v>
      </c>
      <c r="Q17" s="55"/>
    </row>
    <row r="18" spans="1:17" ht="15.75">
      <c r="A18" s="258"/>
      <c r="B18" s="226"/>
      <c r="C18" s="227" t="s">
        <v>212</v>
      </c>
      <c r="D18" s="20"/>
      <c r="E18" s="154" t="s">
        <v>210</v>
      </c>
      <c r="F18" s="229">
        <v>1100</v>
      </c>
      <c r="G18" s="147">
        <v>0.024</v>
      </c>
      <c r="H18" s="155">
        <v>0.76</v>
      </c>
      <c r="I18" s="168">
        <f t="shared" si="1"/>
        <v>10032.000000000002</v>
      </c>
      <c r="J18" s="168">
        <f t="shared" si="0"/>
        <v>3168</v>
      </c>
      <c r="K18" s="5"/>
      <c r="L18" s="55"/>
      <c r="M18" s="180"/>
      <c r="N18" s="223" t="s">
        <v>212</v>
      </c>
      <c r="O18" s="277">
        <v>0.024038461538461543</v>
      </c>
      <c r="P18" s="263">
        <f>2000*O18</f>
        <v>48.07692307692309</v>
      </c>
      <c r="Q18" s="55"/>
    </row>
    <row r="19" spans="1:17" ht="15.75">
      <c r="A19" s="258"/>
      <c r="B19" s="226"/>
      <c r="C19" s="227" t="s">
        <v>211</v>
      </c>
      <c r="D19" s="8"/>
      <c r="E19" s="154" t="s">
        <v>236</v>
      </c>
      <c r="F19" s="229">
        <v>0.6</v>
      </c>
      <c r="G19" s="147">
        <v>100</v>
      </c>
      <c r="H19" s="155">
        <v>0.76</v>
      </c>
      <c r="I19" s="168">
        <f t="shared" si="1"/>
        <v>22800</v>
      </c>
      <c r="J19" s="168">
        <f t="shared" si="0"/>
        <v>7199.999999999999</v>
      </c>
      <c r="K19" s="5"/>
      <c r="L19" s="55"/>
      <c r="M19" s="180" t="s">
        <v>217</v>
      </c>
      <c r="N19" s="120">
        <f>2000*0.11</f>
        <v>220</v>
      </c>
      <c r="O19" s="264">
        <f>N19*$O$18</f>
        <v>5.288461538461539</v>
      </c>
      <c r="P19" s="55"/>
      <c r="Q19" s="55"/>
    </row>
    <row r="20" spans="1:17" ht="15.75">
      <c r="A20" s="258"/>
      <c r="B20" s="32" t="s">
        <v>199</v>
      </c>
      <c r="C20" s="7"/>
      <c r="D20" s="7"/>
      <c r="E20" s="154" t="s">
        <v>47</v>
      </c>
      <c r="F20" s="229">
        <v>4</v>
      </c>
      <c r="G20" s="147">
        <v>1</v>
      </c>
      <c r="H20" s="155">
        <v>1</v>
      </c>
      <c r="I20" s="168">
        <f t="shared" si="1"/>
        <v>2000</v>
      </c>
      <c r="J20" s="168">
        <f t="shared" si="0"/>
        <v>0</v>
      </c>
      <c r="K20" s="5"/>
      <c r="L20" s="55"/>
      <c r="M20" s="180" t="s">
        <v>218</v>
      </c>
      <c r="N20" s="120">
        <f>2000*0.52</f>
        <v>1040</v>
      </c>
      <c r="O20" s="264">
        <f>N20*$O$18</f>
        <v>25.000000000000004</v>
      </c>
      <c r="P20" s="55"/>
      <c r="Q20" s="55"/>
    </row>
    <row r="21" spans="1:17" ht="15.75">
      <c r="A21" s="258"/>
      <c r="B21" s="32" t="s">
        <v>176</v>
      </c>
      <c r="C21" s="7"/>
      <c r="D21" s="7"/>
      <c r="E21" s="154" t="s">
        <v>47</v>
      </c>
      <c r="F21" s="229">
        <v>10</v>
      </c>
      <c r="G21" s="147">
        <v>1</v>
      </c>
      <c r="H21" s="155">
        <v>1</v>
      </c>
      <c r="I21" s="168">
        <f t="shared" si="1"/>
        <v>5000</v>
      </c>
      <c r="J21" s="168">
        <f t="shared" si="0"/>
        <v>0</v>
      </c>
      <c r="K21" s="5"/>
      <c r="L21" s="55"/>
      <c r="M21" s="225" t="s">
        <v>219</v>
      </c>
      <c r="N21" s="121">
        <f>2000-(N19+N20)</f>
        <v>740</v>
      </c>
      <c r="O21" s="264">
        <f>N21*$O$18</f>
        <v>17.788461538461544</v>
      </c>
      <c r="P21" s="55"/>
      <c r="Q21" s="55"/>
    </row>
    <row r="22" spans="1:17" ht="15.75">
      <c r="A22" s="258"/>
      <c r="B22" s="32" t="s">
        <v>213</v>
      </c>
      <c r="C22" s="7"/>
      <c r="D22" s="7"/>
      <c r="E22" s="265"/>
      <c r="F22" s="266"/>
      <c r="G22" s="267"/>
      <c r="H22" s="268"/>
      <c r="I22" s="173"/>
      <c r="J22" s="173"/>
      <c r="K22" s="5"/>
      <c r="L22" s="55"/>
      <c r="M22" s="180" t="s">
        <v>223</v>
      </c>
      <c r="N22" s="120">
        <f>SUM(N19:N21)</f>
        <v>2000</v>
      </c>
      <c r="O22" s="55"/>
      <c r="P22" s="55"/>
      <c r="Q22" s="55"/>
    </row>
    <row r="23" spans="1:17" ht="15.75">
      <c r="A23" s="258"/>
      <c r="B23" s="6" t="s">
        <v>171</v>
      </c>
      <c r="C23" s="7"/>
      <c r="D23" s="7"/>
      <c r="E23" s="154" t="s">
        <v>46</v>
      </c>
      <c r="F23" s="229">
        <f>(7706+6652+2221+385+333+111)/4500</f>
        <v>3.8684444444444446</v>
      </c>
      <c r="G23" s="147">
        <v>1</v>
      </c>
      <c r="H23" s="155">
        <v>1</v>
      </c>
      <c r="I23" s="168">
        <f>IF(F23&gt;100,F23*G23*H23,+F23*G23*H23*$D$7)*EnterP_Inv!$L$12</f>
        <v>1934.2222222222224</v>
      </c>
      <c r="J23" s="168">
        <f>(IF(F23&gt;100,F23*G23*(1-H23),F23*G23*(1-H23)*$D$7))*EnterP_Inv!$L$12</f>
        <v>0</v>
      </c>
      <c r="K23" s="5"/>
      <c r="L23" s="55"/>
      <c r="M23" s="180" t="s">
        <v>224</v>
      </c>
      <c r="N23" s="276">
        <v>1100</v>
      </c>
      <c r="O23" s="55"/>
      <c r="P23" s="55"/>
      <c r="Q23" s="55"/>
    </row>
    <row r="24" spans="1:17" ht="15.75">
      <c r="A24" s="258"/>
      <c r="B24" s="6" t="s">
        <v>172</v>
      </c>
      <c r="C24" s="7"/>
      <c r="D24" s="7"/>
      <c r="E24" s="154" t="s">
        <v>46</v>
      </c>
      <c r="F24" s="229">
        <f>(1168+1911+947+1425)/4500</f>
        <v>1.2113333333333334</v>
      </c>
      <c r="G24" s="147"/>
      <c r="H24" s="155">
        <v>1</v>
      </c>
      <c r="I24" s="168">
        <f>IF(F24&gt;100,F24*G24*H24,+F24*G24*H24*$D$7)</f>
        <v>0</v>
      </c>
      <c r="J24" s="168">
        <f>IF(F24&gt;100,F24*G24*(1-H24),F24*G24*(1-H24)*$D$7)</f>
        <v>0</v>
      </c>
      <c r="K24" s="5"/>
      <c r="L24" s="55"/>
      <c r="M24" s="55"/>
      <c r="N24" s="224">
        <f>N23/2000</f>
        <v>0.55</v>
      </c>
      <c r="O24" s="180" t="s">
        <v>225</v>
      </c>
      <c r="P24" s="55"/>
      <c r="Q24" s="55"/>
    </row>
    <row r="25" spans="1:17" ht="15.75">
      <c r="A25" s="258"/>
      <c r="B25" s="32" t="s">
        <v>177</v>
      </c>
      <c r="C25" s="7"/>
      <c r="D25" s="7"/>
      <c r="E25" s="265"/>
      <c r="F25" s="266"/>
      <c r="G25" s="267"/>
      <c r="H25" s="268"/>
      <c r="I25" s="173"/>
      <c r="J25" s="173"/>
      <c r="K25" s="5"/>
      <c r="L25" s="55"/>
      <c r="M25" s="180"/>
      <c r="N25" s="55"/>
      <c r="O25" s="55"/>
      <c r="P25" s="55"/>
      <c r="Q25" s="55"/>
    </row>
    <row r="26" spans="1:17" ht="15.75">
      <c r="A26" s="258"/>
      <c r="B26" s="6" t="s">
        <v>171</v>
      </c>
      <c r="C26" s="7"/>
      <c r="D26" s="7"/>
      <c r="E26" s="154" t="s">
        <v>46</v>
      </c>
      <c r="F26" s="229">
        <f>(2700+135+6738+2166+337+108)/4500</f>
        <v>2.7075555555555555</v>
      </c>
      <c r="G26" s="147">
        <v>1</v>
      </c>
      <c r="H26" s="155">
        <v>1</v>
      </c>
      <c r="I26" s="168">
        <f>IF(F26&gt;100,F26*G26*H26,+F26*G26*H26*$D$7)*EnterP_Inv!$L$12</f>
        <v>1353.7777777777778</v>
      </c>
      <c r="J26" s="168">
        <f>(IF(F26&gt;100,F26*G26*(1-H26),F26*G26*(1-H26)*$D$7))*EnterP_Inv!$L$12</f>
        <v>0</v>
      </c>
      <c r="K26" s="5"/>
      <c r="L26" s="55"/>
      <c r="M26" s="180"/>
      <c r="N26" s="55"/>
      <c r="O26" s="55"/>
      <c r="P26" s="55"/>
      <c r="Q26" s="55"/>
    </row>
    <row r="27" spans="1:17" ht="15.75">
      <c r="A27" s="258"/>
      <c r="B27" s="6" t="s">
        <v>172</v>
      </c>
      <c r="C27" s="7"/>
      <c r="D27" s="7"/>
      <c r="E27" s="154" t="s">
        <v>46</v>
      </c>
      <c r="F27" s="229">
        <f>(4957+7643+2917+804)/4500</f>
        <v>3.626888888888889</v>
      </c>
      <c r="G27" s="147"/>
      <c r="H27" s="155">
        <v>1</v>
      </c>
      <c r="I27" s="168">
        <f>IF(F27&gt;100,F27*G27*H27,+F27*G27*H27*$D$7)</f>
        <v>0</v>
      </c>
      <c r="J27" s="168">
        <f>IF(F27&gt;100,F27*G27*(1-H27),F27*G27*(1-H27)*$D$7)</f>
        <v>0</v>
      </c>
      <c r="K27" s="5"/>
      <c r="L27" s="55"/>
      <c r="M27" s="180"/>
      <c r="N27" s="125" t="s">
        <v>211</v>
      </c>
      <c r="O27" s="55"/>
      <c r="P27" s="55"/>
      <c r="Q27" s="55"/>
    </row>
    <row r="28" spans="1:17" ht="15.75">
      <c r="A28" s="258"/>
      <c r="B28" s="32" t="s">
        <v>178</v>
      </c>
      <c r="C28" s="7"/>
      <c r="D28" s="7"/>
      <c r="E28" s="170"/>
      <c r="F28" s="230" t="s">
        <v>49</v>
      </c>
      <c r="G28" s="171"/>
      <c r="H28" s="172"/>
      <c r="I28" s="173"/>
      <c r="J28" s="173"/>
      <c r="K28" s="5"/>
      <c r="L28" s="55"/>
      <c r="M28" s="180"/>
      <c r="N28" s="120">
        <f>2000*0.46</f>
        <v>920</v>
      </c>
      <c r="O28" s="55" t="s">
        <v>216</v>
      </c>
      <c r="P28" s="55"/>
      <c r="Q28" s="55"/>
    </row>
    <row r="29" spans="1:17" ht="15.75">
      <c r="A29" s="258"/>
      <c r="B29" s="6" t="s">
        <v>185</v>
      </c>
      <c r="C29" s="7"/>
      <c r="D29" s="7"/>
      <c r="E29" s="154" t="s">
        <v>50</v>
      </c>
      <c r="F29" s="229">
        <v>0</v>
      </c>
      <c r="G29" s="147">
        <v>0</v>
      </c>
      <c r="H29" s="155">
        <v>1</v>
      </c>
      <c r="I29" s="168">
        <f>F29*G29*H29*$D$7</f>
        <v>0</v>
      </c>
      <c r="J29" s="168">
        <f>F29*G29*(1-H29)*$D$7</f>
        <v>0</v>
      </c>
      <c r="K29" s="5"/>
      <c r="L29" s="55"/>
      <c r="M29" s="180"/>
      <c r="N29" s="276">
        <v>600</v>
      </c>
      <c r="O29" s="55" t="s">
        <v>226</v>
      </c>
      <c r="P29" s="55"/>
      <c r="Q29" s="55"/>
    </row>
    <row r="30" spans="1:17" ht="15.75">
      <c r="A30" s="258"/>
      <c r="B30" s="6" t="s">
        <v>186</v>
      </c>
      <c r="C30" s="7"/>
      <c r="D30" s="7"/>
      <c r="E30" s="154" t="s">
        <v>50</v>
      </c>
      <c r="F30" s="229">
        <v>0</v>
      </c>
      <c r="G30" s="147">
        <v>0</v>
      </c>
      <c r="H30" s="155">
        <v>1</v>
      </c>
      <c r="I30" s="168">
        <f>F30*G30*H30*$D$7</f>
        <v>0</v>
      </c>
      <c r="J30" s="168">
        <f>F30*G30*(1-H30)*$D$7</f>
        <v>0</v>
      </c>
      <c r="K30" s="5"/>
      <c r="L30" s="55"/>
      <c r="M30" s="180"/>
      <c r="N30" s="224">
        <f>N29/920</f>
        <v>0.6521739130434783</v>
      </c>
      <c r="O30" s="55" t="s">
        <v>227</v>
      </c>
      <c r="P30" s="55"/>
      <c r="Q30" s="55"/>
    </row>
    <row r="31" spans="1:17" ht="15.75">
      <c r="A31" s="258"/>
      <c r="B31" s="6" t="s">
        <v>187</v>
      </c>
      <c r="C31" s="7"/>
      <c r="D31" s="7"/>
      <c r="E31" s="154" t="s">
        <v>50</v>
      </c>
      <c r="F31" s="229">
        <v>0</v>
      </c>
      <c r="G31" s="147">
        <v>0</v>
      </c>
      <c r="H31" s="177">
        <v>1</v>
      </c>
      <c r="I31" s="181">
        <f>F31*G31*H31*$D$7</f>
        <v>0</v>
      </c>
      <c r="J31" s="182">
        <f>F31*G31*(1-H31)*$D$7</f>
        <v>0</v>
      </c>
      <c r="K31" s="5"/>
      <c r="L31" s="55"/>
      <c r="M31" s="55"/>
      <c r="N31" s="55"/>
      <c r="O31" s="55"/>
      <c r="P31" s="55"/>
      <c r="Q31" s="55"/>
    </row>
    <row r="32" spans="1:17" ht="15.75">
      <c r="A32" s="258"/>
      <c r="B32" s="32" t="s">
        <v>179</v>
      </c>
      <c r="C32" s="7"/>
      <c r="D32" s="7"/>
      <c r="E32" s="174"/>
      <c r="F32" s="231" t="s">
        <v>49</v>
      </c>
      <c r="G32" s="174"/>
      <c r="H32" s="176"/>
      <c r="I32" s="176"/>
      <c r="J32" s="176"/>
      <c r="K32" s="5"/>
      <c r="L32" s="55"/>
      <c r="M32" s="55"/>
      <c r="N32" s="55"/>
      <c r="O32" s="55"/>
      <c r="P32" s="55"/>
      <c r="Q32" s="55"/>
    </row>
    <row r="33" spans="1:17" ht="15.75">
      <c r="A33" s="258"/>
      <c r="B33" s="6" t="s">
        <v>180</v>
      </c>
      <c r="C33" s="7"/>
      <c r="D33" s="7"/>
      <c r="E33" s="154" t="s">
        <v>50</v>
      </c>
      <c r="F33" s="229">
        <v>0</v>
      </c>
      <c r="G33" s="147">
        <v>1</v>
      </c>
      <c r="H33" s="176"/>
      <c r="I33" s="176"/>
      <c r="J33" s="168">
        <f>F33*G33*$D$7</f>
        <v>0</v>
      </c>
      <c r="K33" s="5"/>
      <c r="L33" s="55"/>
      <c r="M33" s="55"/>
      <c r="N33" s="55"/>
      <c r="O33" s="55"/>
      <c r="P33" s="55"/>
      <c r="Q33" s="55"/>
    </row>
    <row r="34" spans="1:17" ht="15.75">
      <c r="A34" s="258"/>
      <c r="B34" s="6" t="s">
        <v>181</v>
      </c>
      <c r="C34" s="7"/>
      <c r="D34" s="7"/>
      <c r="E34" s="154" t="s">
        <v>50</v>
      </c>
      <c r="F34" s="229">
        <v>10</v>
      </c>
      <c r="G34" s="147">
        <v>0.4</v>
      </c>
      <c r="H34" s="176"/>
      <c r="I34" s="175">
        <f>F34*G34*$D$7</f>
        <v>2000</v>
      </c>
      <c r="J34" s="176"/>
      <c r="K34" s="5"/>
      <c r="L34" s="55"/>
      <c r="M34" s="55"/>
      <c r="N34" s="55"/>
      <c r="O34" s="55"/>
      <c r="P34" s="55"/>
      <c r="Q34" s="55"/>
    </row>
    <row r="35" spans="1:17" ht="15.75">
      <c r="A35" s="258"/>
      <c r="B35" s="6" t="s">
        <v>182</v>
      </c>
      <c r="C35" s="7"/>
      <c r="D35" s="7"/>
      <c r="E35" s="154" t="s">
        <v>50</v>
      </c>
      <c r="F35" s="229">
        <v>0</v>
      </c>
      <c r="G35" s="147">
        <v>0.25</v>
      </c>
      <c r="H35" s="176"/>
      <c r="I35" s="175">
        <f>F35*G35*$D$7</f>
        <v>0</v>
      </c>
      <c r="J35" s="176"/>
      <c r="K35" s="5"/>
      <c r="L35" s="55"/>
      <c r="M35" s="55"/>
      <c r="N35" s="55"/>
      <c r="O35" s="55"/>
      <c r="P35" s="55"/>
      <c r="Q35" s="55"/>
    </row>
    <row r="36" spans="1:17" ht="15.75">
      <c r="A36" s="258"/>
      <c r="B36" s="6" t="s">
        <v>183</v>
      </c>
      <c r="C36" s="7"/>
      <c r="D36" s="7"/>
      <c r="E36" s="154" t="s">
        <v>50</v>
      </c>
      <c r="F36" s="229">
        <v>0</v>
      </c>
      <c r="G36" s="147">
        <v>1</v>
      </c>
      <c r="H36" s="176"/>
      <c r="I36" s="175">
        <f>F36*G36*$D$7</f>
        <v>0</v>
      </c>
      <c r="J36" s="176"/>
      <c r="K36" s="5"/>
      <c r="L36" s="55"/>
      <c r="M36" s="55"/>
      <c r="N36" s="55"/>
      <c r="O36" s="55"/>
      <c r="P36" s="55"/>
      <c r="Q36" s="55"/>
    </row>
    <row r="37" spans="1:17" ht="15.75">
      <c r="A37" s="258"/>
      <c r="B37" s="274" t="s">
        <v>200</v>
      </c>
      <c r="C37" s="8"/>
      <c r="D37" s="275"/>
      <c r="E37" s="154" t="s">
        <v>47</v>
      </c>
      <c r="F37" s="229">
        <v>0</v>
      </c>
      <c r="G37" s="147">
        <v>1</v>
      </c>
      <c r="H37" s="155">
        <v>1</v>
      </c>
      <c r="I37" s="168">
        <f>F37*G37*H37*$D$7</f>
        <v>0</v>
      </c>
      <c r="J37" s="168">
        <f>F37*G37*(1-H37)*$D$7</f>
        <v>0</v>
      </c>
      <c r="K37" s="5"/>
      <c r="L37" s="55"/>
      <c r="M37" s="55"/>
      <c r="N37" s="55"/>
      <c r="O37" s="55"/>
      <c r="P37" s="55"/>
      <c r="Q37" s="55"/>
    </row>
    <row r="38" spans="1:17" ht="15.75">
      <c r="A38" s="258"/>
      <c r="B38" s="274" t="s">
        <v>201</v>
      </c>
      <c r="C38" s="8"/>
      <c r="D38" s="275"/>
      <c r="E38" s="154" t="s">
        <v>47</v>
      </c>
      <c r="F38" s="229">
        <v>0</v>
      </c>
      <c r="G38" s="147">
        <v>1</v>
      </c>
      <c r="H38" s="155">
        <v>1</v>
      </c>
      <c r="I38" s="168">
        <f>F38*G38*H38*$D$7</f>
        <v>0</v>
      </c>
      <c r="J38" s="168">
        <f>F38*G38*(1-H38)*$D$7</f>
        <v>0</v>
      </c>
      <c r="K38" s="5"/>
      <c r="L38" s="55"/>
      <c r="M38" s="55"/>
      <c r="N38" s="55"/>
      <c r="O38" s="55"/>
      <c r="P38" s="55"/>
      <c r="Q38" s="55"/>
    </row>
    <row r="39" spans="1:17" ht="15.75">
      <c r="A39" s="258"/>
      <c r="B39" s="32" t="s">
        <v>184</v>
      </c>
      <c r="C39" s="7"/>
      <c r="D39" s="7"/>
      <c r="E39" s="154" t="s">
        <v>51</v>
      </c>
      <c r="F39" s="176"/>
      <c r="G39" s="176"/>
      <c r="H39" s="176"/>
      <c r="I39" s="168">
        <f>(SUM(I12:I31)+I37+I38)*EnterP_Inv!$C$17/12*$F$40</f>
        <v>2226.7000000000003</v>
      </c>
      <c r="J39" s="168">
        <f>(SUM(J12:J31)+J37+J38)*EnterP_Inv!$C$17/12*$F$40</f>
        <v>362.88000000000005</v>
      </c>
      <c r="K39" s="5"/>
      <c r="L39" s="55"/>
      <c r="M39" s="55"/>
      <c r="N39" s="55"/>
      <c r="O39" s="55"/>
      <c r="P39" s="55"/>
      <c r="Q39" s="55"/>
    </row>
    <row r="40" spans="1:17" ht="15.75">
      <c r="A40" s="258"/>
      <c r="B40" s="6" t="s">
        <v>192</v>
      </c>
      <c r="C40" s="7"/>
      <c r="D40" s="7"/>
      <c r="E40" s="176"/>
      <c r="F40" s="147">
        <v>6</v>
      </c>
      <c r="G40" s="176"/>
      <c r="H40" s="176"/>
      <c r="I40" s="178"/>
      <c r="J40" s="179"/>
      <c r="K40" s="5"/>
      <c r="L40" s="55"/>
      <c r="M40" s="55"/>
      <c r="N40" s="55"/>
      <c r="O40" s="55"/>
      <c r="P40" s="55"/>
      <c r="Q40" s="55"/>
    </row>
    <row r="41" spans="1:17" ht="18.75">
      <c r="A41" s="258"/>
      <c r="B41" s="150" t="s">
        <v>194</v>
      </c>
      <c r="C41" s="10"/>
      <c r="D41" s="10"/>
      <c r="E41" s="174"/>
      <c r="F41" s="174"/>
      <c r="G41" s="174"/>
      <c r="H41" s="174"/>
      <c r="I41" s="176"/>
      <c r="J41" s="176"/>
      <c r="K41" s="5"/>
      <c r="L41" s="55"/>
      <c r="M41" s="55"/>
      <c r="N41" s="55"/>
      <c r="O41" s="55"/>
      <c r="P41" s="55"/>
      <c r="Q41" s="55"/>
    </row>
    <row r="42" spans="1:17" ht="15.75">
      <c r="A42" s="258"/>
      <c r="B42" s="32" t="s">
        <v>188</v>
      </c>
      <c r="C42" s="7"/>
      <c r="D42" s="7"/>
      <c r="E42" s="265"/>
      <c r="F42" s="269"/>
      <c r="G42" s="267"/>
      <c r="H42" s="268"/>
      <c r="I42" s="173"/>
      <c r="J42" s="173"/>
      <c r="K42" s="5"/>
      <c r="L42" s="55"/>
      <c r="M42" s="55"/>
      <c r="N42" s="55"/>
      <c r="O42" s="55"/>
      <c r="P42" s="55"/>
      <c r="Q42" s="55"/>
    </row>
    <row r="43" spans="1:17" ht="15.75">
      <c r="A43" s="258"/>
      <c r="B43" s="6" t="s">
        <v>171</v>
      </c>
      <c r="C43" s="7"/>
      <c r="D43" s="7"/>
      <c r="E43" s="154" t="s">
        <v>47</v>
      </c>
      <c r="F43" s="229">
        <f>(10808+540)/4500</f>
        <v>2.521777777777778</v>
      </c>
      <c r="G43" s="147">
        <v>1</v>
      </c>
      <c r="H43" s="155">
        <v>1</v>
      </c>
      <c r="I43" s="168">
        <f>IF(F43&gt;100,F43*G43*H43,+F43*G43*H43*$D$7)*EnterP_Inv!$L$12</f>
        <v>1260.888888888889</v>
      </c>
      <c r="J43" s="168">
        <f>(IF(F43&gt;100,F43*G43*(1-H43),F43*G43*(1-H43)*$D$7))*EnterP_Inv!$L$12</f>
        <v>0</v>
      </c>
      <c r="K43" s="5"/>
      <c r="L43" s="55"/>
      <c r="M43" s="55"/>
      <c r="N43" s="55"/>
      <c r="O43" s="55"/>
      <c r="P43" s="55"/>
      <c r="Q43" s="55"/>
    </row>
    <row r="44" spans="1:17" ht="15.75">
      <c r="A44" s="258"/>
      <c r="B44" s="6" t="s">
        <v>172</v>
      </c>
      <c r="C44" s="7"/>
      <c r="D44" s="7"/>
      <c r="E44" s="154" t="s">
        <v>46</v>
      </c>
      <c r="F44" s="229">
        <f>14800/4500</f>
        <v>3.2888888888888888</v>
      </c>
      <c r="G44" s="147">
        <v>1</v>
      </c>
      <c r="H44" s="155">
        <v>1</v>
      </c>
      <c r="I44" s="168">
        <f>IF(F44&gt;100,F44*G44*H44,+F44*G44*H44*$D$7)</f>
        <v>1644.4444444444443</v>
      </c>
      <c r="J44" s="168">
        <f>IF(F44&gt;100,F44*G44*(1-H44),F44*G44*(1-H44)*$D$7)</f>
        <v>0</v>
      </c>
      <c r="K44" s="5"/>
      <c r="L44" s="55"/>
      <c r="M44" s="55"/>
      <c r="N44" s="55"/>
      <c r="O44" s="55"/>
      <c r="P44" s="55"/>
      <c r="Q44" s="55"/>
    </row>
    <row r="45" spans="1:17" ht="15.75">
      <c r="A45" s="258"/>
      <c r="B45" s="6" t="s">
        <v>202</v>
      </c>
      <c r="C45" s="7"/>
      <c r="D45" s="7"/>
      <c r="E45" s="154" t="s">
        <v>46</v>
      </c>
      <c r="F45" s="229"/>
      <c r="G45" s="147">
        <v>1</v>
      </c>
      <c r="H45" s="155">
        <v>1</v>
      </c>
      <c r="I45" s="168">
        <f>IF(F45&gt;100,F45*G45*H45,+F45*G45*H45*$D$7)</f>
        <v>0</v>
      </c>
      <c r="J45" s="168">
        <f>IF(F45&gt;100,F45*G45*(1-H45),F45*G45*(1-H45)*$D$7)</f>
        <v>0</v>
      </c>
      <c r="K45" s="5"/>
      <c r="L45" s="55"/>
      <c r="M45" s="55"/>
      <c r="N45" s="55"/>
      <c r="O45" s="55"/>
      <c r="P45" s="55"/>
      <c r="Q45" s="55"/>
    </row>
    <row r="46" spans="1:17" ht="15.75">
      <c r="A46" s="258"/>
      <c r="B46" s="32" t="s">
        <v>189</v>
      </c>
      <c r="C46" s="7"/>
      <c r="D46" s="7"/>
      <c r="E46" s="265"/>
      <c r="F46" s="266"/>
      <c r="G46" s="267"/>
      <c r="H46" s="268"/>
      <c r="I46" s="173"/>
      <c r="J46" s="173"/>
      <c r="K46" s="5"/>
      <c r="L46" s="55"/>
      <c r="M46" s="55"/>
      <c r="N46" s="55"/>
      <c r="O46" s="55"/>
      <c r="P46" s="55"/>
      <c r="Q46" s="55"/>
    </row>
    <row r="47" spans="1:17" ht="15.75">
      <c r="A47" s="258"/>
      <c r="B47" s="6" t="s">
        <v>171</v>
      </c>
      <c r="C47" s="7"/>
      <c r="D47" s="7"/>
      <c r="E47" s="154" t="s">
        <v>47</v>
      </c>
      <c r="F47" s="229">
        <f>(8077+9387+337+469)/4500</f>
        <v>4.06</v>
      </c>
      <c r="G47" s="147">
        <v>1</v>
      </c>
      <c r="H47" s="155">
        <v>1</v>
      </c>
      <c r="I47" s="168">
        <f>IF(F47&gt;100,F47*G47*H47,+F47*G47*H47*$D$7)*EnterP_Inv!$L$12</f>
        <v>2029.9999999999998</v>
      </c>
      <c r="J47" s="168">
        <f>(IF(F47&gt;100,F47*G47*(1-H47),F47*G47*(1-H47)*$D$7))*EnterP_Inv!$L$12</f>
        <v>0</v>
      </c>
      <c r="K47" s="5"/>
      <c r="L47" s="55"/>
      <c r="M47" s="55"/>
      <c r="N47" s="55"/>
      <c r="O47" s="55"/>
      <c r="P47" s="55"/>
      <c r="Q47" s="55"/>
    </row>
    <row r="48" spans="1:17" ht="15.75">
      <c r="A48" s="258"/>
      <c r="B48" s="6" t="s">
        <v>172</v>
      </c>
      <c r="C48" s="7"/>
      <c r="D48" s="7"/>
      <c r="E48" s="154" t="s">
        <v>46</v>
      </c>
      <c r="F48" s="229">
        <f>(1750+1426)/4500</f>
        <v>0.7057777777777777</v>
      </c>
      <c r="G48" s="147">
        <v>1</v>
      </c>
      <c r="H48" s="155">
        <v>1</v>
      </c>
      <c r="I48" s="168">
        <f>IF(F48&gt;100,F48*G48*H48,+F48*G48*H48*$D$7)</f>
        <v>352.88888888888886</v>
      </c>
      <c r="J48" s="168">
        <f>IF(F48&gt;100,F48*G48*(1-H48),F48*G48*(1-H48)*$D$7)</f>
        <v>0</v>
      </c>
      <c r="K48" s="5"/>
      <c r="L48" s="55"/>
      <c r="M48" s="55"/>
      <c r="N48" s="55"/>
      <c r="O48" s="55"/>
      <c r="P48" s="55"/>
      <c r="Q48" s="55"/>
    </row>
    <row r="49" spans="1:17" ht="15.75">
      <c r="A49" s="258"/>
      <c r="B49" s="6" t="s">
        <v>203</v>
      </c>
      <c r="C49" s="7"/>
      <c r="D49" s="7"/>
      <c r="E49" s="154" t="s">
        <v>46</v>
      </c>
      <c r="F49" s="229"/>
      <c r="G49" s="147">
        <v>1</v>
      </c>
      <c r="H49" s="155">
        <v>1</v>
      </c>
      <c r="I49" s="168">
        <f>IF(F49&gt;100,F49*G49*H49,+F49*G49*H49*$D$7)</f>
        <v>0</v>
      </c>
      <c r="J49" s="168">
        <f>IF(F49&gt;100,F49*G49*(1-H49),F49*G49*(1-H49)*$D$7)</f>
        <v>0</v>
      </c>
      <c r="K49" s="5"/>
      <c r="L49" s="55"/>
      <c r="M49" s="55"/>
      <c r="N49" s="55"/>
      <c r="O49" s="55"/>
      <c r="P49" s="55"/>
      <c r="Q49" s="55"/>
    </row>
    <row r="50" spans="1:17" ht="15.75">
      <c r="A50" s="258"/>
      <c r="B50" s="32" t="s">
        <v>190</v>
      </c>
      <c r="C50" s="7"/>
      <c r="D50" s="7"/>
      <c r="E50" s="154" t="s">
        <v>51</v>
      </c>
      <c r="F50" s="176"/>
      <c r="G50" s="176"/>
      <c r="H50" s="176"/>
      <c r="I50" s="169">
        <f>SUM(I42:I48)*EnterP_Inv!$C$17/12*$F$51</f>
        <v>30.847962962962963</v>
      </c>
      <c r="J50" s="169">
        <f>SUM(J42:J48)*EnterP_Inv!$C$17/12*$F$51</f>
        <v>0</v>
      </c>
      <c r="K50" s="5"/>
      <c r="L50" s="55"/>
      <c r="M50" s="55"/>
      <c r="N50" s="55"/>
      <c r="O50" s="55"/>
      <c r="P50" s="55"/>
      <c r="Q50" s="55"/>
    </row>
    <row r="51" spans="1:17" ht="15.75">
      <c r="A51" s="258"/>
      <c r="B51" s="153" t="s">
        <v>191</v>
      </c>
      <c r="C51" s="7"/>
      <c r="D51" s="7"/>
      <c r="E51" s="176"/>
      <c r="F51" s="147">
        <v>1</v>
      </c>
      <c r="G51" s="176"/>
      <c r="H51" s="178"/>
      <c r="I51" s="176"/>
      <c r="J51" s="176"/>
      <c r="K51" s="5"/>
      <c r="L51" s="55"/>
      <c r="M51" s="55"/>
      <c r="N51" s="55"/>
      <c r="O51" s="55"/>
      <c r="P51" s="55"/>
      <c r="Q51" s="55"/>
    </row>
    <row r="52" spans="1:17" ht="15.75">
      <c r="A52" s="258"/>
      <c r="B52" s="270"/>
      <c r="C52" s="151" t="s">
        <v>146</v>
      </c>
      <c r="D52" s="152" t="str">
        <f>$G$3</f>
        <v>Durum</v>
      </c>
      <c r="E52" s="152" t="s">
        <v>26</v>
      </c>
      <c r="F52" s="152"/>
      <c r="G52" s="152"/>
      <c r="H52" s="270"/>
      <c r="I52" s="222">
        <f>SUM(I12:I50)</f>
        <v>73165.77018518517</v>
      </c>
      <c r="J52" s="222">
        <f>SUM(J12:J50)</f>
        <v>10730.88</v>
      </c>
      <c r="K52" s="5"/>
      <c r="L52" s="55"/>
      <c r="M52" s="55"/>
      <c r="N52" s="55"/>
      <c r="O52" s="55"/>
      <c r="P52" s="55"/>
      <c r="Q52" s="55"/>
    </row>
    <row r="53" spans="1:17" ht="15.75">
      <c r="A53" s="258"/>
      <c r="B53" s="7"/>
      <c r="C53" s="7"/>
      <c r="D53" s="7"/>
      <c r="E53" s="7"/>
      <c r="F53" s="7"/>
      <c r="G53" s="7"/>
      <c r="H53" s="218" t="s">
        <v>215</v>
      </c>
      <c r="I53" s="219">
        <f>IF(D7=0,0,I52/D7)</f>
        <v>146.33154037037036</v>
      </c>
      <c r="J53" s="221">
        <f>IF(D7=0,0,J52/D7)</f>
        <v>21.461759999999998</v>
      </c>
      <c r="K53" s="1"/>
      <c r="L53" s="55"/>
      <c r="M53" s="55"/>
      <c r="N53" s="55"/>
      <c r="O53" s="55"/>
      <c r="P53" s="55"/>
      <c r="Q53" s="55"/>
    </row>
    <row r="54" spans="1:17" ht="15.75">
      <c r="A54" s="258"/>
      <c r="B54" s="7"/>
      <c r="C54" s="7"/>
      <c r="D54" s="7"/>
      <c r="E54" s="7"/>
      <c r="F54" s="7"/>
      <c r="G54" s="7"/>
      <c r="H54" s="7"/>
      <c r="I54" s="220" t="s">
        <v>214</v>
      </c>
      <c r="J54" s="219">
        <f>I53+J53</f>
        <v>167.79330037037036</v>
      </c>
      <c r="K54" s="1"/>
      <c r="L54" s="55"/>
      <c r="M54" s="55"/>
      <c r="N54" s="55"/>
      <c r="O54" s="55"/>
      <c r="P54" s="55"/>
      <c r="Q54" s="55"/>
    </row>
    <row r="55" spans="1:17" ht="15.75">
      <c r="A55" s="258"/>
      <c r="B55" s="7"/>
      <c r="C55" s="7"/>
      <c r="D55" s="7"/>
      <c r="E55" s="7"/>
      <c r="F55" s="7"/>
      <c r="G55" s="7"/>
      <c r="H55" s="7"/>
      <c r="I55" s="7"/>
      <c r="J55" s="7"/>
      <c r="K55" s="1"/>
      <c r="L55" s="55"/>
      <c r="M55" s="55"/>
      <c r="N55" s="55"/>
      <c r="O55" s="55"/>
      <c r="P55" s="55"/>
      <c r="Q55" s="55"/>
    </row>
    <row r="56" spans="1:17" ht="15.75">
      <c r="A56" s="258"/>
      <c r="B56" s="55"/>
      <c r="C56" s="55"/>
      <c r="D56" s="55"/>
      <c r="E56" s="55"/>
      <c r="F56" s="55"/>
      <c r="G56" s="55"/>
      <c r="H56" s="55"/>
      <c r="I56" s="55"/>
      <c r="J56" s="55"/>
      <c r="K56" s="55"/>
      <c r="L56" s="55"/>
      <c r="M56" s="55"/>
      <c r="N56" s="55"/>
      <c r="O56" s="55"/>
      <c r="P56" s="55"/>
      <c r="Q56" s="55"/>
    </row>
    <row r="57" spans="1:17" ht="15.75">
      <c r="A57" s="258"/>
      <c r="B57" s="55"/>
      <c r="C57" s="55"/>
      <c r="D57" s="55"/>
      <c r="E57" s="55"/>
      <c r="F57" s="55"/>
      <c r="G57" s="55"/>
      <c r="H57" s="55"/>
      <c r="I57" s="55"/>
      <c r="J57" s="55"/>
      <c r="K57" s="55"/>
      <c r="L57" s="55"/>
      <c r="M57" s="55"/>
      <c r="N57" s="55"/>
      <c r="O57" s="55"/>
      <c r="P57" s="55"/>
      <c r="Q57" s="55"/>
    </row>
    <row r="58" spans="1:17" ht="15.75">
      <c r="A58" s="258"/>
      <c r="B58" s="55"/>
      <c r="C58" s="55"/>
      <c r="D58" s="55"/>
      <c r="E58" s="55"/>
      <c r="F58" s="55"/>
      <c r="G58" s="55"/>
      <c r="H58" s="55"/>
      <c r="I58" s="55"/>
      <c r="J58" s="55"/>
      <c r="K58" s="55"/>
      <c r="L58" s="55"/>
      <c r="M58" s="55"/>
      <c r="N58" s="55"/>
      <c r="O58" s="55"/>
      <c r="P58" s="55"/>
      <c r="Q58" s="55"/>
    </row>
    <row r="59" spans="1:17" ht="15.75">
      <c r="A59" s="258"/>
      <c r="B59" s="55"/>
      <c r="C59" s="55"/>
      <c r="D59" s="55"/>
      <c r="E59" s="55"/>
      <c r="F59" s="55"/>
      <c r="G59" s="55"/>
      <c r="H59" s="55"/>
      <c r="I59" s="55"/>
      <c r="J59" s="55"/>
      <c r="K59" s="55"/>
      <c r="L59" s="55"/>
      <c r="M59" s="55"/>
      <c r="N59" s="55"/>
      <c r="O59" s="55"/>
      <c r="P59" s="55"/>
      <c r="Q59" s="55"/>
    </row>
    <row r="60" spans="1:17" ht="15.75">
      <c r="A60" s="258"/>
      <c r="B60" s="55"/>
      <c r="C60" s="55"/>
      <c r="D60" s="55"/>
      <c r="E60" s="55"/>
      <c r="F60" s="55"/>
      <c r="G60" s="55"/>
      <c r="H60" s="55"/>
      <c r="I60" s="55"/>
      <c r="J60" s="55"/>
      <c r="K60" s="55"/>
      <c r="L60" s="55"/>
      <c r="M60" s="55"/>
      <c r="N60" s="55"/>
      <c r="O60" s="55"/>
      <c r="P60" s="55"/>
      <c r="Q60" s="55"/>
    </row>
    <row r="61" spans="1:17" ht="15.75">
      <c r="A61" s="258"/>
      <c r="B61" s="55"/>
      <c r="C61" s="55"/>
      <c r="D61" s="55"/>
      <c r="E61" s="55"/>
      <c r="F61" s="55"/>
      <c r="G61" s="55"/>
      <c r="H61" s="55"/>
      <c r="I61" s="55"/>
      <c r="J61" s="55"/>
      <c r="K61" s="55"/>
      <c r="L61" s="55"/>
      <c r="M61" s="55"/>
      <c r="N61" s="55"/>
      <c r="O61" s="55"/>
      <c r="P61" s="55"/>
      <c r="Q61" s="55"/>
    </row>
    <row r="62" spans="1:17" ht="15.75">
      <c r="A62" s="258"/>
      <c r="B62" s="55"/>
      <c r="C62" s="55"/>
      <c r="D62" s="55"/>
      <c r="E62" s="55"/>
      <c r="F62" s="55"/>
      <c r="G62" s="55"/>
      <c r="H62" s="55"/>
      <c r="I62" s="55"/>
      <c r="J62" s="55"/>
      <c r="K62" s="55"/>
      <c r="L62" s="55"/>
      <c r="M62" s="55"/>
      <c r="N62" s="55"/>
      <c r="O62" s="55"/>
      <c r="P62" s="55"/>
      <c r="Q62" s="55"/>
    </row>
    <row r="63" spans="1:17" ht="15.75">
      <c r="A63" s="258"/>
      <c r="B63" s="55"/>
      <c r="C63" s="55"/>
      <c r="D63" s="55"/>
      <c r="E63" s="55"/>
      <c r="F63" s="55"/>
      <c r="G63" s="55"/>
      <c r="H63" s="55"/>
      <c r="I63" s="55"/>
      <c r="J63" s="55"/>
      <c r="K63" s="55"/>
      <c r="L63" s="55"/>
      <c r="M63" s="55"/>
      <c r="N63" s="55"/>
      <c r="O63" s="55"/>
      <c r="P63" s="55"/>
      <c r="Q63" s="55"/>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7"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S59"/>
  <sheetViews>
    <sheetView showGridLines="0" zoomScalePageLayoutView="0" workbookViewId="0" topLeftCell="A1">
      <selection activeCell="B2" sqref="B2"/>
    </sheetView>
  </sheetViews>
  <sheetFormatPr defaultColWidth="8.796875" defaultRowHeight="15"/>
  <cols>
    <col min="1" max="1" width="4.09765625" style="132" customWidth="1"/>
    <col min="2" max="4" width="12.69921875" style="0" customWidth="1"/>
    <col min="5" max="10" width="11.69921875" style="0" customWidth="1"/>
  </cols>
  <sheetData>
    <row r="1" spans="1:19" ht="15.75">
      <c r="A1" s="258"/>
      <c r="B1" s="55"/>
      <c r="C1" s="55"/>
      <c r="D1" s="55"/>
      <c r="E1" s="55"/>
      <c r="F1" s="55"/>
      <c r="G1" s="55"/>
      <c r="H1" s="55"/>
      <c r="I1" s="55"/>
      <c r="J1" s="55"/>
      <c r="K1" s="55"/>
      <c r="L1" s="55"/>
      <c r="M1" s="55"/>
      <c r="N1" s="55"/>
      <c r="O1" s="55"/>
      <c r="P1" s="55"/>
      <c r="Q1" s="55"/>
      <c r="R1" s="55"/>
      <c r="S1" s="55"/>
    </row>
    <row r="2" spans="1:19" ht="16.5" thickBot="1">
      <c r="A2" s="258"/>
      <c r="B2" s="55"/>
      <c r="C2" s="55"/>
      <c r="D2" s="55"/>
      <c r="E2" s="232" t="str">
        <f>EnterP_Inv!C8</f>
        <v>Crop#1</v>
      </c>
      <c r="F2" s="232" t="str">
        <f>EnterP_Inv!D8</f>
        <v>Crop#2</v>
      </c>
      <c r="G2" s="232" t="str">
        <f>EnterP_Inv!E8</f>
        <v>Crop#3</v>
      </c>
      <c r="H2" s="57" t="str">
        <f>EnterP_Inv!F8</f>
        <v>Crop#4</v>
      </c>
      <c r="I2" s="232" t="str">
        <f>EnterP_Inv!G8</f>
        <v>Crop#5</v>
      </c>
      <c r="J2" s="232" t="str">
        <f>EnterP_Inv!H8</f>
        <v>Crop#6</v>
      </c>
      <c r="K2" s="55"/>
      <c r="L2" s="55"/>
      <c r="M2" s="55"/>
      <c r="N2" s="55"/>
      <c r="O2" s="55"/>
      <c r="P2" s="55"/>
      <c r="Q2" s="55"/>
      <c r="R2" s="55"/>
      <c r="S2" s="55"/>
    </row>
    <row r="3" spans="1:19" ht="15.75">
      <c r="A3" s="258"/>
      <c r="B3" s="55"/>
      <c r="C3" s="55"/>
      <c r="D3" s="55"/>
      <c r="E3" s="281" t="str">
        <f>EnterP_Inv!C9</f>
        <v>Winter Wheat</v>
      </c>
      <c r="F3" s="281" t="str">
        <f>EnterP_Inv!D9</f>
        <v>Spring Wheat</v>
      </c>
      <c r="G3" s="281" t="str">
        <f>EnterP_Inv!E9</f>
        <v>Durum</v>
      </c>
      <c r="H3" s="283" t="str">
        <f>EnterP_Inv!F9</f>
        <v>Malt Barley</v>
      </c>
      <c r="I3" s="281" t="str">
        <f>EnterP_Inv!G9</f>
        <v>Summer Fallow</v>
      </c>
      <c r="J3" s="281" t="str">
        <f>EnterP_Inv!H9</f>
        <v>Not Used</v>
      </c>
      <c r="K3" s="55"/>
      <c r="L3" s="55"/>
      <c r="M3" s="55"/>
      <c r="N3" s="55"/>
      <c r="O3" s="55"/>
      <c r="P3" s="55"/>
      <c r="Q3" s="55"/>
      <c r="R3" s="55"/>
      <c r="S3" s="55"/>
    </row>
    <row r="4" spans="1:19" ht="15.75">
      <c r="A4" s="258"/>
      <c r="B4" s="55"/>
      <c r="C4" s="55"/>
      <c r="D4" s="55"/>
      <c r="E4" s="282"/>
      <c r="F4" s="282"/>
      <c r="G4" s="282"/>
      <c r="H4" s="284"/>
      <c r="I4" s="282"/>
      <c r="J4" s="282"/>
      <c r="K4" s="55"/>
      <c r="L4" s="55"/>
      <c r="M4" s="55"/>
      <c r="N4" s="55"/>
      <c r="O4" s="55"/>
      <c r="P4" s="55"/>
      <c r="Q4" s="55"/>
      <c r="R4" s="55"/>
      <c r="S4" s="55"/>
    </row>
    <row r="5" spans="1:19" ht="15.75">
      <c r="A5" s="258"/>
      <c r="B5" s="55"/>
      <c r="C5" s="55"/>
      <c r="D5" s="55" t="str">
        <f>EnterP_Inv!B12</f>
        <v>Expected Yield</v>
      </c>
      <c r="E5" s="233">
        <f>EnterP_Inv!C12</f>
        <v>42</v>
      </c>
      <c r="F5" s="233">
        <f>EnterP_Inv!D12</f>
        <v>28</v>
      </c>
      <c r="G5" s="233">
        <f>EnterP_Inv!E12</f>
        <v>22</v>
      </c>
      <c r="H5" s="223">
        <f>EnterP_Inv!F12</f>
        <v>52</v>
      </c>
      <c r="I5" s="233">
        <f>EnterP_Inv!G12</f>
        <v>0</v>
      </c>
      <c r="J5" s="233">
        <f>EnterP_Inv!H12</f>
        <v>0</v>
      </c>
      <c r="K5" s="55"/>
      <c r="L5" s="55"/>
      <c r="M5" s="55"/>
      <c r="N5" s="55"/>
      <c r="O5" s="55"/>
      <c r="P5" s="55"/>
      <c r="Q5" s="55"/>
      <c r="R5" s="55"/>
      <c r="S5" s="55"/>
    </row>
    <row r="6" spans="1:19" ht="15.75">
      <c r="A6" s="258"/>
      <c r="B6" s="7" t="s">
        <v>150</v>
      </c>
      <c r="C6" s="7"/>
      <c r="D6" s="156" t="s">
        <v>26</v>
      </c>
      <c r="E6" s="7"/>
      <c r="F6" s="7"/>
      <c r="G6" s="7"/>
      <c r="H6" s="7"/>
      <c r="I6" s="7"/>
      <c r="J6" s="7"/>
      <c r="K6" s="1"/>
      <c r="L6" s="55"/>
      <c r="M6" s="55"/>
      <c r="N6" s="55"/>
      <c r="O6" s="55"/>
      <c r="P6" s="55"/>
      <c r="Q6" s="55"/>
      <c r="R6" s="55"/>
      <c r="S6" s="55"/>
    </row>
    <row r="7" spans="1:19" ht="18.75">
      <c r="A7" s="258"/>
      <c r="B7" s="45" t="str">
        <f>EnterP_Inv!$F$9</f>
        <v>Malt Barley</v>
      </c>
      <c r="C7" s="55"/>
      <c r="D7" s="46">
        <f>EnterP_Inv!$F$11</f>
        <v>300</v>
      </c>
      <c r="E7" s="18" t="s">
        <v>53</v>
      </c>
      <c r="F7" s="10"/>
      <c r="G7" s="10"/>
      <c r="H7" s="10"/>
      <c r="I7" s="10"/>
      <c r="J7" s="10"/>
      <c r="K7" s="5"/>
      <c r="L7" s="55"/>
      <c r="M7" s="55"/>
      <c r="N7" s="55"/>
      <c r="O7" s="55"/>
      <c r="P7" s="55"/>
      <c r="Q7" s="55"/>
      <c r="R7" s="55"/>
      <c r="S7" s="55"/>
    </row>
    <row r="8" spans="1:19" ht="15.75">
      <c r="A8" s="258"/>
      <c r="B8" s="10"/>
      <c r="C8" s="10"/>
      <c r="D8" s="10"/>
      <c r="E8" s="11"/>
      <c r="F8" s="14" t="s">
        <v>40</v>
      </c>
      <c r="G8" s="15" t="s">
        <v>41</v>
      </c>
      <c r="H8" s="15" t="s">
        <v>2</v>
      </c>
      <c r="I8" s="15" t="s">
        <v>3</v>
      </c>
      <c r="J8" s="15" t="s">
        <v>3</v>
      </c>
      <c r="K8" s="5"/>
      <c r="L8" s="55"/>
      <c r="M8" s="55"/>
      <c r="N8" s="55"/>
      <c r="O8" s="55"/>
      <c r="P8" s="55"/>
      <c r="Q8" s="55"/>
      <c r="R8" s="55"/>
      <c r="S8" s="55"/>
    </row>
    <row r="9" spans="1:19" ht="15.75">
      <c r="A9" s="258"/>
      <c r="B9" s="7"/>
      <c r="C9" s="7"/>
      <c r="D9" s="7"/>
      <c r="E9" s="12"/>
      <c r="F9" s="13" t="s">
        <v>42</v>
      </c>
      <c r="G9" s="9" t="s">
        <v>42</v>
      </c>
      <c r="H9" s="9" t="s">
        <v>7</v>
      </c>
      <c r="I9" s="9" t="s">
        <v>7</v>
      </c>
      <c r="J9" s="9" t="s">
        <v>6</v>
      </c>
      <c r="K9" s="5"/>
      <c r="L9" s="55"/>
      <c r="M9" s="55"/>
      <c r="N9" s="55"/>
      <c r="O9" s="55"/>
      <c r="P9" s="55"/>
      <c r="Q9" s="55"/>
      <c r="R9" s="55"/>
      <c r="S9" s="55"/>
    </row>
    <row r="10" spans="1:19" ht="18.75">
      <c r="A10" s="258"/>
      <c r="B10" s="45" t="s">
        <v>193</v>
      </c>
      <c r="C10" s="7"/>
      <c r="D10" s="7"/>
      <c r="E10" s="19" t="s">
        <v>43</v>
      </c>
      <c r="F10" s="13" t="s">
        <v>44</v>
      </c>
      <c r="G10" s="9" t="s">
        <v>44</v>
      </c>
      <c r="H10" s="9" t="s">
        <v>9</v>
      </c>
      <c r="I10" s="9" t="s">
        <v>9</v>
      </c>
      <c r="J10" s="9" t="s">
        <v>9</v>
      </c>
      <c r="K10" s="5"/>
      <c r="L10" s="55"/>
      <c r="M10" s="55"/>
      <c r="N10" s="55"/>
      <c r="O10" s="55"/>
      <c r="P10" s="55"/>
      <c r="Q10" s="55"/>
      <c r="R10" s="55"/>
      <c r="S10" s="55"/>
    </row>
    <row r="11" spans="1:19" ht="15.75">
      <c r="A11" s="258"/>
      <c r="B11" s="10"/>
      <c r="C11" s="10"/>
      <c r="D11" s="10"/>
      <c r="E11" s="174"/>
      <c r="F11" s="174"/>
      <c r="G11" s="174"/>
      <c r="H11" s="174"/>
      <c r="I11" s="174"/>
      <c r="J11" s="174"/>
      <c r="K11" s="5"/>
      <c r="L11" s="55"/>
      <c r="M11" s="55"/>
      <c r="N11" s="55"/>
      <c r="O11" s="55"/>
      <c r="P11" s="55"/>
      <c r="Q11" s="55"/>
      <c r="R11" s="55"/>
      <c r="S11" s="55"/>
    </row>
    <row r="12" spans="1:19" ht="15.75">
      <c r="A12" s="258"/>
      <c r="B12" s="32" t="s">
        <v>173</v>
      </c>
      <c r="C12" s="7"/>
      <c r="D12" s="7"/>
      <c r="E12" s="154" t="s">
        <v>45</v>
      </c>
      <c r="F12" s="229">
        <v>12.5</v>
      </c>
      <c r="G12" s="147">
        <v>1</v>
      </c>
      <c r="H12" s="155">
        <v>1</v>
      </c>
      <c r="I12" s="168">
        <f>F12*G12*H12*$D$7</f>
        <v>3750</v>
      </c>
      <c r="J12" s="168">
        <f aca="true" t="shared" si="0" ref="J12:J21">F12*G12*(1-H12)*$D$7</f>
        <v>0</v>
      </c>
      <c r="K12" s="5"/>
      <c r="L12" s="55"/>
      <c r="M12" s="55"/>
      <c r="N12" s="55"/>
      <c r="O12" s="55"/>
      <c r="P12" s="55"/>
      <c r="Q12" s="55"/>
      <c r="R12" s="55"/>
      <c r="S12" s="55"/>
    </row>
    <row r="13" spans="1:19" ht="15.75">
      <c r="A13" s="258"/>
      <c r="B13" s="32" t="s">
        <v>174</v>
      </c>
      <c r="C13" s="21"/>
      <c r="D13" s="259"/>
      <c r="E13" s="154" t="s">
        <v>46</v>
      </c>
      <c r="F13" s="229">
        <v>11</v>
      </c>
      <c r="G13" s="147">
        <v>1</v>
      </c>
      <c r="H13" s="155">
        <v>1</v>
      </c>
      <c r="I13" s="168">
        <f>F13*G13*H13*$D$7</f>
        <v>3300</v>
      </c>
      <c r="J13" s="168">
        <f t="shared" si="0"/>
        <v>0</v>
      </c>
      <c r="K13" s="5"/>
      <c r="L13" s="55"/>
      <c r="M13" s="55"/>
      <c r="N13" s="55"/>
      <c r="O13" s="55"/>
      <c r="P13" s="55"/>
      <c r="Q13" s="55"/>
      <c r="R13" s="55"/>
      <c r="S13" s="55"/>
    </row>
    <row r="14" spans="1:19" ht="15.75">
      <c r="A14" s="258"/>
      <c r="B14" s="226"/>
      <c r="C14" s="227"/>
      <c r="D14" s="8"/>
      <c r="E14" s="154" t="s">
        <v>46</v>
      </c>
      <c r="F14" s="229">
        <v>0</v>
      </c>
      <c r="G14" s="147">
        <v>1</v>
      </c>
      <c r="H14" s="155">
        <v>1</v>
      </c>
      <c r="I14" s="168">
        <f aca="true" t="shared" si="1" ref="I14:I21">F14*G14*H14*$D$7</f>
        <v>0</v>
      </c>
      <c r="J14" s="168">
        <f t="shared" si="0"/>
        <v>0</v>
      </c>
      <c r="K14" s="5"/>
      <c r="L14" s="55"/>
      <c r="M14" s="55"/>
      <c r="N14" s="55"/>
      <c r="O14" s="55"/>
      <c r="P14" s="55"/>
      <c r="Q14" s="55"/>
      <c r="R14" s="55"/>
      <c r="S14" s="55"/>
    </row>
    <row r="15" spans="1:19" ht="15.75">
      <c r="A15" s="258"/>
      <c r="B15" s="226"/>
      <c r="C15" s="227"/>
      <c r="D15" s="8"/>
      <c r="E15" s="154" t="s">
        <v>46</v>
      </c>
      <c r="F15" s="229">
        <v>0</v>
      </c>
      <c r="G15" s="147">
        <v>1</v>
      </c>
      <c r="H15" s="155">
        <v>1</v>
      </c>
      <c r="I15" s="168">
        <f t="shared" si="1"/>
        <v>0</v>
      </c>
      <c r="J15" s="168">
        <f t="shared" si="0"/>
        <v>0</v>
      </c>
      <c r="K15" s="5"/>
      <c r="L15" s="55"/>
      <c r="M15" s="180"/>
      <c r="N15" s="55"/>
      <c r="O15" s="55"/>
      <c r="P15" s="260" t="s">
        <v>220</v>
      </c>
      <c r="Q15" s="55"/>
      <c r="R15" s="55"/>
      <c r="S15" s="55"/>
    </row>
    <row r="16" spans="1:19" ht="15.75">
      <c r="A16" s="258"/>
      <c r="B16" s="32" t="s">
        <v>198</v>
      </c>
      <c r="C16" s="7"/>
      <c r="D16" s="21"/>
      <c r="E16" s="154" t="s">
        <v>47</v>
      </c>
      <c r="F16" s="229">
        <v>0</v>
      </c>
      <c r="G16" s="147">
        <v>1</v>
      </c>
      <c r="H16" s="155">
        <v>1</v>
      </c>
      <c r="I16" s="168">
        <f t="shared" si="1"/>
        <v>0</v>
      </c>
      <c r="J16" s="168">
        <f t="shared" si="0"/>
        <v>0</v>
      </c>
      <c r="K16" s="5"/>
      <c r="L16" s="55"/>
      <c r="M16" s="180"/>
      <c r="N16" s="55"/>
      <c r="O16" s="55"/>
      <c r="P16" s="261" t="s">
        <v>221</v>
      </c>
      <c r="Q16" s="55"/>
      <c r="R16" s="55"/>
      <c r="S16" s="55"/>
    </row>
    <row r="17" spans="1:19" ht="15.75">
      <c r="A17" s="258"/>
      <c r="B17" s="32" t="s">
        <v>175</v>
      </c>
      <c r="C17" s="21"/>
      <c r="D17" s="259"/>
      <c r="E17" s="154" t="s">
        <v>48</v>
      </c>
      <c r="F17" s="229">
        <v>0</v>
      </c>
      <c r="G17" s="147">
        <v>1</v>
      </c>
      <c r="H17" s="155">
        <v>0</v>
      </c>
      <c r="I17" s="168">
        <f t="shared" si="1"/>
        <v>0</v>
      </c>
      <c r="J17" s="168">
        <f t="shared" si="0"/>
        <v>0</v>
      </c>
      <c r="K17" s="5"/>
      <c r="L17" s="55"/>
      <c r="M17" s="180"/>
      <c r="N17" s="55"/>
      <c r="O17" s="55"/>
      <c r="P17" s="262" t="s">
        <v>222</v>
      </c>
      <c r="Q17" s="55"/>
      <c r="R17" s="55"/>
      <c r="S17" s="55"/>
    </row>
    <row r="18" spans="1:19" ht="15.75">
      <c r="A18" s="258"/>
      <c r="B18" s="226"/>
      <c r="C18" s="227" t="s">
        <v>212</v>
      </c>
      <c r="D18" s="20"/>
      <c r="E18" s="154" t="s">
        <v>210</v>
      </c>
      <c r="F18" s="229">
        <v>1100</v>
      </c>
      <c r="G18" s="147">
        <v>0.024</v>
      </c>
      <c r="H18" s="155">
        <v>0.76</v>
      </c>
      <c r="I18" s="168">
        <f t="shared" si="1"/>
        <v>6019.200000000001</v>
      </c>
      <c r="J18" s="168">
        <f t="shared" si="0"/>
        <v>1900.8000000000002</v>
      </c>
      <c r="K18" s="5"/>
      <c r="L18" s="55"/>
      <c r="M18" s="180"/>
      <c r="N18" s="223" t="s">
        <v>212</v>
      </c>
      <c r="O18" s="277">
        <v>0.024038461538461543</v>
      </c>
      <c r="P18" s="263">
        <f>2000*O18</f>
        <v>48.07692307692309</v>
      </c>
      <c r="Q18" s="55"/>
      <c r="R18" s="55"/>
      <c r="S18" s="55"/>
    </row>
    <row r="19" spans="1:19" ht="15.75">
      <c r="A19" s="258"/>
      <c r="B19" s="226"/>
      <c r="C19" s="227" t="s">
        <v>211</v>
      </c>
      <c r="D19" s="8"/>
      <c r="E19" s="154" t="s">
        <v>236</v>
      </c>
      <c r="F19" s="229">
        <v>0.6</v>
      </c>
      <c r="G19" s="147">
        <v>55</v>
      </c>
      <c r="H19" s="155">
        <v>0.76</v>
      </c>
      <c r="I19" s="168">
        <f t="shared" si="1"/>
        <v>7524.000000000001</v>
      </c>
      <c r="J19" s="168">
        <f t="shared" si="0"/>
        <v>2376</v>
      </c>
      <c r="K19" s="5"/>
      <c r="L19" s="55"/>
      <c r="M19" s="180" t="s">
        <v>217</v>
      </c>
      <c r="N19" s="120">
        <f>2000*0.11</f>
        <v>220</v>
      </c>
      <c r="O19" s="264">
        <f>N19*$O$18</f>
        <v>5.288461538461539</v>
      </c>
      <c r="P19" s="55"/>
      <c r="Q19" s="55"/>
      <c r="R19" s="55"/>
      <c r="S19" s="55"/>
    </row>
    <row r="20" spans="1:19" ht="15.75">
      <c r="A20" s="258"/>
      <c r="B20" s="32" t="s">
        <v>199</v>
      </c>
      <c r="C20" s="7"/>
      <c r="D20" s="7"/>
      <c r="E20" s="154" t="s">
        <v>47</v>
      </c>
      <c r="F20" s="229">
        <v>4</v>
      </c>
      <c r="G20" s="147">
        <v>1</v>
      </c>
      <c r="H20" s="155">
        <v>1</v>
      </c>
      <c r="I20" s="168">
        <f t="shared" si="1"/>
        <v>1200</v>
      </c>
      <c r="J20" s="168">
        <f t="shared" si="0"/>
        <v>0</v>
      </c>
      <c r="K20" s="5"/>
      <c r="L20" s="55"/>
      <c r="M20" s="180" t="s">
        <v>218</v>
      </c>
      <c r="N20" s="120">
        <f>2000*0.52</f>
        <v>1040</v>
      </c>
      <c r="O20" s="264">
        <f>N20*$O$18</f>
        <v>25.000000000000004</v>
      </c>
      <c r="P20" s="55"/>
      <c r="Q20" s="55"/>
      <c r="R20" s="55"/>
      <c r="S20" s="55"/>
    </row>
    <row r="21" spans="1:19" ht="15.75">
      <c r="A21" s="258"/>
      <c r="B21" s="32" t="s">
        <v>176</v>
      </c>
      <c r="C21" s="7"/>
      <c r="D21" s="7"/>
      <c r="E21" s="154" t="s">
        <v>47</v>
      </c>
      <c r="F21" s="229">
        <v>0</v>
      </c>
      <c r="G21" s="147">
        <v>1</v>
      </c>
      <c r="H21" s="155">
        <v>1</v>
      </c>
      <c r="I21" s="168">
        <f t="shared" si="1"/>
        <v>0</v>
      </c>
      <c r="J21" s="168">
        <f t="shared" si="0"/>
        <v>0</v>
      </c>
      <c r="K21" s="5"/>
      <c r="L21" s="55"/>
      <c r="M21" s="225" t="s">
        <v>219</v>
      </c>
      <c r="N21" s="121">
        <f>2000-(N19+N20)</f>
        <v>740</v>
      </c>
      <c r="O21" s="264">
        <f>N21*$O$18</f>
        <v>17.788461538461544</v>
      </c>
      <c r="P21" s="55"/>
      <c r="Q21" s="55"/>
      <c r="R21" s="55"/>
      <c r="S21" s="55"/>
    </row>
    <row r="22" spans="1:19" ht="15.75">
      <c r="A22" s="258"/>
      <c r="B22" s="32" t="s">
        <v>213</v>
      </c>
      <c r="C22" s="7"/>
      <c r="D22" s="7"/>
      <c r="E22" s="265"/>
      <c r="F22" s="266"/>
      <c r="G22" s="267"/>
      <c r="H22" s="268"/>
      <c r="I22" s="173"/>
      <c r="J22" s="173"/>
      <c r="K22" s="5"/>
      <c r="L22" s="55"/>
      <c r="M22" s="180" t="s">
        <v>223</v>
      </c>
      <c r="N22" s="120">
        <f>SUM(N19:N21)</f>
        <v>2000</v>
      </c>
      <c r="O22" s="55"/>
      <c r="P22" s="55"/>
      <c r="Q22" s="55"/>
      <c r="R22" s="55"/>
      <c r="S22" s="55"/>
    </row>
    <row r="23" spans="1:19" ht="15.75">
      <c r="A23" s="258"/>
      <c r="B23" s="6" t="s">
        <v>171</v>
      </c>
      <c r="C23" s="7"/>
      <c r="D23" s="7"/>
      <c r="E23" s="154" t="s">
        <v>46</v>
      </c>
      <c r="F23" s="229">
        <f>(7706+6652+2221+385+333+111)/4500</f>
        <v>3.8684444444444446</v>
      </c>
      <c r="G23" s="147">
        <v>1</v>
      </c>
      <c r="H23" s="155">
        <v>1</v>
      </c>
      <c r="I23" s="168">
        <f>IF(F23&gt;100,F23*G23*H23,+F23*G23*H23*$D$7)*EnterP_Inv!$L$12</f>
        <v>1160.5333333333333</v>
      </c>
      <c r="J23" s="168">
        <f>(IF(F23&gt;100,F23*G23*(1-H23),F23*G23*(1-H23)*$D$7))*EnterP_Inv!$L$12</f>
        <v>0</v>
      </c>
      <c r="K23" s="5"/>
      <c r="L23" s="55"/>
      <c r="M23" s="180" t="s">
        <v>224</v>
      </c>
      <c r="N23" s="276">
        <v>1100</v>
      </c>
      <c r="O23" s="55"/>
      <c r="P23" s="55"/>
      <c r="Q23" s="55"/>
      <c r="R23" s="55"/>
      <c r="S23" s="55"/>
    </row>
    <row r="24" spans="1:19" ht="15.75">
      <c r="A24" s="258"/>
      <c r="B24" s="6" t="s">
        <v>172</v>
      </c>
      <c r="C24" s="7"/>
      <c r="D24" s="7"/>
      <c r="E24" s="154" t="s">
        <v>46</v>
      </c>
      <c r="F24" s="229">
        <f>(1168+1911+947+1425)/4500</f>
        <v>1.2113333333333334</v>
      </c>
      <c r="G24" s="147">
        <v>1</v>
      </c>
      <c r="H24" s="155">
        <v>1</v>
      </c>
      <c r="I24" s="168">
        <f>IF(F24&gt;100,F24*G24*H24,+F24*G24*H24*$D$7)</f>
        <v>363.40000000000003</v>
      </c>
      <c r="J24" s="168">
        <f>IF(F24&gt;100,F24*G24*(1-H24),F24*G24*(1-H24)*$D$7)</f>
        <v>0</v>
      </c>
      <c r="K24" s="5"/>
      <c r="L24" s="55"/>
      <c r="M24" s="55"/>
      <c r="N24" s="224">
        <f>N23/2000</f>
        <v>0.55</v>
      </c>
      <c r="O24" s="180" t="s">
        <v>225</v>
      </c>
      <c r="P24" s="55"/>
      <c r="Q24" s="55"/>
      <c r="R24" s="55"/>
      <c r="S24" s="55"/>
    </row>
    <row r="25" spans="1:19" ht="15.75">
      <c r="A25" s="258"/>
      <c r="B25" s="32" t="s">
        <v>177</v>
      </c>
      <c r="C25" s="7"/>
      <c r="D25" s="7"/>
      <c r="E25" s="265"/>
      <c r="F25" s="266"/>
      <c r="G25" s="267"/>
      <c r="H25" s="268"/>
      <c r="I25" s="173"/>
      <c r="J25" s="173"/>
      <c r="K25" s="5"/>
      <c r="L25" s="55"/>
      <c r="M25" s="180"/>
      <c r="N25" s="55"/>
      <c r="O25" s="55"/>
      <c r="P25" s="55"/>
      <c r="Q25" s="55"/>
      <c r="R25" s="55"/>
      <c r="S25" s="55"/>
    </row>
    <row r="26" spans="1:19" ht="15.75">
      <c r="A26" s="258"/>
      <c r="B26" s="6" t="s">
        <v>171</v>
      </c>
      <c r="C26" s="7"/>
      <c r="D26" s="7"/>
      <c r="E26" s="154" t="s">
        <v>46</v>
      </c>
      <c r="F26" s="229">
        <f>(2700+135+6738+2166+337+108)/4500</f>
        <v>2.7075555555555555</v>
      </c>
      <c r="G26" s="147">
        <v>1</v>
      </c>
      <c r="H26" s="155">
        <v>1</v>
      </c>
      <c r="I26" s="168">
        <f>IF(F26&gt;100,F26*G26*H26,+F26*G26*H26*$D$7)*EnterP_Inv!$L$12</f>
        <v>812.2666666666667</v>
      </c>
      <c r="J26" s="168">
        <f>(IF(F26&gt;100,F26*G26*(1-H26),F26*G26*(1-H26)*$D$7))*EnterP_Inv!$L$12</f>
        <v>0</v>
      </c>
      <c r="K26" s="5"/>
      <c r="L26" s="55"/>
      <c r="M26" s="180"/>
      <c r="N26" s="55"/>
      <c r="O26" s="55"/>
      <c r="P26" s="55"/>
      <c r="Q26" s="55"/>
      <c r="R26" s="55"/>
      <c r="S26" s="55"/>
    </row>
    <row r="27" spans="1:19" ht="15.75">
      <c r="A27" s="258"/>
      <c r="B27" s="6" t="s">
        <v>172</v>
      </c>
      <c r="C27" s="7"/>
      <c r="D27" s="7"/>
      <c r="E27" s="154"/>
      <c r="F27" s="229">
        <f>(4957+7643+2917+804)/4500</f>
        <v>3.626888888888889</v>
      </c>
      <c r="G27" s="147">
        <v>1</v>
      </c>
      <c r="H27" s="155">
        <v>1</v>
      </c>
      <c r="I27" s="168">
        <f>IF(F27&gt;100,F27*G27*H27,+F27*G27*H27*$D$7)</f>
        <v>1088.0666666666666</v>
      </c>
      <c r="J27" s="168">
        <f>IF(F27&gt;100,F27*G27*(1-H27),F27*G27*(1-H27)*$D$7)</f>
        <v>0</v>
      </c>
      <c r="K27" s="5"/>
      <c r="L27" s="55"/>
      <c r="M27" s="180"/>
      <c r="N27" s="125" t="s">
        <v>211</v>
      </c>
      <c r="O27" s="55"/>
      <c r="P27" s="55"/>
      <c r="Q27" s="55"/>
      <c r="R27" s="55"/>
      <c r="S27" s="55"/>
    </row>
    <row r="28" spans="1:19" ht="15.75">
      <c r="A28" s="258"/>
      <c r="B28" s="32" t="s">
        <v>178</v>
      </c>
      <c r="C28" s="7"/>
      <c r="D28" s="7"/>
      <c r="E28" s="265"/>
      <c r="F28" s="266" t="s">
        <v>49</v>
      </c>
      <c r="G28" s="267"/>
      <c r="H28" s="268"/>
      <c r="I28" s="173"/>
      <c r="J28" s="173"/>
      <c r="K28" s="5"/>
      <c r="L28" s="55"/>
      <c r="M28" s="180"/>
      <c r="N28" s="120">
        <f>2000*0.46</f>
        <v>920</v>
      </c>
      <c r="O28" s="55" t="s">
        <v>216</v>
      </c>
      <c r="P28" s="55"/>
      <c r="Q28" s="55"/>
      <c r="R28" s="55"/>
      <c r="S28" s="55"/>
    </row>
    <row r="29" spans="1:19" ht="15.75">
      <c r="A29" s="258"/>
      <c r="B29" s="6" t="s">
        <v>185</v>
      </c>
      <c r="C29" s="7"/>
      <c r="D29" s="7"/>
      <c r="E29" s="154" t="s">
        <v>50</v>
      </c>
      <c r="F29" s="229">
        <v>0</v>
      </c>
      <c r="G29" s="147">
        <v>0</v>
      </c>
      <c r="H29" s="155">
        <v>1</v>
      </c>
      <c r="I29" s="168">
        <f>F29*G29*H29*$D$7</f>
        <v>0</v>
      </c>
      <c r="J29" s="168">
        <f>F29*G29*(1-H29)*$D$7</f>
        <v>0</v>
      </c>
      <c r="K29" s="5"/>
      <c r="L29" s="55"/>
      <c r="M29" s="180"/>
      <c r="N29" s="276">
        <v>600</v>
      </c>
      <c r="O29" s="55" t="s">
        <v>226</v>
      </c>
      <c r="P29" s="55"/>
      <c r="Q29" s="55"/>
      <c r="R29" s="55"/>
      <c r="S29" s="55"/>
    </row>
    <row r="30" spans="1:19" ht="15.75">
      <c r="A30" s="258"/>
      <c r="B30" s="6" t="s">
        <v>186</v>
      </c>
      <c r="C30" s="7"/>
      <c r="D30" s="7"/>
      <c r="E30" s="154" t="s">
        <v>50</v>
      </c>
      <c r="F30" s="229">
        <v>0</v>
      </c>
      <c r="G30" s="147">
        <v>0</v>
      </c>
      <c r="H30" s="155">
        <v>1</v>
      </c>
      <c r="I30" s="168">
        <f>F30*G30*H30*$D$7</f>
        <v>0</v>
      </c>
      <c r="J30" s="168">
        <f>F30*G30*(1-H30)*$D$7</f>
        <v>0</v>
      </c>
      <c r="K30" s="5"/>
      <c r="L30" s="55"/>
      <c r="M30" s="180"/>
      <c r="N30" s="224">
        <f>N29/920</f>
        <v>0.6521739130434783</v>
      </c>
      <c r="O30" s="55" t="s">
        <v>227</v>
      </c>
      <c r="P30" s="55"/>
      <c r="Q30" s="55"/>
      <c r="R30" s="55"/>
      <c r="S30" s="55"/>
    </row>
    <row r="31" spans="1:19" ht="15.75">
      <c r="A31" s="258"/>
      <c r="B31" s="6" t="s">
        <v>187</v>
      </c>
      <c r="C31" s="7"/>
      <c r="D31" s="7"/>
      <c r="E31" s="154" t="s">
        <v>50</v>
      </c>
      <c r="F31" s="229">
        <v>0</v>
      </c>
      <c r="G31" s="147">
        <v>0</v>
      </c>
      <c r="H31" s="177">
        <v>1</v>
      </c>
      <c r="I31" s="181">
        <f>F31*G31*H31*$D$7</f>
        <v>0</v>
      </c>
      <c r="J31" s="182">
        <f>F31*G31*(1-H31)*$D$7</f>
        <v>0</v>
      </c>
      <c r="K31" s="5"/>
      <c r="L31" s="55"/>
      <c r="M31" s="55"/>
      <c r="N31" s="55"/>
      <c r="O31" s="55"/>
      <c r="P31" s="55"/>
      <c r="Q31" s="55"/>
      <c r="R31" s="55"/>
      <c r="S31" s="55"/>
    </row>
    <row r="32" spans="1:19" ht="15.75">
      <c r="A32" s="258"/>
      <c r="B32" s="32" t="s">
        <v>179</v>
      </c>
      <c r="C32" s="7"/>
      <c r="D32" s="7"/>
      <c r="E32" s="174"/>
      <c r="F32" s="231" t="s">
        <v>49</v>
      </c>
      <c r="G32" s="174"/>
      <c r="H32" s="176"/>
      <c r="I32" s="176"/>
      <c r="J32" s="176"/>
      <c r="K32" s="5"/>
      <c r="L32" s="55"/>
      <c r="M32" s="55"/>
      <c r="N32" s="55"/>
      <c r="O32" s="55"/>
      <c r="P32" s="55"/>
      <c r="Q32" s="55"/>
      <c r="R32" s="55"/>
      <c r="S32" s="55"/>
    </row>
    <row r="33" spans="1:19" ht="15.75">
      <c r="A33" s="258"/>
      <c r="B33" s="6" t="s">
        <v>180</v>
      </c>
      <c r="C33" s="7"/>
      <c r="D33" s="7"/>
      <c r="E33" s="154" t="s">
        <v>50</v>
      </c>
      <c r="F33" s="229">
        <v>0</v>
      </c>
      <c r="G33" s="147">
        <v>1</v>
      </c>
      <c r="H33" s="176"/>
      <c r="I33" s="176"/>
      <c r="J33" s="168">
        <f>F33*G33*$D$7</f>
        <v>0</v>
      </c>
      <c r="K33" s="5"/>
      <c r="L33" s="55"/>
      <c r="M33" s="55"/>
      <c r="N33" s="55"/>
      <c r="O33" s="55"/>
      <c r="P33" s="55"/>
      <c r="Q33" s="55"/>
      <c r="R33" s="55"/>
      <c r="S33" s="55"/>
    </row>
    <row r="34" spans="1:19" ht="15.75">
      <c r="A34" s="258"/>
      <c r="B34" s="6" t="s">
        <v>181</v>
      </c>
      <c r="C34" s="7"/>
      <c r="D34" s="7"/>
      <c r="E34" s="154" t="s">
        <v>50</v>
      </c>
      <c r="F34" s="229">
        <v>10</v>
      </c>
      <c r="G34" s="147">
        <v>0.4</v>
      </c>
      <c r="H34" s="176"/>
      <c r="I34" s="175">
        <f>F34*G34*$D$7</f>
        <v>1200</v>
      </c>
      <c r="J34" s="176"/>
      <c r="K34" s="5"/>
      <c r="L34" s="55"/>
      <c r="M34" s="55"/>
      <c r="N34" s="55"/>
      <c r="O34" s="55"/>
      <c r="P34" s="55"/>
      <c r="Q34" s="55"/>
      <c r="R34" s="55"/>
      <c r="S34" s="55"/>
    </row>
    <row r="35" spans="1:19" ht="15.75">
      <c r="A35" s="258"/>
      <c r="B35" s="6" t="s">
        <v>182</v>
      </c>
      <c r="C35" s="7"/>
      <c r="D35" s="7"/>
      <c r="E35" s="154" t="s">
        <v>50</v>
      </c>
      <c r="F35" s="229">
        <v>0</v>
      </c>
      <c r="G35" s="147">
        <v>0.25</v>
      </c>
      <c r="H35" s="176"/>
      <c r="I35" s="175">
        <f>F35*G35*$D$7</f>
        <v>0</v>
      </c>
      <c r="J35" s="176"/>
      <c r="K35" s="5"/>
      <c r="L35" s="55"/>
      <c r="M35" s="55"/>
      <c r="N35" s="55"/>
      <c r="O35" s="55"/>
      <c r="P35" s="55"/>
      <c r="Q35" s="55"/>
      <c r="R35" s="55"/>
      <c r="S35" s="55"/>
    </row>
    <row r="36" spans="1:19" ht="15.75">
      <c r="A36" s="258"/>
      <c r="B36" s="6" t="s">
        <v>183</v>
      </c>
      <c r="C36" s="7"/>
      <c r="D36" s="7"/>
      <c r="E36" s="154" t="s">
        <v>50</v>
      </c>
      <c r="F36" s="229">
        <v>0</v>
      </c>
      <c r="G36" s="147">
        <v>1</v>
      </c>
      <c r="H36" s="176"/>
      <c r="I36" s="175">
        <f>F36*G36*$D$7</f>
        <v>0</v>
      </c>
      <c r="J36" s="176"/>
      <c r="K36" s="5"/>
      <c r="L36" s="55"/>
      <c r="M36" s="55"/>
      <c r="N36" s="55"/>
      <c r="O36" s="55"/>
      <c r="P36" s="55"/>
      <c r="Q36" s="55"/>
      <c r="R36" s="55"/>
      <c r="S36" s="55"/>
    </row>
    <row r="37" spans="1:19" ht="15.75">
      <c r="A37" s="258"/>
      <c r="B37" s="274" t="s">
        <v>200</v>
      </c>
      <c r="C37" s="8"/>
      <c r="D37" s="275"/>
      <c r="E37" s="154" t="s">
        <v>47</v>
      </c>
      <c r="F37" s="229">
        <v>0</v>
      </c>
      <c r="G37" s="147">
        <v>1</v>
      </c>
      <c r="H37" s="155">
        <v>1</v>
      </c>
      <c r="I37" s="168">
        <f>F37*G37*H37*$D$7</f>
        <v>0</v>
      </c>
      <c r="J37" s="168">
        <f>F37*G37*(1-H37)*$D$7</f>
        <v>0</v>
      </c>
      <c r="K37" s="5"/>
      <c r="L37" s="55"/>
      <c r="M37" s="55"/>
      <c r="N37" s="55"/>
      <c r="O37" s="55"/>
      <c r="P37" s="55"/>
      <c r="Q37" s="55"/>
      <c r="R37" s="55"/>
      <c r="S37" s="55"/>
    </row>
    <row r="38" spans="1:19" ht="15.75">
      <c r="A38" s="258"/>
      <c r="B38" s="274" t="s">
        <v>201</v>
      </c>
      <c r="C38" s="8"/>
      <c r="D38" s="275"/>
      <c r="E38" s="154" t="s">
        <v>47</v>
      </c>
      <c r="F38" s="229">
        <v>0</v>
      </c>
      <c r="G38" s="147">
        <v>1</v>
      </c>
      <c r="H38" s="155">
        <v>1</v>
      </c>
      <c r="I38" s="168">
        <f>F38*G38*H38*$D$7</f>
        <v>0</v>
      </c>
      <c r="J38" s="168">
        <f>F38*G38*(1-H38)*$D$7</f>
        <v>0</v>
      </c>
      <c r="K38" s="5"/>
      <c r="L38" s="55"/>
      <c r="M38" s="55"/>
      <c r="N38" s="55"/>
      <c r="O38" s="55"/>
      <c r="P38" s="55"/>
      <c r="Q38" s="55"/>
      <c r="R38" s="55"/>
      <c r="S38" s="55"/>
    </row>
    <row r="39" spans="1:19" ht="15.75">
      <c r="A39" s="258"/>
      <c r="B39" s="32" t="s">
        <v>184</v>
      </c>
      <c r="C39" s="7"/>
      <c r="D39" s="7"/>
      <c r="E39" s="154" t="s">
        <v>51</v>
      </c>
      <c r="F39" s="176"/>
      <c r="G39" s="176"/>
      <c r="H39" s="176"/>
      <c r="I39" s="168">
        <f>(SUM(I12:I31)+I37+I38)*EnterP_Inv!$C$17/12*$F$40</f>
        <v>882.6113333333335</v>
      </c>
      <c r="J39" s="168">
        <f>(SUM(J12:J31)+J37+J38)*EnterP_Inv!$C$17/12*$F$40</f>
        <v>149.68800000000002</v>
      </c>
      <c r="K39" s="5"/>
      <c r="L39" s="55"/>
      <c r="M39" s="55"/>
      <c r="N39" s="55"/>
      <c r="O39" s="55"/>
      <c r="P39" s="55"/>
      <c r="Q39" s="55"/>
      <c r="R39" s="55"/>
      <c r="S39" s="55"/>
    </row>
    <row r="40" spans="1:19" ht="15.75">
      <c r="A40" s="258"/>
      <c r="B40" s="6" t="s">
        <v>192</v>
      </c>
      <c r="C40" s="7"/>
      <c r="D40" s="7"/>
      <c r="E40" s="176"/>
      <c r="F40" s="147">
        <v>6</v>
      </c>
      <c r="G40" s="176"/>
      <c r="H40" s="176"/>
      <c r="I40" s="178"/>
      <c r="J40" s="179"/>
      <c r="K40" s="5"/>
      <c r="L40" s="55"/>
      <c r="M40" s="55"/>
      <c r="N40" s="55"/>
      <c r="O40" s="55"/>
      <c r="P40" s="55"/>
      <c r="Q40" s="55"/>
      <c r="R40" s="55"/>
      <c r="S40" s="55"/>
    </row>
    <row r="41" spans="1:19" ht="18.75">
      <c r="A41" s="258"/>
      <c r="B41" s="150" t="s">
        <v>194</v>
      </c>
      <c r="C41" s="10"/>
      <c r="D41" s="10"/>
      <c r="E41" s="174"/>
      <c r="F41" s="174"/>
      <c r="G41" s="174"/>
      <c r="H41" s="174"/>
      <c r="I41" s="176"/>
      <c r="J41" s="176"/>
      <c r="K41" s="5"/>
      <c r="L41" s="55"/>
      <c r="M41" s="55"/>
      <c r="N41" s="55"/>
      <c r="O41" s="55"/>
      <c r="P41" s="55"/>
      <c r="Q41" s="55"/>
      <c r="R41" s="55"/>
      <c r="S41" s="55"/>
    </row>
    <row r="42" spans="1:19" ht="15.75">
      <c r="A42" s="258"/>
      <c r="B42" s="32" t="s">
        <v>188</v>
      </c>
      <c r="C42" s="7"/>
      <c r="D42" s="7"/>
      <c r="E42" s="265"/>
      <c r="F42" s="269"/>
      <c r="G42" s="267"/>
      <c r="H42" s="268"/>
      <c r="I42" s="173"/>
      <c r="J42" s="173"/>
      <c r="K42" s="5"/>
      <c r="L42" s="55"/>
      <c r="M42" s="55"/>
      <c r="N42" s="55"/>
      <c r="O42" s="55"/>
      <c r="P42" s="55"/>
      <c r="Q42" s="55"/>
      <c r="R42" s="55"/>
      <c r="S42" s="55"/>
    </row>
    <row r="43" spans="1:19" ht="15.75">
      <c r="A43" s="258"/>
      <c r="B43" s="6" t="s">
        <v>171</v>
      </c>
      <c r="C43" s="7"/>
      <c r="D43" s="7"/>
      <c r="E43" s="154" t="s">
        <v>47</v>
      </c>
      <c r="F43" s="229">
        <f>(10808+540)/4500</f>
        <v>2.521777777777778</v>
      </c>
      <c r="G43" s="147">
        <v>1</v>
      </c>
      <c r="H43" s="155">
        <v>1</v>
      </c>
      <c r="I43" s="168">
        <f>IF(F43&gt;100,F43*G43*H43,+F43*G43*H43*$D$7)*EnterP_Inv!$L$12</f>
        <v>756.5333333333334</v>
      </c>
      <c r="J43" s="168">
        <f>(IF(F43&gt;100,F43*G43*(1-H43),F43*G43*(1-H43)*$D$7))*EnterP_Inv!$L$12</f>
        <v>0</v>
      </c>
      <c r="K43" s="5"/>
      <c r="L43" s="55"/>
      <c r="M43" s="55"/>
      <c r="N43" s="55"/>
      <c r="O43" s="55"/>
      <c r="P43" s="55"/>
      <c r="Q43" s="55"/>
      <c r="R43" s="55"/>
      <c r="S43" s="55"/>
    </row>
    <row r="44" spans="1:19" ht="15.75">
      <c r="A44" s="258"/>
      <c r="B44" s="6" t="s">
        <v>172</v>
      </c>
      <c r="C44" s="7"/>
      <c r="D44" s="7"/>
      <c r="E44" s="154" t="s">
        <v>46</v>
      </c>
      <c r="F44" s="229">
        <f>14800/4500</f>
        <v>3.2888888888888888</v>
      </c>
      <c r="G44" s="147">
        <v>1</v>
      </c>
      <c r="H44" s="155">
        <v>1</v>
      </c>
      <c r="I44" s="168">
        <f>IF(F44&gt;100,F44*G44*H44,+F44*G44*H44*$D$7)</f>
        <v>986.6666666666666</v>
      </c>
      <c r="J44" s="168">
        <f>IF(F44&gt;100,F44*G44*(1-H44),F44*G44*(1-H44)*$D$7)</f>
        <v>0</v>
      </c>
      <c r="K44" s="5"/>
      <c r="L44" s="55"/>
      <c r="M44" s="55"/>
      <c r="N44" s="55"/>
      <c r="O44" s="55"/>
      <c r="P44" s="55"/>
      <c r="Q44" s="55"/>
      <c r="R44" s="55"/>
      <c r="S44" s="55"/>
    </row>
    <row r="45" spans="1:19" ht="15.75">
      <c r="A45" s="258"/>
      <c r="B45" s="6" t="s">
        <v>202</v>
      </c>
      <c r="C45" s="7"/>
      <c r="D45" s="7"/>
      <c r="E45" s="154" t="s">
        <v>46</v>
      </c>
      <c r="F45" s="229"/>
      <c r="G45" s="147">
        <v>1</v>
      </c>
      <c r="H45" s="155">
        <v>1</v>
      </c>
      <c r="I45" s="168">
        <f>IF(F45&gt;100,F45*G45*H45,+F45*G45*H45*$D$7)</f>
        <v>0</v>
      </c>
      <c r="J45" s="168">
        <f>IF(F45&gt;100,F45*G45*(1-H45),F45*G45*(1-H45)*$D$7)</f>
        <v>0</v>
      </c>
      <c r="K45" s="5"/>
      <c r="L45" s="55"/>
      <c r="M45" s="55"/>
      <c r="N45" s="55"/>
      <c r="O45" s="55"/>
      <c r="P45" s="55"/>
      <c r="Q45" s="55"/>
      <c r="R45" s="55"/>
      <c r="S45" s="55"/>
    </row>
    <row r="46" spans="1:19" ht="15.75">
      <c r="A46" s="258"/>
      <c r="B46" s="32" t="s">
        <v>189</v>
      </c>
      <c r="C46" s="7"/>
      <c r="D46" s="7"/>
      <c r="E46" s="265"/>
      <c r="F46" s="266"/>
      <c r="G46" s="267"/>
      <c r="H46" s="268"/>
      <c r="I46" s="173"/>
      <c r="J46" s="173"/>
      <c r="K46" s="5"/>
      <c r="L46" s="55"/>
      <c r="M46" s="55"/>
      <c r="N46" s="55"/>
      <c r="O46" s="55"/>
      <c r="P46" s="55"/>
      <c r="Q46" s="55"/>
      <c r="R46" s="55"/>
      <c r="S46" s="55"/>
    </row>
    <row r="47" spans="1:19" ht="15.75">
      <c r="A47" s="258"/>
      <c r="B47" s="6" t="s">
        <v>171</v>
      </c>
      <c r="C47" s="7"/>
      <c r="D47" s="7"/>
      <c r="E47" s="154" t="s">
        <v>47</v>
      </c>
      <c r="F47" s="229">
        <f>(8077+9387+337+469)/4500</f>
        <v>4.06</v>
      </c>
      <c r="G47" s="147">
        <v>1</v>
      </c>
      <c r="H47" s="155">
        <v>1</v>
      </c>
      <c r="I47" s="168">
        <f>IF(F47&gt;100,F47*G47*H47,+F47*G47*H47*$D$7)*EnterP_Inv!$L$12</f>
        <v>1217.9999999999998</v>
      </c>
      <c r="J47" s="168">
        <f>(IF(F47&gt;100,F47*G47*(1-H47),F47*G47*(1-H47)*$D$7))*EnterP_Inv!$L$12</f>
        <v>0</v>
      </c>
      <c r="K47" s="5"/>
      <c r="L47" s="55"/>
      <c r="M47" s="55"/>
      <c r="N47" s="55"/>
      <c r="O47" s="55"/>
      <c r="P47" s="55"/>
      <c r="Q47" s="55"/>
      <c r="R47" s="55"/>
      <c r="S47" s="55"/>
    </row>
    <row r="48" spans="1:19" ht="15.75">
      <c r="A48" s="258"/>
      <c r="B48" s="6" t="s">
        <v>172</v>
      </c>
      <c r="C48" s="7"/>
      <c r="D48" s="7"/>
      <c r="E48" s="154" t="s">
        <v>46</v>
      </c>
      <c r="F48" s="229">
        <f>(1750+1426)/4500</f>
        <v>0.7057777777777777</v>
      </c>
      <c r="G48" s="147">
        <v>1</v>
      </c>
      <c r="H48" s="155">
        <v>1</v>
      </c>
      <c r="I48" s="168">
        <f>IF(F48&gt;100,F48*G48*H48,+F48*G48*H48*$D$7)</f>
        <v>211.73333333333332</v>
      </c>
      <c r="J48" s="168">
        <f>IF(F48&gt;100,F48*G48*(1-H48),F48*G48*(1-H48)*$D$7)</f>
        <v>0</v>
      </c>
      <c r="K48" s="5"/>
      <c r="L48" s="55"/>
      <c r="M48" s="55"/>
      <c r="N48" s="55"/>
      <c r="O48" s="55"/>
      <c r="P48" s="55"/>
      <c r="Q48" s="55"/>
      <c r="R48" s="55"/>
      <c r="S48" s="55"/>
    </row>
    <row r="49" spans="1:19" ht="15.75">
      <c r="A49" s="258"/>
      <c r="B49" s="6" t="s">
        <v>203</v>
      </c>
      <c r="C49" s="7"/>
      <c r="D49" s="7"/>
      <c r="E49" s="154" t="s">
        <v>46</v>
      </c>
      <c r="F49" s="229"/>
      <c r="G49" s="147">
        <v>1</v>
      </c>
      <c r="H49" s="155">
        <v>1</v>
      </c>
      <c r="I49" s="168">
        <f>IF(F49&gt;100,F49*G49*H49,+F49*G49*H49*$D$7)</f>
        <v>0</v>
      </c>
      <c r="J49" s="168">
        <f>IF(F49&gt;100,F49*G49*(1-H49),F49*G49*(1-H49)*$D$7)</f>
        <v>0</v>
      </c>
      <c r="K49" s="5"/>
      <c r="L49" s="55"/>
      <c r="M49" s="55"/>
      <c r="N49" s="55"/>
      <c r="O49" s="55"/>
      <c r="P49" s="55"/>
      <c r="Q49" s="55"/>
      <c r="R49" s="55"/>
      <c r="S49" s="55"/>
    </row>
    <row r="50" spans="1:19" ht="15.75">
      <c r="A50" s="258"/>
      <c r="B50" s="32" t="s">
        <v>190</v>
      </c>
      <c r="C50" s="7"/>
      <c r="D50" s="7"/>
      <c r="E50" s="154" t="s">
        <v>51</v>
      </c>
      <c r="F50" s="176"/>
      <c r="G50" s="176"/>
      <c r="H50" s="176"/>
      <c r="I50" s="169">
        <f>SUM(I42:I48)*EnterP_Inv!$C$17/12*$F$51</f>
        <v>0</v>
      </c>
      <c r="J50" s="169">
        <f>SUM(J42:J48)*EnterP_Inv!$C$17/12*$F$51</f>
        <v>0</v>
      </c>
      <c r="K50" s="5"/>
      <c r="L50" s="55"/>
      <c r="M50" s="55"/>
      <c r="N50" s="55"/>
      <c r="O50" s="55"/>
      <c r="P50" s="55"/>
      <c r="Q50" s="55"/>
      <c r="R50" s="55"/>
      <c r="S50" s="55"/>
    </row>
    <row r="51" spans="1:19" ht="15.75">
      <c r="A51" s="258"/>
      <c r="B51" s="153" t="s">
        <v>191</v>
      </c>
      <c r="C51" s="7"/>
      <c r="D51" s="7"/>
      <c r="E51" s="176"/>
      <c r="F51" s="147">
        <v>0</v>
      </c>
      <c r="G51" s="176"/>
      <c r="H51" s="178"/>
      <c r="I51" s="176"/>
      <c r="J51" s="176"/>
      <c r="K51" s="5"/>
      <c r="L51" s="55"/>
      <c r="M51" s="55"/>
      <c r="N51" s="55"/>
      <c r="O51" s="55"/>
      <c r="P51" s="55"/>
      <c r="Q51" s="55"/>
      <c r="R51" s="55"/>
      <c r="S51" s="55"/>
    </row>
    <row r="52" spans="1:19" ht="15.75">
      <c r="A52" s="258"/>
      <c r="B52" s="270"/>
      <c r="C52" s="151" t="s">
        <v>146</v>
      </c>
      <c r="D52" s="152" t="str">
        <f>$H$3</f>
        <v>Malt Barley</v>
      </c>
      <c r="E52" s="152" t="s">
        <v>26</v>
      </c>
      <c r="F52" s="152"/>
      <c r="G52" s="152"/>
      <c r="H52" s="270"/>
      <c r="I52" s="222">
        <f>SUM(I12:I50)</f>
        <v>30473.011333333336</v>
      </c>
      <c r="J52" s="222">
        <f>SUM(J12:J50)</f>
        <v>4426.488</v>
      </c>
      <c r="K52" s="5"/>
      <c r="L52" s="55"/>
      <c r="M52" s="55"/>
      <c r="N52" s="55"/>
      <c r="O52" s="55"/>
      <c r="P52" s="55"/>
      <c r="Q52" s="55"/>
      <c r="R52" s="55"/>
      <c r="S52" s="55"/>
    </row>
    <row r="53" spans="1:19" ht="15.75">
      <c r="A53" s="258"/>
      <c r="B53" s="7"/>
      <c r="C53" s="7"/>
      <c r="D53" s="7"/>
      <c r="E53" s="7"/>
      <c r="F53" s="7"/>
      <c r="G53" s="7"/>
      <c r="H53" s="218" t="s">
        <v>215</v>
      </c>
      <c r="I53" s="219">
        <f>IF(D7=0,0,I52/D7)</f>
        <v>101.57670444444445</v>
      </c>
      <c r="J53" s="221">
        <f>IF(D7=0,0,J52/D7)</f>
        <v>14.75496</v>
      </c>
      <c r="K53" s="1"/>
      <c r="L53" s="55"/>
      <c r="M53" s="55"/>
      <c r="N53" s="55"/>
      <c r="O53" s="55"/>
      <c r="P53" s="55"/>
      <c r="Q53" s="55"/>
      <c r="R53" s="55"/>
      <c r="S53" s="55"/>
    </row>
    <row r="54" spans="1:19" ht="15.75">
      <c r="A54" s="258"/>
      <c r="B54" s="7"/>
      <c r="C54" s="7"/>
      <c r="D54" s="7"/>
      <c r="E54" s="7"/>
      <c r="F54" s="7"/>
      <c r="G54" s="7"/>
      <c r="H54" s="7"/>
      <c r="I54" s="220" t="s">
        <v>214</v>
      </c>
      <c r="J54" s="219">
        <f>I53+J53</f>
        <v>116.33166444444444</v>
      </c>
      <c r="K54" s="1"/>
      <c r="L54" s="55"/>
      <c r="M54" s="55"/>
      <c r="N54" s="55"/>
      <c r="O54" s="55"/>
      <c r="P54" s="55"/>
      <c r="Q54" s="55"/>
      <c r="R54" s="55"/>
      <c r="S54" s="55"/>
    </row>
    <row r="55" spans="1:19" ht="15.75">
      <c r="A55" s="258"/>
      <c r="B55" s="7"/>
      <c r="C55" s="7"/>
      <c r="D55" s="7"/>
      <c r="E55" s="7"/>
      <c r="F55" s="7"/>
      <c r="G55" s="7"/>
      <c r="H55" s="7"/>
      <c r="I55" s="7"/>
      <c r="J55" s="7"/>
      <c r="K55" s="1"/>
      <c r="L55" s="55"/>
      <c r="M55" s="55"/>
      <c r="N55" s="55"/>
      <c r="O55" s="55"/>
      <c r="P55" s="55"/>
      <c r="Q55" s="55"/>
      <c r="R55" s="55"/>
      <c r="S55" s="55"/>
    </row>
    <row r="56" spans="1:19" ht="15.75">
      <c r="A56" s="258"/>
      <c r="B56" s="55"/>
      <c r="C56" s="55"/>
      <c r="D56" s="55"/>
      <c r="E56" s="55"/>
      <c r="F56" s="55"/>
      <c r="G56" s="55"/>
      <c r="H56" s="55"/>
      <c r="I56" s="55"/>
      <c r="J56" s="55"/>
      <c r="K56" s="55"/>
      <c r="L56" s="55"/>
      <c r="M56" s="55"/>
      <c r="N56" s="55"/>
      <c r="O56" s="55"/>
      <c r="P56" s="55"/>
      <c r="Q56" s="55"/>
      <c r="R56" s="55"/>
      <c r="S56" s="55"/>
    </row>
    <row r="57" spans="1:19" ht="15.75">
      <c r="A57" s="258"/>
      <c r="B57" s="55"/>
      <c r="C57" s="55"/>
      <c r="D57" s="55"/>
      <c r="E57" s="55"/>
      <c r="F57" s="55"/>
      <c r="G57" s="55"/>
      <c r="H57" s="55"/>
      <c r="I57" s="55"/>
      <c r="J57" s="55"/>
      <c r="K57" s="55"/>
      <c r="L57" s="55"/>
      <c r="M57" s="55"/>
      <c r="N57" s="55"/>
      <c r="O57" s="55"/>
      <c r="P57" s="55"/>
      <c r="Q57" s="55"/>
      <c r="R57" s="55"/>
      <c r="S57" s="55"/>
    </row>
    <row r="58" spans="1:19" ht="15.75">
      <c r="A58" s="258"/>
      <c r="B58" s="55"/>
      <c r="C58" s="55"/>
      <c r="D58" s="55"/>
      <c r="E58" s="55"/>
      <c r="F58" s="55"/>
      <c r="G58" s="55"/>
      <c r="H58" s="55"/>
      <c r="I58" s="55"/>
      <c r="J58" s="55"/>
      <c r="K58" s="55"/>
      <c r="L58" s="55"/>
      <c r="M58" s="55"/>
      <c r="N58" s="55"/>
      <c r="O58" s="55"/>
      <c r="P58" s="55"/>
      <c r="Q58" s="55"/>
      <c r="R58" s="55"/>
      <c r="S58" s="55"/>
    </row>
    <row r="59" spans="1:19" ht="15.75">
      <c r="A59" s="258"/>
      <c r="B59" s="55"/>
      <c r="C59" s="55"/>
      <c r="D59" s="55"/>
      <c r="E59" s="55"/>
      <c r="F59" s="55"/>
      <c r="G59" s="55"/>
      <c r="H59" s="55"/>
      <c r="I59" s="55"/>
      <c r="J59" s="55"/>
      <c r="K59" s="55"/>
      <c r="L59" s="55"/>
      <c r="M59" s="55"/>
      <c r="N59" s="55"/>
      <c r="O59" s="55"/>
      <c r="P59" s="55"/>
      <c r="Q59" s="55"/>
      <c r="R59" s="55"/>
      <c r="S59" s="55"/>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7"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R67"/>
  <sheetViews>
    <sheetView showGridLines="0" zoomScalePageLayoutView="0" workbookViewId="0" topLeftCell="A1">
      <selection activeCell="E19" sqref="E19"/>
    </sheetView>
  </sheetViews>
  <sheetFormatPr defaultColWidth="8.796875" defaultRowHeight="15"/>
  <cols>
    <col min="1" max="1" width="4.09765625" style="132" customWidth="1"/>
    <col min="2" max="4" width="12.69921875" style="0" customWidth="1"/>
    <col min="5" max="10" width="11.69921875" style="0" customWidth="1"/>
  </cols>
  <sheetData>
    <row r="1" spans="1:18" ht="15.75">
      <c r="A1" s="258"/>
      <c r="B1" s="55"/>
      <c r="C1" s="55"/>
      <c r="D1" s="55"/>
      <c r="E1" s="55"/>
      <c r="F1" s="55"/>
      <c r="G1" s="55"/>
      <c r="H1" s="55"/>
      <c r="I1" s="55"/>
      <c r="J1" s="55"/>
      <c r="K1" s="55"/>
      <c r="L1" s="55"/>
      <c r="M1" s="55"/>
      <c r="N1" s="55"/>
      <c r="O1" s="55"/>
      <c r="P1" s="55"/>
      <c r="Q1" s="55"/>
      <c r="R1" s="55"/>
    </row>
    <row r="2" spans="1:18" ht="16.5" thickBot="1">
      <c r="A2" s="258"/>
      <c r="B2" s="55"/>
      <c r="C2" s="55"/>
      <c r="D2" s="55"/>
      <c r="E2" s="232" t="str">
        <f>EnterP_Inv!C8</f>
        <v>Crop#1</v>
      </c>
      <c r="F2" s="232" t="str">
        <f>EnterP_Inv!D8</f>
        <v>Crop#2</v>
      </c>
      <c r="G2" s="232" t="str">
        <f>EnterP_Inv!E8</f>
        <v>Crop#3</v>
      </c>
      <c r="H2" s="232" t="str">
        <f>EnterP_Inv!F8</f>
        <v>Crop#4</v>
      </c>
      <c r="I2" s="57" t="str">
        <f>EnterP_Inv!G8</f>
        <v>Crop#5</v>
      </c>
      <c r="J2" s="232" t="str">
        <f>EnterP_Inv!H8</f>
        <v>Crop#6</v>
      </c>
      <c r="K2" s="55"/>
      <c r="L2" s="55"/>
      <c r="M2" s="55"/>
      <c r="N2" s="55"/>
      <c r="O2" s="55"/>
      <c r="P2" s="55"/>
      <c r="Q2" s="55"/>
      <c r="R2" s="55"/>
    </row>
    <row r="3" spans="1:18" ht="15.75">
      <c r="A3" s="258"/>
      <c r="B3" s="55"/>
      <c r="C3" s="55"/>
      <c r="D3" s="55"/>
      <c r="E3" s="281" t="str">
        <f>EnterP_Inv!C9</f>
        <v>Winter Wheat</v>
      </c>
      <c r="F3" s="281" t="str">
        <f>EnterP_Inv!D9</f>
        <v>Spring Wheat</v>
      </c>
      <c r="G3" s="281" t="str">
        <f>EnterP_Inv!E9</f>
        <v>Durum</v>
      </c>
      <c r="H3" s="281" t="str">
        <f>EnterP_Inv!F9</f>
        <v>Malt Barley</v>
      </c>
      <c r="I3" s="283" t="str">
        <f>EnterP_Inv!G9</f>
        <v>Summer Fallow</v>
      </c>
      <c r="J3" s="281" t="str">
        <f>EnterP_Inv!H9</f>
        <v>Not Used</v>
      </c>
      <c r="K3" s="55"/>
      <c r="L3" s="55"/>
      <c r="M3" s="55"/>
      <c r="N3" s="55"/>
      <c r="O3" s="55"/>
      <c r="P3" s="55"/>
      <c r="Q3" s="55"/>
      <c r="R3" s="55"/>
    </row>
    <row r="4" spans="1:18" ht="15.75">
      <c r="A4" s="258"/>
      <c r="B4" s="55"/>
      <c r="C4" s="55"/>
      <c r="D4" s="55"/>
      <c r="E4" s="282"/>
      <c r="F4" s="282"/>
      <c r="G4" s="282"/>
      <c r="H4" s="282"/>
      <c r="I4" s="284"/>
      <c r="J4" s="282"/>
      <c r="K4" s="55"/>
      <c r="L4" s="55"/>
      <c r="M4" s="55"/>
      <c r="N4" s="55"/>
      <c r="O4" s="55"/>
      <c r="P4" s="55"/>
      <c r="Q4" s="55"/>
      <c r="R4" s="55"/>
    </row>
    <row r="5" spans="1:18" ht="15.75">
      <c r="A5" s="258"/>
      <c r="B5" s="55"/>
      <c r="C5" s="55"/>
      <c r="D5" s="55" t="str">
        <f>EnterP_Inv!B12</f>
        <v>Expected Yield</v>
      </c>
      <c r="E5" s="233">
        <f>EnterP_Inv!C12</f>
        <v>42</v>
      </c>
      <c r="F5" s="233">
        <f>EnterP_Inv!D12</f>
        <v>28</v>
      </c>
      <c r="G5" s="233">
        <f>EnterP_Inv!E12</f>
        <v>22</v>
      </c>
      <c r="H5" s="233">
        <f>EnterP_Inv!F12</f>
        <v>52</v>
      </c>
      <c r="I5" s="223">
        <f>EnterP_Inv!G12</f>
        <v>0</v>
      </c>
      <c r="J5" s="233">
        <f>EnterP_Inv!H12</f>
        <v>0</v>
      </c>
      <c r="K5" s="55"/>
      <c r="L5" s="55"/>
      <c r="M5" s="55"/>
      <c r="N5" s="55"/>
      <c r="O5" s="55"/>
      <c r="P5" s="55"/>
      <c r="Q5" s="55"/>
      <c r="R5" s="55"/>
    </row>
    <row r="6" spans="1:18" ht="15.75">
      <c r="A6" s="258"/>
      <c r="B6" s="7" t="s">
        <v>151</v>
      </c>
      <c r="C6" s="7"/>
      <c r="D6" s="156" t="s">
        <v>26</v>
      </c>
      <c r="E6" s="7"/>
      <c r="F6" s="7"/>
      <c r="G6" s="7"/>
      <c r="H6" s="7"/>
      <c r="I6" s="7"/>
      <c r="J6" s="7"/>
      <c r="K6" s="1"/>
      <c r="L6" s="55"/>
      <c r="M6" s="55"/>
      <c r="N6" s="55"/>
      <c r="O6" s="55"/>
      <c r="P6" s="55"/>
      <c r="Q6" s="55"/>
      <c r="R6" s="55"/>
    </row>
    <row r="7" spans="1:18" ht="18.75">
      <c r="A7" s="258"/>
      <c r="B7" s="45" t="str">
        <f>EnterP_Inv!$G$9</f>
        <v>Summer Fallow</v>
      </c>
      <c r="C7" s="55"/>
      <c r="D7" s="46">
        <f>EnterP_Inv!$G$11</f>
        <v>550</v>
      </c>
      <c r="E7" s="18" t="s">
        <v>55</v>
      </c>
      <c r="F7" s="10"/>
      <c r="G7" s="10"/>
      <c r="H7" s="10"/>
      <c r="I7" s="10"/>
      <c r="J7" s="10"/>
      <c r="K7" s="5"/>
      <c r="L7" s="55"/>
      <c r="M7" s="55"/>
      <c r="N7" s="55"/>
      <c r="O7" s="55"/>
      <c r="P7" s="55"/>
      <c r="Q7" s="55"/>
      <c r="R7" s="55"/>
    </row>
    <row r="8" spans="1:18" ht="15.75">
      <c r="A8" s="258"/>
      <c r="B8" s="10"/>
      <c r="C8" s="10"/>
      <c r="D8" s="10"/>
      <c r="E8" s="11"/>
      <c r="F8" s="14" t="s">
        <v>40</v>
      </c>
      <c r="G8" s="15" t="s">
        <v>41</v>
      </c>
      <c r="H8" s="15" t="s">
        <v>2</v>
      </c>
      <c r="I8" s="15" t="s">
        <v>3</v>
      </c>
      <c r="J8" s="15" t="s">
        <v>3</v>
      </c>
      <c r="K8" s="5"/>
      <c r="L8" s="55"/>
      <c r="M8" s="55"/>
      <c r="N8" s="55"/>
      <c r="O8" s="55"/>
      <c r="P8" s="55"/>
      <c r="Q8" s="55"/>
      <c r="R8" s="55"/>
    </row>
    <row r="9" spans="1:18" ht="15.75">
      <c r="A9" s="258"/>
      <c r="B9" s="7"/>
      <c r="C9" s="7"/>
      <c r="D9" s="7"/>
      <c r="E9" s="12"/>
      <c r="F9" s="13" t="s">
        <v>42</v>
      </c>
      <c r="G9" s="9" t="s">
        <v>42</v>
      </c>
      <c r="H9" s="9" t="s">
        <v>7</v>
      </c>
      <c r="I9" s="9" t="s">
        <v>7</v>
      </c>
      <c r="J9" s="9" t="s">
        <v>6</v>
      </c>
      <c r="K9" s="5"/>
      <c r="L9" s="55"/>
      <c r="M9" s="55"/>
      <c r="N9" s="55"/>
      <c r="O9" s="55"/>
      <c r="P9" s="55"/>
      <c r="Q9" s="55"/>
      <c r="R9" s="55"/>
    </row>
    <row r="10" spans="1:18" ht="18.75">
      <c r="A10" s="258"/>
      <c r="B10" s="45" t="s">
        <v>193</v>
      </c>
      <c r="C10" s="7"/>
      <c r="D10" s="7"/>
      <c r="E10" s="19" t="s">
        <v>43</v>
      </c>
      <c r="F10" s="13" t="s">
        <v>44</v>
      </c>
      <c r="G10" s="9" t="s">
        <v>44</v>
      </c>
      <c r="H10" s="9" t="s">
        <v>9</v>
      </c>
      <c r="I10" s="9" t="s">
        <v>9</v>
      </c>
      <c r="J10" s="9" t="s">
        <v>9</v>
      </c>
      <c r="K10" s="5"/>
      <c r="L10" s="55"/>
      <c r="M10" s="55"/>
      <c r="N10" s="55"/>
      <c r="O10" s="55"/>
      <c r="P10" s="55"/>
      <c r="Q10" s="55"/>
      <c r="R10" s="55"/>
    </row>
    <row r="11" spans="1:18" ht="15.75">
      <c r="A11" s="258"/>
      <c r="B11" s="10"/>
      <c r="C11" s="10"/>
      <c r="D11" s="10"/>
      <c r="E11" s="174"/>
      <c r="F11" s="174"/>
      <c r="G11" s="174"/>
      <c r="H11" s="174"/>
      <c r="I11" s="174"/>
      <c r="J11" s="174"/>
      <c r="K11" s="5"/>
      <c r="L11" s="55"/>
      <c r="M11" s="55"/>
      <c r="N11" s="55"/>
      <c r="O11" s="55"/>
      <c r="P11" s="55"/>
      <c r="Q11" s="55"/>
      <c r="R11" s="55"/>
    </row>
    <row r="12" spans="1:18" ht="15.75">
      <c r="A12" s="258"/>
      <c r="B12" s="32" t="s">
        <v>173</v>
      </c>
      <c r="C12" s="7"/>
      <c r="D12" s="7"/>
      <c r="E12" s="154" t="s">
        <v>45</v>
      </c>
      <c r="F12" s="229">
        <v>0</v>
      </c>
      <c r="G12" s="147">
        <v>1</v>
      </c>
      <c r="H12" s="155">
        <v>1</v>
      </c>
      <c r="I12" s="168">
        <f>F12*G12*H12*$D$7</f>
        <v>0</v>
      </c>
      <c r="J12" s="168">
        <f aca="true" t="shared" si="0" ref="J12:J21">F12*G12*(1-H12)*$D$7</f>
        <v>0</v>
      </c>
      <c r="K12" s="5"/>
      <c r="L12" s="55"/>
      <c r="M12" s="55"/>
      <c r="N12" s="55"/>
      <c r="O12" s="55"/>
      <c r="P12" s="55"/>
      <c r="Q12" s="55"/>
      <c r="R12" s="55"/>
    </row>
    <row r="13" spans="1:18" ht="15.75">
      <c r="A13" s="258"/>
      <c r="B13" s="32" t="s">
        <v>174</v>
      </c>
      <c r="C13" s="21"/>
      <c r="D13" s="259"/>
      <c r="E13" s="154" t="s">
        <v>46</v>
      </c>
      <c r="F13" s="229">
        <f>17.22+1.59+3.13+1.58</f>
        <v>23.519999999999996</v>
      </c>
      <c r="G13" s="147">
        <v>1</v>
      </c>
      <c r="H13" s="155">
        <v>1</v>
      </c>
      <c r="I13" s="168">
        <f>F13*G13*H13*$D$7</f>
        <v>12935.999999999998</v>
      </c>
      <c r="J13" s="168">
        <f t="shared" si="0"/>
        <v>0</v>
      </c>
      <c r="K13" s="5"/>
      <c r="L13" s="55"/>
      <c r="M13" s="55"/>
      <c r="N13" s="55"/>
      <c r="O13" s="55"/>
      <c r="P13" s="55"/>
      <c r="Q13" s="55"/>
      <c r="R13" s="55"/>
    </row>
    <row r="14" spans="1:18" ht="15.75">
      <c r="A14" s="258"/>
      <c r="B14" s="226"/>
      <c r="C14" s="227"/>
      <c r="D14" s="8"/>
      <c r="E14" s="154" t="s">
        <v>46</v>
      </c>
      <c r="F14" s="229">
        <v>0</v>
      </c>
      <c r="G14" s="147">
        <v>1</v>
      </c>
      <c r="H14" s="155">
        <v>1</v>
      </c>
      <c r="I14" s="168">
        <f aca="true" t="shared" si="1" ref="I14:I21">F14*G14*H14*$D$7</f>
        <v>0</v>
      </c>
      <c r="J14" s="168">
        <f t="shared" si="0"/>
        <v>0</v>
      </c>
      <c r="K14" s="5"/>
      <c r="L14" s="55"/>
      <c r="M14" s="55"/>
      <c r="N14" s="55"/>
      <c r="O14" s="55"/>
      <c r="P14" s="55"/>
      <c r="Q14" s="55"/>
      <c r="R14" s="55"/>
    </row>
    <row r="15" spans="1:18" ht="15.75">
      <c r="A15" s="258"/>
      <c r="B15" s="226"/>
      <c r="C15" s="227"/>
      <c r="D15" s="8"/>
      <c r="E15" s="154" t="s">
        <v>46</v>
      </c>
      <c r="F15" s="229">
        <v>0</v>
      </c>
      <c r="G15" s="147">
        <v>1</v>
      </c>
      <c r="H15" s="155">
        <v>1</v>
      </c>
      <c r="I15" s="168">
        <f t="shared" si="1"/>
        <v>0</v>
      </c>
      <c r="J15" s="168">
        <f t="shared" si="0"/>
        <v>0</v>
      </c>
      <c r="K15" s="5"/>
      <c r="L15" s="55"/>
      <c r="M15" s="180"/>
      <c r="N15" s="55"/>
      <c r="O15" s="55"/>
      <c r="P15" s="260" t="s">
        <v>220</v>
      </c>
      <c r="Q15" s="55"/>
      <c r="R15" s="55"/>
    </row>
    <row r="16" spans="1:18" ht="15.75">
      <c r="A16" s="258"/>
      <c r="B16" s="32" t="s">
        <v>198</v>
      </c>
      <c r="C16" s="7"/>
      <c r="D16" s="21"/>
      <c r="E16" s="154" t="s">
        <v>47</v>
      </c>
      <c r="F16" s="229">
        <v>0</v>
      </c>
      <c r="G16" s="147">
        <v>1</v>
      </c>
      <c r="H16" s="155">
        <v>1</v>
      </c>
      <c r="I16" s="168">
        <f t="shared" si="1"/>
        <v>0</v>
      </c>
      <c r="J16" s="168">
        <f t="shared" si="0"/>
        <v>0</v>
      </c>
      <c r="K16" s="5"/>
      <c r="L16" s="55"/>
      <c r="M16" s="180"/>
      <c r="N16" s="55"/>
      <c r="O16" s="55"/>
      <c r="P16" s="261" t="s">
        <v>221</v>
      </c>
      <c r="Q16" s="55"/>
      <c r="R16" s="55"/>
    </row>
    <row r="17" spans="1:18" ht="15.75">
      <c r="A17" s="258"/>
      <c r="B17" s="32" t="s">
        <v>175</v>
      </c>
      <c r="C17" s="21"/>
      <c r="D17" s="259"/>
      <c r="E17" s="154" t="s">
        <v>48</v>
      </c>
      <c r="F17" s="229">
        <v>0</v>
      </c>
      <c r="G17" s="147">
        <v>1</v>
      </c>
      <c r="H17" s="155">
        <v>0</v>
      </c>
      <c r="I17" s="168">
        <f t="shared" si="1"/>
        <v>0</v>
      </c>
      <c r="J17" s="168">
        <f t="shared" si="0"/>
        <v>0</v>
      </c>
      <c r="K17" s="5"/>
      <c r="L17" s="55"/>
      <c r="M17" s="180"/>
      <c r="N17" s="55"/>
      <c r="O17" s="55"/>
      <c r="P17" s="262" t="s">
        <v>222</v>
      </c>
      <c r="Q17" s="55"/>
      <c r="R17" s="55"/>
    </row>
    <row r="18" spans="1:18" ht="15.75">
      <c r="A18" s="258"/>
      <c r="B18" s="226"/>
      <c r="C18" s="227" t="s">
        <v>212</v>
      </c>
      <c r="D18" s="20"/>
      <c r="E18" s="154" t="s">
        <v>210</v>
      </c>
      <c r="F18" s="229">
        <v>0</v>
      </c>
      <c r="G18" s="147">
        <v>1</v>
      </c>
      <c r="H18" s="155">
        <v>0</v>
      </c>
      <c r="I18" s="168">
        <f t="shared" si="1"/>
        <v>0</v>
      </c>
      <c r="J18" s="168">
        <f t="shared" si="0"/>
        <v>0</v>
      </c>
      <c r="K18" s="5"/>
      <c r="L18" s="55"/>
      <c r="M18" s="180"/>
      <c r="N18" s="223" t="s">
        <v>212</v>
      </c>
      <c r="O18" s="277">
        <v>0.024038461538461543</v>
      </c>
      <c r="P18" s="263">
        <f>2000*O18</f>
        <v>48.07692307692309</v>
      </c>
      <c r="Q18" s="55"/>
      <c r="R18" s="55"/>
    </row>
    <row r="19" spans="1:18" ht="15.75">
      <c r="A19" s="258"/>
      <c r="B19" s="226"/>
      <c r="C19" s="227" t="s">
        <v>211</v>
      </c>
      <c r="D19" s="8"/>
      <c r="E19" s="154" t="s">
        <v>48</v>
      </c>
      <c r="F19" s="229">
        <v>0</v>
      </c>
      <c r="G19" s="147">
        <v>1</v>
      </c>
      <c r="H19" s="155">
        <v>0</v>
      </c>
      <c r="I19" s="168">
        <f t="shared" si="1"/>
        <v>0</v>
      </c>
      <c r="J19" s="168">
        <f t="shared" si="0"/>
        <v>0</v>
      </c>
      <c r="K19" s="5"/>
      <c r="L19" s="55"/>
      <c r="M19" s="180" t="s">
        <v>217</v>
      </c>
      <c r="N19" s="120">
        <f>2000*0.11</f>
        <v>220</v>
      </c>
      <c r="O19" s="264">
        <f>N19*$O$18</f>
        <v>5.288461538461539</v>
      </c>
      <c r="P19" s="55"/>
      <c r="Q19" s="55"/>
      <c r="R19" s="55"/>
    </row>
    <row r="20" spans="1:18" ht="15.75">
      <c r="A20" s="258"/>
      <c r="B20" s="32" t="s">
        <v>199</v>
      </c>
      <c r="C20" s="7"/>
      <c r="D20" s="7"/>
      <c r="E20" s="154" t="s">
        <v>47</v>
      </c>
      <c r="F20" s="229">
        <v>0</v>
      </c>
      <c r="G20" s="147">
        <v>1</v>
      </c>
      <c r="H20" s="155">
        <v>1</v>
      </c>
      <c r="I20" s="168">
        <f t="shared" si="1"/>
        <v>0</v>
      </c>
      <c r="J20" s="168">
        <f t="shared" si="0"/>
        <v>0</v>
      </c>
      <c r="K20" s="5"/>
      <c r="L20" s="55"/>
      <c r="M20" s="180" t="s">
        <v>218</v>
      </c>
      <c r="N20" s="120">
        <f>2000*0.52</f>
        <v>1040</v>
      </c>
      <c r="O20" s="264">
        <f>N20*$O$18</f>
        <v>25.000000000000004</v>
      </c>
      <c r="P20" s="55"/>
      <c r="Q20" s="55"/>
      <c r="R20" s="55"/>
    </row>
    <row r="21" spans="1:18" ht="15.75">
      <c r="A21" s="258"/>
      <c r="B21" s="32" t="s">
        <v>176</v>
      </c>
      <c r="C21" s="7"/>
      <c r="D21" s="7"/>
      <c r="E21" s="154" t="s">
        <v>47</v>
      </c>
      <c r="F21" s="229">
        <v>0</v>
      </c>
      <c r="G21" s="147">
        <v>1</v>
      </c>
      <c r="H21" s="155">
        <v>1</v>
      </c>
      <c r="I21" s="168">
        <f t="shared" si="1"/>
        <v>0</v>
      </c>
      <c r="J21" s="168">
        <f t="shared" si="0"/>
        <v>0</v>
      </c>
      <c r="K21" s="5"/>
      <c r="L21" s="55"/>
      <c r="M21" s="225" t="s">
        <v>219</v>
      </c>
      <c r="N21" s="121">
        <f>2000-(N19+N20)</f>
        <v>740</v>
      </c>
      <c r="O21" s="264">
        <f>N21*$O$18</f>
        <v>17.788461538461544</v>
      </c>
      <c r="P21" s="55"/>
      <c r="Q21" s="55"/>
      <c r="R21" s="55"/>
    </row>
    <row r="22" spans="1:18" ht="15.75">
      <c r="A22" s="258"/>
      <c r="B22" s="32" t="s">
        <v>213</v>
      </c>
      <c r="C22" s="7"/>
      <c r="D22" s="7"/>
      <c r="E22" s="265"/>
      <c r="F22" s="266"/>
      <c r="G22" s="267"/>
      <c r="H22" s="268"/>
      <c r="I22" s="173"/>
      <c r="J22" s="173"/>
      <c r="K22" s="5"/>
      <c r="L22" s="55"/>
      <c r="M22" s="180" t="s">
        <v>223</v>
      </c>
      <c r="N22" s="120">
        <f>SUM(N19:N21)</f>
        <v>2000</v>
      </c>
      <c r="O22" s="55"/>
      <c r="P22" s="55"/>
      <c r="Q22" s="55"/>
      <c r="R22" s="55"/>
    </row>
    <row r="23" spans="1:18" ht="15.75">
      <c r="A23" s="258"/>
      <c r="B23" s="6" t="s">
        <v>171</v>
      </c>
      <c r="C23" s="7"/>
      <c r="D23" s="7"/>
      <c r="E23" s="154" t="s">
        <v>46</v>
      </c>
      <c r="F23" s="229">
        <f>(7706+385)/4500</f>
        <v>1.798</v>
      </c>
      <c r="G23" s="147">
        <v>1</v>
      </c>
      <c r="H23" s="155">
        <v>1</v>
      </c>
      <c r="I23" s="168">
        <f>IF(F23&gt;100,F23*G23*H23,+F23*G23*H23*$D$7)*EnterP_Inv!$L$12</f>
        <v>988.9</v>
      </c>
      <c r="J23" s="168">
        <f>(IF(F23&gt;100,F23*G23*(1-H23),F23*G23*(1-H23)*$D$7))*EnterP_Inv!$L$12</f>
        <v>0</v>
      </c>
      <c r="K23" s="5"/>
      <c r="L23" s="55"/>
      <c r="M23" s="180" t="s">
        <v>224</v>
      </c>
      <c r="N23" s="276">
        <v>1100</v>
      </c>
      <c r="O23" s="55"/>
      <c r="P23" s="55"/>
      <c r="Q23" s="55"/>
      <c r="R23" s="55"/>
    </row>
    <row r="24" spans="1:18" ht="15.75">
      <c r="A24" s="258"/>
      <c r="B24" s="6" t="s">
        <v>172</v>
      </c>
      <c r="C24" s="7"/>
      <c r="D24" s="7"/>
      <c r="E24" s="154" t="s">
        <v>46</v>
      </c>
      <c r="F24" s="229">
        <f>(1168)/4500</f>
        <v>0.25955555555555554</v>
      </c>
      <c r="G24" s="147">
        <v>1</v>
      </c>
      <c r="H24" s="155">
        <v>1</v>
      </c>
      <c r="I24" s="168">
        <f>IF(F24&gt;100,F24*G24*H24,+F24*G24*H24*$D$7)</f>
        <v>142.75555555555556</v>
      </c>
      <c r="J24" s="168">
        <f>IF(F24&gt;100,F24*G24*(1-H24),F24*G24*(1-H24)*$D$7)</f>
        <v>0</v>
      </c>
      <c r="K24" s="5"/>
      <c r="L24" s="55"/>
      <c r="M24" s="55"/>
      <c r="N24" s="224">
        <f>N23/2000</f>
        <v>0.55</v>
      </c>
      <c r="O24" s="180" t="s">
        <v>225</v>
      </c>
      <c r="P24" s="55"/>
      <c r="Q24" s="55"/>
      <c r="R24" s="55"/>
    </row>
    <row r="25" spans="1:18" ht="15.75">
      <c r="A25" s="258"/>
      <c r="B25" s="32" t="s">
        <v>177</v>
      </c>
      <c r="C25" s="7"/>
      <c r="D25" s="7"/>
      <c r="E25" s="265"/>
      <c r="F25" s="266"/>
      <c r="G25" s="267"/>
      <c r="H25" s="268"/>
      <c r="I25" s="173"/>
      <c r="J25" s="173"/>
      <c r="K25" s="5"/>
      <c r="L25" s="55"/>
      <c r="M25" s="180"/>
      <c r="N25" s="55"/>
      <c r="O25" s="55"/>
      <c r="P25" s="55"/>
      <c r="Q25" s="55"/>
      <c r="R25" s="55"/>
    </row>
    <row r="26" spans="1:18" ht="15.75">
      <c r="A26" s="258"/>
      <c r="B26" s="6" t="s">
        <v>171</v>
      </c>
      <c r="C26" s="7"/>
      <c r="D26" s="7"/>
      <c r="E26" s="154" t="s">
        <v>46</v>
      </c>
      <c r="F26" s="229">
        <f>(2700+135+6738+2166+337+108)/4500</f>
        <v>2.7075555555555555</v>
      </c>
      <c r="G26" s="147">
        <v>1</v>
      </c>
      <c r="H26" s="155">
        <v>1</v>
      </c>
      <c r="I26" s="168">
        <f>IF(F26&gt;100,F26*G26*H26,+F26*G26*H26*$D$7)*EnterP_Inv!$L$12</f>
        <v>1489.1555555555556</v>
      </c>
      <c r="J26" s="168">
        <f>(IF(F26&gt;100,F26*G26*(1-H26),F26*G26*(1-H26)*$D$7))*EnterP_Inv!$L$12</f>
        <v>0</v>
      </c>
      <c r="K26" s="5"/>
      <c r="L26" s="55"/>
      <c r="M26" s="180"/>
      <c r="N26" s="55"/>
      <c r="O26" s="55"/>
      <c r="P26" s="55"/>
      <c r="Q26" s="55"/>
      <c r="R26" s="55"/>
    </row>
    <row r="27" spans="1:18" ht="15.75">
      <c r="A27" s="258"/>
      <c r="B27" s="6" t="s">
        <v>172</v>
      </c>
      <c r="C27" s="7"/>
      <c r="D27" s="7"/>
      <c r="E27" s="154" t="s">
        <v>46</v>
      </c>
      <c r="F27" s="229">
        <f>(4957+2917+804)/4500</f>
        <v>1.9284444444444444</v>
      </c>
      <c r="G27" s="147">
        <v>1</v>
      </c>
      <c r="H27" s="155">
        <v>1</v>
      </c>
      <c r="I27" s="168">
        <f>IF(F27&gt;100,F27*G27*H27,+F27*G27*H27*$D$7)</f>
        <v>1060.6444444444444</v>
      </c>
      <c r="J27" s="168">
        <f>IF(F27&gt;100,F27*G27*(1-H27),F27*G27*(1-H27)*$D$7)</f>
        <v>0</v>
      </c>
      <c r="K27" s="5"/>
      <c r="L27" s="55"/>
      <c r="M27" s="180"/>
      <c r="N27" s="125" t="s">
        <v>211</v>
      </c>
      <c r="O27" s="55"/>
      <c r="P27" s="55"/>
      <c r="Q27" s="55"/>
      <c r="R27" s="55"/>
    </row>
    <row r="28" spans="1:18" ht="15.75">
      <c r="A28" s="258"/>
      <c r="B28" s="32" t="s">
        <v>178</v>
      </c>
      <c r="C28" s="7"/>
      <c r="D28" s="7"/>
      <c r="E28" s="265"/>
      <c r="F28" s="266" t="s">
        <v>49</v>
      </c>
      <c r="G28" s="267"/>
      <c r="H28" s="268"/>
      <c r="I28" s="173"/>
      <c r="J28" s="173"/>
      <c r="K28" s="5"/>
      <c r="L28" s="55"/>
      <c r="M28" s="180"/>
      <c r="N28" s="120">
        <f>2000*0.46</f>
        <v>920</v>
      </c>
      <c r="O28" s="55" t="s">
        <v>216</v>
      </c>
      <c r="P28" s="55"/>
      <c r="Q28" s="55"/>
      <c r="R28" s="55"/>
    </row>
    <row r="29" spans="1:18" ht="15.75">
      <c r="A29" s="258"/>
      <c r="B29" s="6" t="s">
        <v>185</v>
      </c>
      <c r="C29" s="7"/>
      <c r="D29" s="7"/>
      <c r="E29" s="154" t="s">
        <v>50</v>
      </c>
      <c r="F29" s="229">
        <v>0</v>
      </c>
      <c r="G29" s="147">
        <v>0</v>
      </c>
      <c r="H29" s="155">
        <v>1</v>
      </c>
      <c r="I29" s="168">
        <f>F29*G29*H29*$D$7</f>
        <v>0</v>
      </c>
      <c r="J29" s="168">
        <f>F29*G29*(1-H29)*$D$7</f>
        <v>0</v>
      </c>
      <c r="K29" s="5"/>
      <c r="L29" s="55"/>
      <c r="M29" s="180"/>
      <c r="N29" s="276">
        <v>600</v>
      </c>
      <c r="O29" s="55" t="s">
        <v>226</v>
      </c>
      <c r="P29" s="55"/>
      <c r="Q29" s="55"/>
      <c r="R29" s="55"/>
    </row>
    <row r="30" spans="1:18" ht="15.75">
      <c r="A30" s="258"/>
      <c r="B30" s="6" t="s">
        <v>186</v>
      </c>
      <c r="C30" s="7"/>
      <c r="D30" s="7"/>
      <c r="E30" s="154" t="s">
        <v>50</v>
      </c>
      <c r="F30" s="229">
        <v>0</v>
      </c>
      <c r="G30" s="147">
        <v>0</v>
      </c>
      <c r="H30" s="155">
        <v>1</v>
      </c>
      <c r="I30" s="168">
        <f>F30*G30*H30*$D$7</f>
        <v>0</v>
      </c>
      <c r="J30" s="168">
        <f>F30*G30*(1-H30)*$D$7</f>
        <v>0</v>
      </c>
      <c r="K30" s="5"/>
      <c r="L30" s="55"/>
      <c r="M30" s="180"/>
      <c r="N30" s="224">
        <f>N29/920</f>
        <v>0.6521739130434783</v>
      </c>
      <c r="O30" s="55" t="s">
        <v>227</v>
      </c>
      <c r="P30" s="55"/>
      <c r="Q30" s="55"/>
      <c r="R30" s="55"/>
    </row>
    <row r="31" spans="1:18" ht="15.75">
      <c r="A31" s="258"/>
      <c r="B31" s="6" t="s">
        <v>187</v>
      </c>
      <c r="C31" s="7"/>
      <c r="D31" s="7"/>
      <c r="E31" s="154" t="s">
        <v>50</v>
      </c>
      <c r="F31" s="229">
        <v>0</v>
      </c>
      <c r="G31" s="147">
        <v>0</v>
      </c>
      <c r="H31" s="177">
        <v>1</v>
      </c>
      <c r="I31" s="181">
        <f>F31*G31*H31*$D$7</f>
        <v>0</v>
      </c>
      <c r="J31" s="182">
        <f>F31*G31*(1-H31)*$D$7</f>
        <v>0</v>
      </c>
      <c r="K31" s="5"/>
      <c r="L31" s="55"/>
      <c r="M31" s="55"/>
      <c r="N31" s="55"/>
      <c r="O31" s="55"/>
      <c r="P31" s="55"/>
      <c r="Q31" s="55"/>
      <c r="R31" s="55"/>
    </row>
    <row r="32" spans="1:18" ht="15.75">
      <c r="A32" s="258"/>
      <c r="B32" s="32" t="s">
        <v>179</v>
      </c>
      <c r="C32" s="7"/>
      <c r="D32" s="7"/>
      <c r="E32" s="174"/>
      <c r="F32" s="231" t="s">
        <v>49</v>
      </c>
      <c r="G32" s="174"/>
      <c r="H32" s="176"/>
      <c r="I32" s="176"/>
      <c r="J32" s="176"/>
      <c r="K32" s="5"/>
      <c r="L32" s="55"/>
      <c r="M32" s="55"/>
      <c r="N32" s="55"/>
      <c r="O32" s="55"/>
      <c r="P32" s="55"/>
      <c r="Q32" s="55"/>
      <c r="R32" s="55"/>
    </row>
    <row r="33" spans="1:18" ht="15.75">
      <c r="A33" s="258"/>
      <c r="B33" s="6" t="s">
        <v>180</v>
      </c>
      <c r="C33" s="7"/>
      <c r="D33" s="7"/>
      <c r="E33" s="154" t="s">
        <v>50</v>
      </c>
      <c r="F33" s="229">
        <v>0</v>
      </c>
      <c r="G33" s="147">
        <v>1</v>
      </c>
      <c r="H33" s="176"/>
      <c r="I33" s="176"/>
      <c r="J33" s="168">
        <f>F33*G33*$D$7</f>
        <v>0</v>
      </c>
      <c r="K33" s="5"/>
      <c r="L33" s="55"/>
      <c r="M33" s="55"/>
      <c r="N33" s="55"/>
      <c r="O33" s="55"/>
      <c r="P33" s="55"/>
      <c r="Q33" s="55"/>
      <c r="R33" s="55"/>
    </row>
    <row r="34" spans="1:18" ht="15.75">
      <c r="A34" s="258"/>
      <c r="B34" s="6" t="s">
        <v>181</v>
      </c>
      <c r="C34" s="7"/>
      <c r="D34" s="7"/>
      <c r="E34" s="154" t="s">
        <v>50</v>
      </c>
      <c r="F34" s="229">
        <v>10</v>
      </c>
      <c r="G34" s="147">
        <v>0.4</v>
      </c>
      <c r="H34" s="176"/>
      <c r="I34" s="175">
        <f>F34*G34*$D$7</f>
        <v>2200</v>
      </c>
      <c r="J34" s="176"/>
      <c r="K34" s="5"/>
      <c r="L34" s="55"/>
      <c r="M34" s="55"/>
      <c r="N34" s="55"/>
      <c r="O34" s="55"/>
      <c r="P34" s="55"/>
      <c r="Q34" s="55"/>
      <c r="R34" s="55"/>
    </row>
    <row r="35" spans="1:18" ht="15.75">
      <c r="A35" s="258"/>
      <c r="B35" s="6" t="s">
        <v>182</v>
      </c>
      <c r="C35" s="7"/>
      <c r="D35" s="7"/>
      <c r="E35" s="154" t="s">
        <v>50</v>
      </c>
      <c r="F35" s="229">
        <v>0</v>
      </c>
      <c r="G35" s="147">
        <v>0.25</v>
      </c>
      <c r="H35" s="176"/>
      <c r="I35" s="175">
        <f>F35*G35*$D$7</f>
        <v>0</v>
      </c>
      <c r="J35" s="176"/>
      <c r="K35" s="5"/>
      <c r="L35" s="55"/>
      <c r="M35" s="55"/>
      <c r="N35" s="55"/>
      <c r="O35" s="55"/>
      <c r="P35" s="55"/>
      <c r="Q35" s="55"/>
      <c r="R35" s="55"/>
    </row>
    <row r="36" spans="1:18" ht="15.75">
      <c r="A36" s="258"/>
      <c r="B36" s="6" t="s">
        <v>183</v>
      </c>
      <c r="C36" s="7"/>
      <c r="D36" s="7"/>
      <c r="E36" s="154" t="s">
        <v>50</v>
      </c>
      <c r="F36" s="229">
        <v>0</v>
      </c>
      <c r="G36" s="147">
        <v>1</v>
      </c>
      <c r="H36" s="176"/>
      <c r="I36" s="175">
        <f>F36*G36*$D$7</f>
        <v>0</v>
      </c>
      <c r="J36" s="176"/>
      <c r="K36" s="5"/>
      <c r="L36" s="55"/>
      <c r="M36" s="55"/>
      <c r="N36" s="55"/>
      <c r="O36" s="55"/>
      <c r="P36" s="55"/>
      <c r="Q36" s="55"/>
      <c r="R36" s="55"/>
    </row>
    <row r="37" spans="1:18" ht="15.75">
      <c r="A37" s="258"/>
      <c r="B37" s="274" t="s">
        <v>200</v>
      </c>
      <c r="C37" s="8"/>
      <c r="D37" s="275"/>
      <c r="E37" s="154" t="s">
        <v>47</v>
      </c>
      <c r="F37" s="229">
        <v>0</v>
      </c>
      <c r="G37" s="147">
        <v>1</v>
      </c>
      <c r="H37" s="155">
        <v>1</v>
      </c>
      <c r="I37" s="168">
        <f>F37*G37*H37*$D$7</f>
        <v>0</v>
      </c>
      <c r="J37" s="168">
        <f>F37*G37*(1-H37)*$D$7</f>
        <v>0</v>
      </c>
      <c r="K37" s="5"/>
      <c r="L37" s="55"/>
      <c r="M37" s="55"/>
      <c r="N37" s="55"/>
      <c r="O37" s="55"/>
      <c r="P37" s="55"/>
      <c r="Q37" s="55"/>
      <c r="R37" s="55"/>
    </row>
    <row r="38" spans="1:18" ht="15.75">
      <c r="A38" s="258"/>
      <c r="B38" s="274" t="s">
        <v>201</v>
      </c>
      <c r="C38" s="8"/>
      <c r="D38" s="275"/>
      <c r="E38" s="154" t="s">
        <v>47</v>
      </c>
      <c r="F38" s="229">
        <v>0</v>
      </c>
      <c r="G38" s="147">
        <v>1</v>
      </c>
      <c r="H38" s="155">
        <v>1</v>
      </c>
      <c r="I38" s="168">
        <f>F38*G38*H38*$D$7</f>
        <v>0</v>
      </c>
      <c r="J38" s="168">
        <f>F38*G38*(1-H38)*$D$7</f>
        <v>0</v>
      </c>
      <c r="K38" s="5"/>
      <c r="L38" s="55"/>
      <c r="M38" s="55"/>
      <c r="N38" s="55"/>
      <c r="O38" s="55"/>
      <c r="P38" s="55"/>
      <c r="Q38" s="55"/>
      <c r="R38" s="55"/>
    </row>
    <row r="39" spans="1:18" ht="15.75">
      <c r="A39" s="258"/>
      <c r="B39" s="32" t="s">
        <v>184</v>
      </c>
      <c r="C39" s="7"/>
      <c r="D39" s="7"/>
      <c r="E39" s="154" t="s">
        <v>51</v>
      </c>
      <c r="F39" s="176"/>
      <c r="G39" s="176"/>
      <c r="H39" s="176"/>
      <c r="I39" s="168">
        <f>(SUM(I12:I31)+I37+I38)*EnterP_Inv!$C$17/12*$F$40</f>
        <v>581.6109444444444</v>
      </c>
      <c r="J39" s="168">
        <f>(SUM(J12:J31)+J37+J38)*EnterP_Inv!$C$17/12*$F$40</f>
        <v>0</v>
      </c>
      <c r="K39" s="5"/>
      <c r="L39" s="55"/>
      <c r="M39" s="55"/>
      <c r="N39" s="55"/>
      <c r="O39" s="55"/>
      <c r="P39" s="55"/>
      <c r="Q39" s="55"/>
      <c r="R39" s="55"/>
    </row>
    <row r="40" spans="1:18" ht="15.75">
      <c r="A40" s="258"/>
      <c r="B40" s="6" t="s">
        <v>192</v>
      </c>
      <c r="C40" s="7"/>
      <c r="D40" s="7"/>
      <c r="E40" s="176"/>
      <c r="F40" s="147">
        <v>6</v>
      </c>
      <c r="G40" s="176"/>
      <c r="H40" s="176"/>
      <c r="I40" s="178"/>
      <c r="J40" s="179"/>
      <c r="K40" s="5"/>
      <c r="L40" s="55"/>
      <c r="M40" s="55"/>
      <c r="N40" s="55"/>
      <c r="O40" s="55"/>
      <c r="P40" s="55"/>
      <c r="Q40" s="55"/>
      <c r="R40" s="55"/>
    </row>
    <row r="41" spans="1:18" ht="18.75">
      <c r="A41" s="258"/>
      <c r="B41" s="150" t="s">
        <v>194</v>
      </c>
      <c r="C41" s="10"/>
      <c r="D41" s="10"/>
      <c r="E41" s="174"/>
      <c r="F41" s="278"/>
      <c r="G41" s="174"/>
      <c r="H41" s="174"/>
      <c r="I41" s="176"/>
      <c r="J41" s="176"/>
      <c r="K41" s="5"/>
      <c r="L41" s="55"/>
      <c r="M41" s="55"/>
      <c r="N41" s="55"/>
      <c r="O41" s="55"/>
      <c r="P41" s="55"/>
      <c r="Q41" s="55"/>
      <c r="R41" s="55"/>
    </row>
    <row r="42" spans="1:18" ht="15.75">
      <c r="A42" s="258"/>
      <c r="B42" s="32" t="s">
        <v>188</v>
      </c>
      <c r="C42" s="7"/>
      <c r="D42" s="7"/>
      <c r="E42" s="265"/>
      <c r="F42" s="269"/>
      <c r="G42" s="267"/>
      <c r="H42" s="268"/>
      <c r="I42" s="173"/>
      <c r="J42" s="173"/>
      <c r="K42" s="5"/>
      <c r="L42" s="55"/>
      <c r="M42" s="55"/>
      <c r="N42" s="55"/>
      <c r="O42" s="55"/>
      <c r="P42" s="55"/>
      <c r="Q42" s="55"/>
      <c r="R42" s="55"/>
    </row>
    <row r="43" spans="1:18" ht="15.75">
      <c r="A43" s="258"/>
      <c r="B43" s="6" t="s">
        <v>171</v>
      </c>
      <c r="C43" s="7"/>
      <c r="D43" s="7"/>
      <c r="E43" s="154" t="s">
        <v>47</v>
      </c>
      <c r="F43" s="229">
        <f>(10808+540)/4500</f>
        <v>2.521777777777778</v>
      </c>
      <c r="G43" s="147">
        <v>1</v>
      </c>
      <c r="H43" s="155">
        <v>1</v>
      </c>
      <c r="I43" s="168">
        <f>IF(F43&gt;100,F43*G43*H43,+F43*G43*H43*$D$7)*EnterP_Inv!$L$12</f>
        <v>1386.9777777777779</v>
      </c>
      <c r="J43" s="168">
        <f>(IF(F43&gt;100,F43*G43*(1-H43),F43*G43*(1-H43)*$D$7))*EnterP_Inv!$L$12</f>
        <v>0</v>
      </c>
      <c r="K43" s="5"/>
      <c r="L43" s="55"/>
      <c r="M43" s="55"/>
      <c r="N43" s="55"/>
      <c r="O43" s="55"/>
      <c r="P43" s="55"/>
      <c r="Q43" s="55"/>
      <c r="R43" s="55"/>
    </row>
    <row r="44" spans="1:18" ht="15.75">
      <c r="A44" s="258"/>
      <c r="B44" s="6" t="s">
        <v>172</v>
      </c>
      <c r="C44" s="7"/>
      <c r="D44" s="7"/>
      <c r="E44" s="154" t="s">
        <v>46</v>
      </c>
      <c r="F44" s="229">
        <f>14800/4500</f>
        <v>3.2888888888888888</v>
      </c>
      <c r="G44" s="147">
        <v>1</v>
      </c>
      <c r="H44" s="155">
        <v>1</v>
      </c>
      <c r="I44" s="168">
        <f>IF(F44&gt;100,F44*G44*H44,+F44*G44*H44*$D$7)</f>
        <v>1808.888888888889</v>
      </c>
      <c r="J44" s="168">
        <f>IF(F44&gt;100,F44*G44*(1-H44),F44*G44*(1-H44)*$D$7)</f>
        <v>0</v>
      </c>
      <c r="K44" s="5"/>
      <c r="L44" s="55"/>
      <c r="M44" s="55"/>
      <c r="N44" s="55"/>
      <c r="O44" s="55"/>
      <c r="P44" s="55"/>
      <c r="Q44" s="55"/>
      <c r="R44" s="55"/>
    </row>
    <row r="45" spans="1:18" ht="15.75">
      <c r="A45" s="258"/>
      <c r="B45" s="6" t="s">
        <v>202</v>
      </c>
      <c r="C45" s="7"/>
      <c r="D45" s="7"/>
      <c r="E45" s="154" t="s">
        <v>46</v>
      </c>
      <c r="F45" s="229"/>
      <c r="G45" s="147">
        <v>1</v>
      </c>
      <c r="H45" s="155">
        <v>1</v>
      </c>
      <c r="I45" s="168">
        <f>IF(F45&gt;100,F45*G45*H45,+F45*G45*H45*$D$7)</f>
        <v>0</v>
      </c>
      <c r="J45" s="168">
        <f>IF(F45&gt;100,F45*G45*(1-H45),F45*G45*(1-H45)*$D$7)</f>
        <v>0</v>
      </c>
      <c r="K45" s="5"/>
      <c r="L45" s="55"/>
      <c r="M45" s="55"/>
      <c r="N45" s="55"/>
      <c r="O45" s="55"/>
      <c r="P45" s="55"/>
      <c r="Q45" s="55"/>
      <c r="R45" s="55"/>
    </row>
    <row r="46" spans="1:18" ht="15.75">
      <c r="A46" s="258"/>
      <c r="B46" s="32" t="s">
        <v>189</v>
      </c>
      <c r="C46" s="7"/>
      <c r="D46" s="7"/>
      <c r="E46" s="265"/>
      <c r="F46" s="266"/>
      <c r="G46" s="267"/>
      <c r="H46" s="268"/>
      <c r="I46" s="173"/>
      <c r="J46" s="173"/>
      <c r="K46" s="5"/>
      <c r="L46" s="55"/>
      <c r="M46" s="55"/>
      <c r="N46" s="55"/>
      <c r="O46" s="55"/>
      <c r="P46" s="55"/>
      <c r="Q46" s="55"/>
      <c r="R46" s="55"/>
    </row>
    <row r="47" spans="1:18" ht="15.75">
      <c r="A47" s="258"/>
      <c r="B47" s="6" t="s">
        <v>171</v>
      </c>
      <c r="C47" s="7"/>
      <c r="D47" s="7"/>
      <c r="E47" s="154" t="s">
        <v>47</v>
      </c>
      <c r="F47" s="229">
        <f>(8077+9387+337+469)/4500</f>
        <v>4.06</v>
      </c>
      <c r="G47" s="147">
        <v>1</v>
      </c>
      <c r="H47" s="155">
        <v>1</v>
      </c>
      <c r="I47" s="168">
        <f>IF(F47&gt;100,F47*G47*H47,+F47*G47*H47*$D$7)*EnterP_Inv!$L$12</f>
        <v>2233</v>
      </c>
      <c r="J47" s="168">
        <f>(IF(F47&gt;100,F47*G47*(1-H47),F47*G47*(1-H47)*$D$7))*EnterP_Inv!$L$12</f>
        <v>0</v>
      </c>
      <c r="K47" s="5"/>
      <c r="L47" s="55"/>
      <c r="M47" s="55"/>
      <c r="N47" s="55"/>
      <c r="O47" s="55"/>
      <c r="P47" s="55"/>
      <c r="Q47" s="55"/>
      <c r="R47" s="55"/>
    </row>
    <row r="48" spans="1:18" ht="15.75">
      <c r="A48" s="258"/>
      <c r="B48" s="6" t="s">
        <v>172</v>
      </c>
      <c r="C48" s="7"/>
      <c r="D48" s="7"/>
      <c r="E48" s="154" t="s">
        <v>46</v>
      </c>
      <c r="F48" s="229">
        <f>(1750+1426)/4500</f>
        <v>0.7057777777777777</v>
      </c>
      <c r="G48" s="147">
        <v>1</v>
      </c>
      <c r="H48" s="155">
        <v>1</v>
      </c>
      <c r="I48" s="168">
        <f>IF(F48&gt;100,F48*G48*H48,+F48*G48*H48*$D$7)</f>
        <v>388.17777777777775</v>
      </c>
      <c r="J48" s="168">
        <f>IF(F48&gt;100,F48*G48*(1-H48),F48*G48*(1-H48)*$D$7)</f>
        <v>0</v>
      </c>
      <c r="K48" s="5"/>
      <c r="L48" s="55"/>
      <c r="M48" s="55"/>
      <c r="N48" s="55"/>
      <c r="O48" s="55"/>
      <c r="P48" s="55"/>
      <c r="Q48" s="55"/>
      <c r="R48" s="55"/>
    </row>
    <row r="49" spans="1:18" ht="15.75">
      <c r="A49" s="258"/>
      <c r="B49" s="6" t="s">
        <v>203</v>
      </c>
      <c r="C49" s="7"/>
      <c r="D49" s="7"/>
      <c r="E49" s="154" t="s">
        <v>46</v>
      </c>
      <c r="F49" s="229"/>
      <c r="G49" s="147">
        <v>1</v>
      </c>
      <c r="H49" s="155">
        <v>1</v>
      </c>
      <c r="I49" s="168">
        <f>IF(F49&gt;100,F49*G49*H49,+F49*G49*H49*$D$7)</f>
        <v>0</v>
      </c>
      <c r="J49" s="168">
        <f>IF(F49&gt;100,F49*G49*(1-H49),F49*G49*(1-H49)*$D$7)</f>
        <v>0</v>
      </c>
      <c r="K49" s="5"/>
      <c r="L49" s="55"/>
      <c r="M49" s="55"/>
      <c r="N49" s="55"/>
      <c r="O49" s="55"/>
      <c r="P49" s="55"/>
      <c r="Q49" s="55"/>
      <c r="R49" s="55"/>
    </row>
    <row r="50" spans="1:18" ht="15.75">
      <c r="A50" s="258"/>
      <c r="B50" s="32" t="s">
        <v>190</v>
      </c>
      <c r="C50" s="7"/>
      <c r="D50" s="7"/>
      <c r="E50" s="154" t="s">
        <v>51</v>
      </c>
      <c r="F50" s="176"/>
      <c r="G50" s="176"/>
      <c r="H50" s="176"/>
      <c r="I50" s="169">
        <f>SUM(I42:I48)*EnterP_Inv!$C$17/12*$F$51</f>
        <v>33.932759259259264</v>
      </c>
      <c r="J50" s="169">
        <f>SUM(J42:J48)*EnterP_Inv!$C$17/12*$F$51</f>
        <v>0</v>
      </c>
      <c r="K50" s="5"/>
      <c r="L50" s="55"/>
      <c r="M50" s="55"/>
      <c r="N50" s="55"/>
      <c r="O50" s="55"/>
      <c r="P50" s="55"/>
      <c r="Q50" s="55"/>
      <c r="R50" s="55"/>
    </row>
    <row r="51" spans="1:18" ht="15.75">
      <c r="A51" s="258"/>
      <c r="B51" s="153" t="s">
        <v>191</v>
      </c>
      <c r="C51" s="7"/>
      <c r="D51" s="7"/>
      <c r="E51" s="176"/>
      <c r="F51" s="147">
        <v>1</v>
      </c>
      <c r="G51" s="176"/>
      <c r="H51" s="178"/>
      <c r="I51" s="176"/>
      <c r="J51" s="176"/>
      <c r="K51" s="5"/>
      <c r="L51" s="55"/>
      <c r="M51" s="55"/>
      <c r="N51" s="55"/>
      <c r="O51" s="55"/>
      <c r="P51" s="55"/>
      <c r="Q51" s="55"/>
      <c r="R51" s="55"/>
    </row>
    <row r="52" spans="1:18" ht="15.75">
      <c r="A52" s="258"/>
      <c r="B52" s="270"/>
      <c r="C52" s="151" t="s">
        <v>146</v>
      </c>
      <c r="D52" s="152" t="str">
        <f>$I$3</f>
        <v>Summer Fallow</v>
      </c>
      <c r="E52" s="152" t="s">
        <v>26</v>
      </c>
      <c r="F52" s="152"/>
      <c r="G52" s="152"/>
      <c r="H52" s="270"/>
      <c r="I52" s="222">
        <f>SUM(I12:I50)</f>
        <v>25250.043703703705</v>
      </c>
      <c r="J52" s="222">
        <f>SUM(J12:J50)</f>
        <v>0</v>
      </c>
      <c r="K52" s="5"/>
      <c r="L52" s="55"/>
      <c r="M52" s="55"/>
      <c r="N52" s="55"/>
      <c r="O52" s="55"/>
      <c r="P52" s="55"/>
      <c r="Q52" s="55"/>
      <c r="R52" s="55"/>
    </row>
    <row r="53" spans="1:18" ht="15.75">
      <c r="A53" s="258"/>
      <c r="B53" s="7"/>
      <c r="C53" s="7"/>
      <c r="D53" s="7"/>
      <c r="E53" s="7"/>
      <c r="F53" s="7"/>
      <c r="G53" s="7"/>
      <c r="H53" s="218" t="s">
        <v>215</v>
      </c>
      <c r="I53" s="219">
        <f>IF(D7=0,0,I52/D7)</f>
        <v>45.90917037037037</v>
      </c>
      <c r="J53" s="221">
        <f>IF(D7=0,0,J52/D7)</f>
        <v>0</v>
      </c>
      <c r="K53" s="1"/>
      <c r="L53" s="55"/>
      <c r="M53" s="55"/>
      <c r="N53" s="55"/>
      <c r="O53" s="55"/>
      <c r="P53" s="55"/>
      <c r="Q53" s="55"/>
      <c r="R53" s="55"/>
    </row>
    <row r="54" spans="1:18" ht="15.75">
      <c r="A54" s="258"/>
      <c r="B54" s="7"/>
      <c r="C54" s="7"/>
      <c r="D54" s="7"/>
      <c r="E54" s="7"/>
      <c r="F54" s="7"/>
      <c r="G54" s="7"/>
      <c r="H54" s="7"/>
      <c r="I54" s="220" t="s">
        <v>214</v>
      </c>
      <c r="J54" s="219">
        <f>I53+J53</f>
        <v>45.90917037037037</v>
      </c>
      <c r="K54" s="1"/>
      <c r="L54" s="55"/>
      <c r="M54" s="55"/>
      <c r="N54" s="55"/>
      <c r="O54" s="55"/>
      <c r="P54" s="55"/>
      <c r="Q54" s="55"/>
      <c r="R54" s="55"/>
    </row>
    <row r="55" spans="1:18" ht="15.75">
      <c r="A55" s="258"/>
      <c r="B55" s="7"/>
      <c r="C55" s="7"/>
      <c r="D55" s="7"/>
      <c r="E55" s="7"/>
      <c r="F55" s="7"/>
      <c r="G55" s="7"/>
      <c r="H55" s="7"/>
      <c r="I55" s="7"/>
      <c r="J55" s="7"/>
      <c r="K55" s="1"/>
      <c r="L55" s="55"/>
      <c r="M55" s="55"/>
      <c r="N55" s="55"/>
      <c r="O55" s="55"/>
      <c r="P55" s="55"/>
      <c r="Q55" s="55"/>
      <c r="R55" s="55"/>
    </row>
    <row r="56" spans="1:18" ht="15.75">
      <c r="A56" s="258"/>
      <c r="B56" s="55"/>
      <c r="C56" s="55"/>
      <c r="D56" s="55"/>
      <c r="E56" s="55"/>
      <c r="F56" s="55"/>
      <c r="G56" s="55"/>
      <c r="H56" s="55"/>
      <c r="I56" s="55"/>
      <c r="J56" s="55"/>
      <c r="K56" s="55"/>
      <c r="L56" s="55"/>
      <c r="M56" s="55"/>
      <c r="N56" s="55"/>
      <c r="O56" s="55"/>
      <c r="P56" s="55"/>
      <c r="Q56" s="55"/>
      <c r="R56" s="55"/>
    </row>
    <row r="57" spans="1:18" ht="15.75">
      <c r="A57" s="258"/>
      <c r="B57" s="55"/>
      <c r="C57" s="55"/>
      <c r="D57" s="55"/>
      <c r="E57" s="55"/>
      <c r="F57" s="55"/>
      <c r="G57" s="55"/>
      <c r="H57" s="55"/>
      <c r="I57" s="55"/>
      <c r="J57" s="55"/>
      <c r="K57" s="55"/>
      <c r="L57" s="55"/>
      <c r="M57" s="55"/>
      <c r="N57" s="55"/>
      <c r="O57" s="55"/>
      <c r="P57" s="55"/>
      <c r="Q57" s="55"/>
      <c r="R57" s="55"/>
    </row>
    <row r="58" spans="1:18" ht="15.75">
      <c r="A58" s="258"/>
      <c r="B58" s="55"/>
      <c r="C58" s="55"/>
      <c r="D58" s="55"/>
      <c r="E58" s="55"/>
      <c r="F58" s="55"/>
      <c r="G58" s="55"/>
      <c r="H58" s="55"/>
      <c r="I58" s="55"/>
      <c r="J58" s="55"/>
      <c r="K58" s="55"/>
      <c r="L58" s="55"/>
      <c r="M58" s="55"/>
      <c r="N58" s="55"/>
      <c r="O58" s="55"/>
      <c r="P58" s="55"/>
      <c r="Q58" s="55"/>
      <c r="R58" s="55"/>
    </row>
    <row r="59" spans="1:18" ht="15.75">
      <c r="A59" s="258"/>
      <c r="B59" s="55"/>
      <c r="C59" s="55"/>
      <c r="D59" s="55"/>
      <c r="E59" s="55"/>
      <c r="F59" s="55"/>
      <c r="G59" s="55"/>
      <c r="H59" s="55"/>
      <c r="I59" s="55"/>
      <c r="J59" s="55"/>
      <c r="K59" s="55"/>
      <c r="L59" s="55"/>
      <c r="M59" s="55"/>
      <c r="N59" s="55"/>
      <c r="O59" s="55"/>
      <c r="P59" s="55"/>
      <c r="Q59" s="55"/>
      <c r="R59" s="55"/>
    </row>
    <row r="60" spans="1:18" ht="15.75">
      <c r="A60" s="258"/>
      <c r="B60" s="55"/>
      <c r="C60" s="55"/>
      <c r="D60" s="55"/>
      <c r="E60" s="55"/>
      <c r="F60" s="55"/>
      <c r="G60" s="55"/>
      <c r="H60" s="55"/>
      <c r="I60" s="55"/>
      <c r="J60" s="55"/>
      <c r="K60" s="55"/>
      <c r="L60" s="55"/>
      <c r="M60" s="55"/>
      <c r="N60" s="55"/>
      <c r="O60" s="55"/>
      <c r="P60" s="55"/>
      <c r="Q60" s="55"/>
      <c r="R60" s="55"/>
    </row>
    <row r="61" spans="1:18" ht="15.75">
      <c r="A61" s="258"/>
      <c r="B61" s="55"/>
      <c r="C61" s="55"/>
      <c r="D61" s="55"/>
      <c r="E61" s="55"/>
      <c r="F61" s="55"/>
      <c r="G61" s="55"/>
      <c r="H61" s="55"/>
      <c r="I61" s="55"/>
      <c r="J61" s="55"/>
      <c r="K61" s="55"/>
      <c r="L61" s="55"/>
      <c r="M61" s="55"/>
      <c r="N61" s="55"/>
      <c r="O61" s="55"/>
      <c r="P61" s="55"/>
      <c r="Q61" s="55"/>
      <c r="R61" s="55"/>
    </row>
    <row r="62" spans="1:18" ht="15.75">
      <c r="A62" s="258"/>
      <c r="B62" s="55"/>
      <c r="C62" s="55"/>
      <c r="D62" s="55"/>
      <c r="E62" s="55"/>
      <c r="F62" s="55"/>
      <c r="G62" s="55"/>
      <c r="H62" s="55"/>
      <c r="I62" s="55"/>
      <c r="J62" s="55"/>
      <c r="K62" s="55"/>
      <c r="L62" s="55"/>
      <c r="M62" s="55"/>
      <c r="N62" s="55"/>
      <c r="O62" s="55"/>
      <c r="P62" s="55"/>
      <c r="Q62" s="55"/>
      <c r="R62" s="55"/>
    </row>
    <row r="63" spans="1:18" ht="15.75">
      <c r="A63" s="258"/>
      <c r="B63" s="55"/>
      <c r="C63" s="55"/>
      <c r="D63" s="55"/>
      <c r="E63" s="55"/>
      <c r="F63" s="55"/>
      <c r="G63" s="55"/>
      <c r="H63" s="55"/>
      <c r="I63" s="55"/>
      <c r="J63" s="55"/>
      <c r="K63" s="55"/>
      <c r="L63" s="55"/>
      <c r="M63" s="55"/>
      <c r="N63" s="55"/>
      <c r="O63" s="55"/>
      <c r="P63" s="55"/>
      <c r="Q63" s="55"/>
      <c r="R63" s="55"/>
    </row>
    <row r="64" spans="1:18" ht="15.75">
      <c r="A64" s="258"/>
      <c r="B64" s="55"/>
      <c r="C64" s="55"/>
      <c r="D64" s="55"/>
      <c r="E64" s="55"/>
      <c r="F64" s="55"/>
      <c r="G64" s="55"/>
      <c r="H64" s="55"/>
      <c r="I64" s="55"/>
      <c r="J64" s="55"/>
      <c r="K64" s="55"/>
      <c r="L64" s="55"/>
      <c r="M64" s="55"/>
      <c r="N64" s="55"/>
      <c r="O64" s="55"/>
      <c r="P64" s="55"/>
      <c r="Q64" s="55"/>
      <c r="R64" s="55"/>
    </row>
    <row r="65" spans="1:18" ht="15.75">
      <c r="A65" s="258"/>
      <c r="B65" s="55"/>
      <c r="C65" s="55"/>
      <c r="D65" s="55"/>
      <c r="E65" s="55"/>
      <c r="F65" s="55"/>
      <c r="G65" s="55"/>
      <c r="H65" s="55"/>
      <c r="I65" s="55"/>
      <c r="J65" s="55"/>
      <c r="K65" s="55"/>
      <c r="L65" s="55"/>
      <c r="M65" s="55"/>
      <c r="N65" s="55"/>
      <c r="O65" s="55"/>
      <c r="P65" s="55"/>
      <c r="Q65" s="55"/>
      <c r="R65" s="55"/>
    </row>
    <row r="66" spans="1:18" ht="15.75">
      <c r="A66" s="258"/>
      <c r="B66" s="55"/>
      <c r="C66" s="55"/>
      <c r="D66" s="55"/>
      <c r="E66" s="55"/>
      <c r="F66" s="55"/>
      <c r="G66" s="55"/>
      <c r="H66" s="55"/>
      <c r="I66" s="55"/>
      <c r="J66" s="55"/>
      <c r="K66" s="55"/>
      <c r="L66" s="55"/>
      <c r="M66" s="55"/>
      <c r="N66" s="55"/>
      <c r="O66" s="55"/>
      <c r="P66" s="55"/>
      <c r="Q66" s="55"/>
      <c r="R66" s="55"/>
    </row>
    <row r="67" spans="1:18" ht="15.75">
      <c r="A67" s="258"/>
      <c r="B67" s="55"/>
      <c r="C67" s="55"/>
      <c r="D67" s="55"/>
      <c r="E67" s="55"/>
      <c r="F67" s="55"/>
      <c r="G67" s="55"/>
      <c r="H67" s="55"/>
      <c r="I67" s="55"/>
      <c r="J67" s="55"/>
      <c r="K67" s="55"/>
      <c r="L67" s="55"/>
      <c r="M67" s="55"/>
      <c r="N67" s="55"/>
      <c r="O67" s="55"/>
      <c r="P67" s="55"/>
      <c r="Q67" s="55"/>
      <c r="R67" s="55"/>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71"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S63"/>
  <sheetViews>
    <sheetView showGridLines="0" zoomScalePageLayoutView="0" workbookViewId="0" topLeftCell="A1">
      <selection activeCell="D26" sqref="D26"/>
    </sheetView>
  </sheetViews>
  <sheetFormatPr defaultColWidth="8.796875" defaultRowHeight="15"/>
  <cols>
    <col min="1" max="1" width="4.09765625" style="132" customWidth="1"/>
    <col min="2" max="4" width="12.69921875" style="0" customWidth="1"/>
    <col min="5" max="10" width="11.69921875" style="0" customWidth="1"/>
  </cols>
  <sheetData>
    <row r="1" spans="1:19" ht="15.75">
      <c r="A1" s="258"/>
      <c r="B1" s="55"/>
      <c r="C1" s="55"/>
      <c r="D1" s="55"/>
      <c r="E1" s="55"/>
      <c r="F1" s="55"/>
      <c r="G1" s="55"/>
      <c r="H1" s="55"/>
      <c r="I1" s="55"/>
      <c r="J1" s="55"/>
      <c r="K1" s="55"/>
      <c r="L1" s="55"/>
      <c r="M1" s="55"/>
      <c r="N1" s="55"/>
      <c r="O1" s="55"/>
      <c r="P1" s="55"/>
      <c r="Q1" s="55"/>
      <c r="R1" s="55"/>
      <c r="S1" s="55"/>
    </row>
    <row r="2" spans="1:19" ht="16.5" thickBot="1">
      <c r="A2" s="258"/>
      <c r="B2" s="55"/>
      <c r="C2" s="55"/>
      <c r="D2" s="55"/>
      <c r="E2" s="232" t="str">
        <f>EnterP_Inv!C8</f>
        <v>Crop#1</v>
      </c>
      <c r="F2" s="232" t="str">
        <f>EnterP_Inv!D8</f>
        <v>Crop#2</v>
      </c>
      <c r="G2" s="232" t="str">
        <f>EnterP_Inv!E8</f>
        <v>Crop#3</v>
      </c>
      <c r="H2" s="232" t="str">
        <f>EnterP_Inv!F8</f>
        <v>Crop#4</v>
      </c>
      <c r="I2" s="232" t="str">
        <f>EnterP_Inv!G8</f>
        <v>Crop#5</v>
      </c>
      <c r="J2" s="57" t="str">
        <f>EnterP_Inv!H8</f>
        <v>Crop#6</v>
      </c>
      <c r="K2" s="55"/>
      <c r="L2" s="55"/>
      <c r="M2" s="55"/>
      <c r="N2" s="55"/>
      <c r="O2" s="55"/>
      <c r="P2" s="55"/>
      <c r="Q2" s="55"/>
      <c r="R2" s="55"/>
      <c r="S2" s="55"/>
    </row>
    <row r="3" spans="1:19" ht="15.75">
      <c r="A3" s="258"/>
      <c r="B3" s="55"/>
      <c r="C3" s="55"/>
      <c r="D3" s="55"/>
      <c r="E3" s="281" t="str">
        <f>EnterP_Inv!C9</f>
        <v>Winter Wheat</v>
      </c>
      <c r="F3" s="281" t="str">
        <f>EnterP_Inv!D9</f>
        <v>Spring Wheat</v>
      </c>
      <c r="G3" s="281" t="str">
        <f>EnterP_Inv!E9</f>
        <v>Durum</v>
      </c>
      <c r="H3" s="281" t="str">
        <f>EnterP_Inv!F9</f>
        <v>Malt Barley</v>
      </c>
      <c r="I3" s="281" t="str">
        <f>EnterP_Inv!G9</f>
        <v>Summer Fallow</v>
      </c>
      <c r="J3" s="283" t="str">
        <f>EnterP_Inv!H9</f>
        <v>Not Used</v>
      </c>
      <c r="K3" s="55"/>
      <c r="L3" s="55"/>
      <c r="M3" s="55"/>
      <c r="N3" s="55"/>
      <c r="O3" s="55"/>
      <c r="P3" s="55"/>
      <c r="Q3" s="55"/>
      <c r="R3" s="55"/>
      <c r="S3" s="55"/>
    </row>
    <row r="4" spans="1:19" ht="15.75">
      <c r="A4" s="258"/>
      <c r="B4" s="55"/>
      <c r="C4" s="55"/>
      <c r="D4" s="55"/>
      <c r="E4" s="282"/>
      <c r="F4" s="282"/>
      <c r="G4" s="282"/>
      <c r="H4" s="282"/>
      <c r="I4" s="282"/>
      <c r="J4" s="284"/>
      <c r="K4" s="55"/>
      <c r="L4" s="55"/>
      <c r="M4" s="55"/>
      <c r="N4" s="55"/>
      <c r="O4" s="55"/>
      <c r="P4" s="55"/>
      <c r="Q4" s="55"/>
      <c r="R4" s="55"/>
      <c r="S4" s="55"/>
    </row>
    <row r="5" spans="1:19" ht="15.75">
      <c r="A5" s="258"/>
      <c r="B5" s="55"/>
      <c r="C5" s="55"/>
      <c r="D5" s="55" t="str">
        <f>EnterP_Inv!B12</f>
        <v>Expected Yield</v>
      </c>
      <c r="E5" s="233">
        <f>EnterP_Inv!C12</f>
        <v>42</v>
      </c>
      <c r="F5" s="233">
        <f>EnterP_Inv!D12</f>
        <v>28</v>
      </c>
      <c r="G5" s="233">
        <f>EnterP_Inv!E12</f>
        <v>22</v>
      </c>
      <c r="H5" s="233">
        <f>EnterP_Inv!F12</f>
        <v>52</v>
      </c>
      <c r="I5" s="233">
        <f>EnterP_Inv!G12</f>
        <v>0</v>
      </c>
      <c r="J5" s="223">
        <f>EnterP_Inv!H12</f>
        <v>0</v>
      </c>
      <c r="K5" s="55"/>
      <c r="L5" s="55"/>
      <c r="M5" s="55"/>
      <c r="N5" s="55"/>
      <c r="O5" s="55"/>
      <c r="P5" s="55"/>
      <c r="Q5" s="55"/>
      <c r="R5" s="55"/>
      <c r="S5" s="55"/>
    </row>
    <row r="6" spans="1:19" ht="15.75">
      <c r="A6" s="258"/>
      <c r="B6" s="7" t="s">
        <v>152</v>
      </c>
      <c r="C6" s="7"/>
      <c r="D6" s="156" t="s">
        <v>26</v>
      </c>
      <c r="E6" s="7"/>
      <c r="F6" s="7"/>
      <c r="G6" s="7"/>
      <c r="H6" s="7"/>
      <c r="I6" s="7"/>
      <c r="J6" s="7"/>
      <c r="K6" s="1"/>
      <c r="L6" s="55"/>
      <c r="M6" s="55"/>
      <c r="N6" s="55"/>
      <c r="O6" s="55"/>
      <c r="P6" s="55"/>
      <c r="Q6" s="55"/>
      <c r="R6" s="55"/>
      <c r="S6" s="55"/>
    </row>
    <row r="7" spans="1:19" ht="18.75">
      <c r="A7" s="258"/>
      <c r="B7" s="45" t="str">
        <f>EnterP_Inv!$H$9</f>
        <v>Not Used</v>
      </c>
      <c r="C7" s="55"/>
      <c r="D7" s="46">
        <f>EnterP_Inv!$H$11</f>
        <v>0</v>
      </c>
      <c r="E7" s="18" t="s">
        <v>56</v>
      </c>
      <c r="F7" s="10"/>
      <c r="G7" s="10"/>
      <c r="H7" s="10"/>
      <c r="I7" s="10"/>
      <c r="J7" s="10"/>
      <c r="K7" s="5"/>
      <c r="L7" s="55"/>
      <c r="M7" s="55"/>
      <c r="N7" s="55"/>
      <c r="O7" s="55"/>
      <c r="P7" s="55"/>
      <c r="Q7" s="55"/>
      <c r="R7" s="55"/>
      <c r="S7" s="55"/>
    </row>
    <row r="8" spans="1:19" ht="15.75">
      <c r="A8" s="258"/>
      <c r="B8" s="10"/>
      <c r="C8" s="10"/>
      <c r="D8" s="10"/>
      <c r="E8" s="11"/>
      <c r="F8" s="14" t="s">
        <v>40</v>
      </c>
      <c r="G8" s="15" t="s">
        <v>41</v>
      </c>
      <c r="H8" s="15" t="s">
        <v>2</v>
      </c>
      <c r="I8" s="15" t="s">
        <v>3</v>
      </c>
      <c r="J8" s="15" t="s">
        <v>3</v>
      </c>
      <c r="K8" s="5"/>
      <c r="L8" s="55"/>
      <c r="M8" s="55"/>
      <c r="N8" s="55"/>
      <c r="O8" s="55"/>
      <c r="P8" s="55"/>
      <c r="Q8" s="55"/>
      <c r="R8" s="55"/>
      <c r="S8" s="55"/>
    </row>
    <row r="9" spans="1:19" ht="15.75">
      <c r="A9" s="258"/>
      <c r="B9" s="7"/>
      <c r="C9" s="7"/>
      <c r="D9" s="7"/>
      <c r="E9" s="12"/>
      <c r="F9" s="13" t="s">
        <v>42</v>
      </c>
      <c r="G9" s="9" t="s">
        <v>42</v>
      </c>
      <c r="H9" s="9" t="s">
        <v>7</v>
      </c>
      <c r="I9" s="9" t="s">
        <v>7</v>
      </c>
      <c r="J9" s="9" t="s">
        <v>6</v>
      </c>
      <c r="K9" s="5"/>
      <c r="L9" s="55"/>
      <c r="M9" s="55"/>
      <c r="N9" s="55"/>
      <c r="O9" s="55"/>
      <c r="P9" s="55"/>
      <c r="Q9" s="55"/>
      <c r="R9" s="55"/>
      <c r="S9" s="55"/>
    </row>
    <row r="10" spans="1:19" ht="18.75">
      <c r="A10" s="258"/>
      <c r="B10" s="45" t="s">
        <v>193</v>
      </c>
      <c r="C10" s="7"/>
      <c r="D10" s="7"/>
      <c r="E10" s="19" t="s">
        <v>43</v>
      </c>
      <c r="F10" s="13" t="s">
        <v>44</v>
      </c>
      <c r="G10" s="9" t="s">
        <v>44</v>
      </c>
      <c r="H10" s="9" t="s">
        <v>9</v>
      </c>
      <c r="I10" s="9" t="s">
        <v>9</v>
      </c>
      <c r="J10" s="9" t="s">
        <v>9</v>
      </c>
      <c r="K10" s="5"/>
      <c r="L10" s="55"/>
      <c r="M10" s="55"/>
      <c r="N10" s="55"/>
      <c r="O10" s="55"/>
      <c r="P10" s="55"/>
      <c r="Q10" s="55"/>
      <c r="R10" s="55"/>
      <c r="S10" s="55"/>
    </row>
    <row r="11" spans="1:19" ht="15.75">
      <c r="A11" s="258"/>
      <c r="B11" s="10"/>
      <c r="C11" s="10"/>
      <c r="D11" s="10"/>
      <c r="E11" s="174"/>
      <c r="F11" s="174"/>
      <c r="G11" s="174"/>
      <c r="H11" s="174"/>
      <c r="I11" s="174"/>
      <c r="J11" s="174"/>
      <c r="K11" s="5"/>
      <c r="L11" s="55"/>
      <c r="M11" s="55"/>
      <c r="N11" s="55"/>
      <c r="O11" s="55"/>
      <c r="P11" s="55"/>
      <c r="Q11" s="55"/>
      <c r="R11" s="55"/>
      <c r="S11" s="55"/>
    </row>
    <row r="12" spans="1:19" ht="15.75">
      <c r="A12" s="258"/>
      <c r="B12" s="32" t="s">
        <v>173</v>
      </c>
      <c r="C12" s="7"/>
      <c r="D12" s="7"/>
      <c r="E12" s="154" t="s">
        <v>45</v>
      </c>
      <c r="F12" s="229">
        <v>0</v>
      </c>
      <c r="G12" s="147">
        <v>1</v>
      </c>
      <c r="H12" s="155">
        <v>1</v>
      </c>
      <c r="I12" s="168">
        <f>F12*G12*H12*$D$7</f>
        <v>0</v>
      </c>
      <c r="J12" s="168">
        <f aca="true" t="shared" si="0" ref="J12:J21">F12*G12*(1-H12)*$D$7</f>
        <v>0</v>
      </c>
      <c r="K12" s="5"/>
      <c r="L12" s="55"/>
      <c r="M12" s="55"/>
      <c r="N12" s="55"/>
      <c r="O12" s="55"/>
      <c r="P12" s="55"/>
      <c r="Q12" s="55"/>
      <c r="R12" s="55"/>
      <c r="S12" s="55"/>
    </row>
    <row r="13" spans="1:19" ht="15.75">
      <c r="A13" s="258"/>
      <c r="B13" s="32" t="s">
        <v>174</v>
      </c>
      <c r="C13" s="21"/>
      <c r="D13" s="259"/>
      <c r="E13" s="154" t="s">
        <v>46</v>
      </c>
      <c r="F13" s="229">
        <v>0</v>
      </c>
      <c r="G13" s="147">
        <v>1</v>
      </c>
      <c r="H13" s="155">
        <v>1</v>
      </c>
      <c r="I13" s="168">
        <f>F13*G13*H13*$D$7</f>
        <v>0</v>
      </c>
      <c r="J13" s="168">
        <f t="shared" si="0"/>
        <v>0</v>
      </c>
      <c r="K13" s="5"/>
      <c r="L13" s="55"/>
      <c r="M13" s="55"/>
      <c r="N13" s="55"/>
      <c r="O13" s="55"/>
      <c r="P13" s="55"/>
      <c r="Q13" s="55"/>
      <c r="R13" s="55"/>
      <c r="S13" s="55"/>
    </row>
    <row r="14" spans="1:19" ht="15.75">
      <c r="A14" s="258"/>
      <c r="B14" s="226"/>
      <c r="C14" s="227"/>
      <c r="D14" s="8"/>
      <c r="E14" s="154" t="s">
        <v>46</v>
      </c>
      <c r="F14" s="229">
        <v>0</v>
      </c>
      <c r="G14" s="147">
        <v>1</v>
      </c>
      <c r="H14" s="155">
        <v>1</v>
      </c>
      <c r="I14" s="168">
        <f aca="true" t="shared" si="1" ref="I14:I21">F14*G14*H14*$D$7</f>
        <v>0</v>
      </c>
      <c r="J14" s="168">
        <f t="shared" si="0"/>
        <v>0</v>
      </c>
      <c r="K14" s="5"/>
      <c r="L14" s="55"/>
      <c r="M14" s="55"/>
      <c r="N14" s="55"/>
      <c r="O14" s="55"/>
      <c r="P14" s="55"/>
      <c r="Q14" s="55"/>
      <c r="R14" s="55"/>
      <c r="S14" s="55"/>
    </row>
    <row r="15" spans="1:19" ht="15.75">
      <c r="A15" s="258"/>
      <c r="B15" s="226"/>
      <c r="C15" s="227"/>
      <c r="D15" s="8"/>
      <c r="E15" s="154" t="s">
        <v>46</v>
      </c>
      <c r="F15" s="229">
        <v>0</v>
      </c>
      <c r="G15" s="147">
        <v>1</v>
      </c>
      <c r="H15" s="155">
        <v>1</v>
      </c>
      <c r="I15" s="168">
        <f t="shared" si="1"/>
        <v>0</v>
      </c>
      <c r="J15" s="168">
        <f t="shared" si="0"/>
        <v>0</v>
      </c>
      <c r="K15" s="5"/>
      <c r="L15" s="55"/>
      <c r="M15" s="180"/>
      <c r="N15" s="55"/>
      <c r="O15" s="55"/>
      <c r="P15" s="260" t="s">
        <v>220</v>
      </c>
      <c r="Q15" s="55"/>
      <c r="R15" s="55"/>
      <c r="S15" s="55"/>
    </row>
    <row r="16" spans="1:19" ht="15.75">
      <c r="A16" s="258"/>
      <c r="B16" s="32" t="s">
        <v>198</v>
      </c>
      <c r="C16" s="7"/>
      <c r="D16" s="21"/>
      <c r="E16" s="154" t="s">
        <v>47</v>
      </c>
      <c r="F16" s="229">
        <v>0</v>
      </c>
      <c r="G16" s="147">
        <v>1</v>
      </c>
      <c r="H16" s="155">
        <v>1</v>
      </c>
      <c r="I16" s="168">
        <f t="shared" si="1"/>
        <v>0</v>
      </c>
      <c r="J16" s="168">
        <f t="shared" si="0"/>
        <v>0</v>
      </c>
      <c r="K16" s="5"/>
      <c r="L16" s="55"/>
      <c r="M16" s="180"/>
      <c r="N16" s="55"/>
      <c r="O16" s="55"/>
      <c r="P16" s="261" t="s">
        <v>221</v>
      </c>
      <c r="Q16" s="55"/>
      <c r="R16" s="55"/>
      <c r="S16" s="55"/>
    </row>
    <row r="17" spans="1:19" ht="15.75">
      <c r="A17" s="258"/>
      <c r="B17" s="32" t="s">
        <v>175</v>
      </c>
      <c r="C17" s="21"/>
      <c r="D17" s="259"/>
      <c r="E17" s="154" t="s">
        <v>48</v>
      </c>
      <c r="F17" s="229">
        <v>0</v>
      </c>
      <c r="G17" s="147">
        <v>0</v>
      </c>
      <c r="H17" s="155">
        <v>0</v>
      </c>
      <c r="I17" s="168">
        <f t="shared" si="1"/>
        <v>0</v>
      </c>
      <c r="J17" s="168">
        <f t="shared" si="0"/>
        <v>0</v>
      </c>
      <c r="K17" s="5"/>
      <c r="L17" s="55"/>
      <c r="M17" s="180"/>
      <c r="N17" s="55"/>
      <c r="O17" s="55"/>
      <c r="P17" s="262" t="s">
        <v>222</v>
      </c>
      <c r="Q17" s="55"/>
      <c r="R17" s="55"/>
      <c r="S17" s="55"/>
    </row>
    <row r="18" spans="1:19" ht="15.75">
      <c r="A18" s="258"/>
      <c r="B18" s="226"/>
      <c r="C18" s="227" t="s">
        <v>212</v>
      </c>
      <c r="D18" s="20"/>
      <c r="E18" s="154" t="s">
        <v>48</v>
      </c>
      <c r="F18" s="229">
        <v>0</v>
      </c>
      <c r="G18" s="147">
        <v>0</v>
      </c>
      <c r="H18" s="155">
        <v>0</v>
      </c>
      <c r="I18" s="168">
        <f t="shared" si="1"/>
        <v>0</v>
      </c>
      <c r="J18" s="168">
        <f t="shared" si="0"/>
        <v>0</v>
      </c>
      <c r="K18" s="5"/>
      <c r="L18" s="55"/>
      <c r="M18" s="180"/>
      <c r="N18" s="223" t="s">
        <v>212</v>
      </c>
      <c r="O18" s="277">
        <v>0.024038461538461543</v>
      </c>
      <c r="P18" s="263">
        <f>2000*O18</f>
        <v>48.07692307692309</v>
      </c>
      <c r="Q18" s="55"/>
      <c r="R18" s="55"/>
      <c r="S18" s="55"/>
    </row>
    <row r="19" spans="1:19" ht="15.75">
      <c r="A19" s="258"/>
      <c r="B19" s="226"/>
      <c r="C19" s="227" t="s">
        <v>211</v>
      </c>
      <c r="D19" s="8"/>
      <c r="E19" s="154" t="s">
        <v>48</v>
      </c>
      <c r="F19" s="229">
        <v>0</v>
      </c>
      <c r="G19" s="147">
        <v>0</v>
      </c>
      <c r="H19" s="155">
        <v>0</v>
      </c>
      <c r="I19" s="168">
        <f t="shared" si="1"/>
        <v>0</v>
      </c>
      <c r="J19" s="168">
        <f t="shared" si="0"/>
        <v>0</v>
      </c>
      <c r="K19" s="5"/>
      <c r="L19" s="55"/>
      <c r="M19" s="180" t="s">
        <v>217</v>
      </c>
      <c r="N19" s="120">
        <f>2000*0.11</f>
        <v>220</v>
      </c>
      <c r="O19" s="264">
        <f>N19*$O$18</f>
        <v>5.288461538461539</v>
      </c>
      <c r="P19" s="55"/>
      <c r="Q19" s="55"/>
      <c r="R19" s="55"/>
      <c r="S19" s="55"/>
    </row>
    <row r="20" spans="1:19" ht="15.75">
      <c r="A20" s="258"/>
      <c r="B20" s="32" t="s">
        <v>199</v>
      </c>
      <c r="C20" s="7"/>
      <c r="D20" s="7"/>
      <c r="E20" s="154" t="s">
        <v>47</v>
      </c>
      <c r="F20" s="229">
        <v>0</v>
      </c>
      <c r="G20" s="147">
        <v>1</v>
      </c>
      <c r="H20" s="155">
        <v>1</v>
      </c>
      <c r="I20" s="168">
        <f t="shared" si="1"/>
        <v>0</v>
      </c>
      <c r="J20" s="168">
        <f t="shared" si="0"/>
        <v>0</v>
      </c>
      <c r="K20" s="5"/>
      <c r="L20" s="55"/>
      <c r="M20" s="180" t="s">
        <v>218</v>
      </c>
      <c r="N20" s="120">
        <f>2000*0.52</f>
        <v>1040</v>
      </c>
      <c r="O20" s="264">
        <f>N20*$O$18</f>
        <v>25.000000000000004</v>
      </c>
      <c r="P20" s="55"/>
      <c r="Q20" s="55"/>
      <c r="R20" s="55"/>
      <c r="S20" s="55"/>
    </row>
    <row r="21" spans="1:19" ht="15.75">
      <c r="A21" s="258"/>
      <c r="B21" s="32" t="s">
        <v>176</v>
      </c>
      <c r="C21" s="7"/>
      <c r="D21" s="7"/>
      <c r="E21" s="154" t="s">
        <v>47</v>
      </c>
      <c r="F21" s="229">
        <v>0</v>
      </c>
      <c r="G21" s="147">
        <v>1</v>
      </c>
      <c r="H21" s="155">
        <v>1</v>
      </c>
      <c r="I21" s="168">
        <f t="shared" si="1"/>
        <v>0</v>
      </c>
      <c r="J21" s="168">
        <f t="shared" si="0"/>
        <v>0</v>
      </c>
      <c r="K21" s="5"/>
      <c r="L21" s="55"/>
      <c r="M21" s="225" t="s">
        <v>219</v>
      </c>
      <c r="N21" s="121">
        <f>2000-(N19+N20)</f>
        <v>740</v>
      </c>
      <c r="O21" s="264">
        <f>N21*$O$18</f>
        <v>17.788461538461544</v>
      </c>
      <c r="P21" s="55"/>
      <c r="Q21" s="55"/>
      <c r="R21" s="55"/>
      <c r="S21" s="55"/>
    </row>
    <row r="22" spans="1:19" ht="15.75">
      <c r="A22" s="258"/>
      <c r="B22" s="32" t="s">
        <v>213</v>
      </c>
      <c r="C22" s="7"/>
      <c r="D22" s="7"/>
      <c r="E22" s="265"/>
      <c r="F22" s="266"/>
      <c r="G22" s="267"/>
      <c r="H22" s="268"/>
      <c r="I22" s="173"/>
      <c r="J22" s="173"/>
      <c r="K22" s="5"/>
      <c r="L22" s="55"/>
      <c r="M22" s="180" t="s">
        <v>223</v>
      </c>
      <c r="N22" s="120">
        <f>SUM(N19:N21)</f>
        <v>2000</v>
      </c>
      <c r="O22" s="55"/>
      <c r="P22" s="55"/>
      <c r="Q22" s="55"/>
      <c r="R22" s="55"/>
      <c r="S22" s="55"/>
    </row>
    <row r="23" spans="1:19" ht="15.75">
      <c r="A23" s="258"/>
      <c r="B23" s="6" t="s">
        <v>171</v>
      </c>
      <c r="C23" s="7"/>
      <c r="D23" s="7"/>
      <c r="E23" s="154" t="s">
        <v>46</v>
      </c>
      <c r="F23" s="229">
        <f>(7706+6652+2221+385+333+111)/4500</f>
        <v>3.8684444444444446</v>
      </c>
      <c r="G23" s="147">
        <v>1</v>
      </c>
      <c r="H23" s="155">
        <v>1</v>
      </c>
      <c r="I23" s="168">
        <f>IF(F23&gt;100,F23*G23*H23,+F23*G23*H23*$D$7)*EnterP_Inv!$L$12</f>
        <v>0</v>
      </c>
      <c r="J23" s="168">
        <f>(IF(F23&gt;100,F23*G23*(1-H23),F23*G23*(1-H23)*$D$7))*EnterP_Inv!$L$12</f>
        <v>0</v>
      </c>
      <c r="K23" s="5"/>
      <c r="L23" s="55"/>
      <c r="M23" s="180" t="s">
        <v>224</v>
      </c>
      <c r="N23" s="276">
        <v>1100</v>
      </c>
      <c r="O23" s="55"/>
      <c r="P23" s="55"/>
      <c r="Q23" s="55"/>
      <c r="R23" s="55"/>
      <c r="S23" s="55"/>
    </row>
    <row r="24" spans="1:19" ht="15.75">
      <c r="A24" s="258"/>
      <c r="B24" s="6" t="s">
        <v>172</v>
      </c>
      <c r="C24" s="7"/>
      <c r="D24" s="7"/>
      <c r="E24" s="154" t="s">
        <v>46</v>
      </c>
      <c r="F24" s="229">
        <f>(1168+1911+947+1425)/4500</f>
        <v>1.2113333333333334</v>
      </c>
      <c r="G24" s="147">
        <v>1</v>
      </c>
      <c r="H24" s="155">
        <v>1</v>
      </c>
      <c r="I24" s="168">
        <f>IF(F24&gt;100,F24*G24*H24,+F24*G24*H24*$D$7)</f>
        <v>0</v>
      </c>
      <c r="J24" s="168">
        <f>IF(F24&gt;100,F24*G24*(1-H24),F24*G24*(1-H24)*$D$7)</f>
        <v>0</v>
      </c>
      <c r="K24" s="5"/>
      <c r="L24" s="55"/>
      <c r="M24" s="55"/>
      <c r="N24" s="224">
        <f>N23/2000</f>
        <v>0.55</v>
      </c>
      <c r="O24" s="180" t="s">
        <v>225</v>
      </c>
      <c r="P24" s="55"/>
      <c r="Q24" s="55"/>
      <c r="R24" s="55"/>
      <c r="S24" s="55"/>
    </row>
    <row r="25" spans="1:19" ht="15.75">
      <c r="A25" s="258"/>
      <c r="B25" s="32" t="s">
        <v>177</v>
      </c>
      <c r="C25" s="7"/>
      <c r="D25" s="7"/>
      <c r="E25" s="265"/>
      <c r="F25" s="266"/>
      <c r="G25" s="267"/>
      <c r="H25" s="268"/>
      <c r="I25" s="173"/>
      <c r="J25" s="173"/>
      <c r="K25" s="5"/>
      <c r="L25" s="55"/>
      <c r="M25" s="180"/>
      <c r="N25" s="55"/>
      <c r="O25" s="55"/>
      <c r="P25" s="55"/>
      <c r="Q25" s="55"/>
      <c r="R25" s="55"/>
      <c r="S25" s="55"/>
    </row>
    <row r="26" spans="1:19" ht="15.75">
      <c r="A26" s="258"/>
      <c r="B26" s="6" t="s">
        <v>171</v>
      </c>
      <c r="C26" s="7"/>
      <c r="D26" s="7"/>
      <c r="E26" s="154" t="s">
        <v>46</v>
      </c>
      <c r="F26" s="229">
        <f>(2700+135+6738+2166+337+108)/4500</f>
        <v>2.7075555555555555</v>
      </c>
      <c r="G26" s="147">
        <v>1</v>
      </c>
      <c r="H26" s="155">
        <v>1</v>
      </c>
      <c r="I26" s="168">
        <f>IF(F26&gt;100,F26*G26*H26,+F26*G26*H26*$D$7)*EnterP_Inv!$L$12</f>
        <v>0</v>
      </c>
      <c r="J26" s="168">
        <f>(IF(F26&gt;100,F26*G26*(1-H26),F26*G26*(1-H26)*$D$7))*EnterP_Inv!$L$12</f>
        <v>0</v>
      </c>
      <c r="K26" s="5"/>
      <c r="L26" s="55"/>
      <c r="M26" s="180"/>
      <c r="N26" s="55"/>
      <c r="O26" s="55"/>
      <c r="P26" s="55"/>
      <c r="Q26" s="55"/>
      <c r="R26" s="55"/>
      <c r="S26" s="55"/>
    </row>
    <row r="27" spans="1:19" ht="15.75">
      <c r="A27" s="258"/>
      <c r="B27" s="6" t="s">
        <v>172</v>
      </c>
      <c r="C27" s="7"/>
      <c r="D27" s="7"/>
      <c r="E27" s="154" t="s">
        <v>46</v>
      </c>
      <c r="F27" s="229">
        <f>(4957+7643+2917+804)/4500</f>
        <v>3.626888888888889</v>
      </c>
      <c r="G27" s="147">
        <v>1</v>
      </c>
      <c r="H27" s="155">
        <v>1</v>
      </c>
      <c r="I27" s="168">
        <f>IF(F27&gt;100,F27*G27*H27,+F27*G27*H27*$D$7)</f>
        <v>0</v>
      </c>
      <c r="J27" s="168">
        <f>IF(F27&gt;100,F27*G27*(1-H27),F27*G27*(1-H27)*$D$7)</f>
        <v>0</v>
      </c>
      <c r="K27" s="5"/>
      <c r="L27" s="55"/>
      <c r="M27" s="180"/>
      <c r="N27" s="125" t="s">
        <v>211</v>
      </c>
      <c r="O27" s="55"/>
      <c r="P27" s="55"/>
      <c r="Q27" s="55"/>
      <c r="R27" s="55"/>
      <c r="S27" s="55"/>
    </row>
    <row r="28" spans="1:19" ht="15.75">
      <c r="A28" s="258"/>
      <c r="B28" s="32" t="s">
        <v>178</v>
      </c>
      <c r="C28" s="7"/>
      <c r="D28" s="7"/>
      <c r="E28" s="265"/>
      <c r="F28" s="266" t="s">
        <v>49</v>
      </c>
      <c r="G28" s="267"/>
      <c r="H28" s="268"/>
      <c r="I28" s="173"/>
      <c r="J28" s="173"/>
      <c r="K28" s="5"/>
      <c r="L28" s="55"/>
      <c r="M28" s="180"/>
      <c r="N28" s="120">
        <f>2000*0.46</f>
        <v>920</v>
      </c>
      <c r="O28" s="55" t="s">
        <v>216</v>
      </c>
      <c r="P28" s="55"/>
      <c r="Q28" s="55"/>
      <c r="R28" s="55"/>
      <c r="S28" s="55"/>
    </row>
    <row r="29" spans="1:19" ht="15.75">
      <c r="A29" s="258"/>
      <c r="B29" s="6" t="s">
        <v>185</v>
      </c>
      <c r="C29" s="7"/>
      <c r="D29" s="7"/>
      <c r="E29" s="154" t="s">
        <v>50</v>
      </c>
      <c r="F29" s="229">
        <v>0</v>
      </c>
      <c r="G29" s="147">
        <v>0</v>
      </c>
      <c r="H29" s="155">
        <v>1</v>
      </c>
      <c r="I29" s="168">
        <f>F29*G29*H29*$D$7</f>
        <v>0</v>
      </c>
      <c r="J29" s="168">
        <f>F29*G29*(1-H29)*$D$7</f>
        <v>0</v>
      </c>
      <c r="K29" s="5"/>
      <c r="L29" s="55"/>
      <c r="M29" s="180"/>
      <c r="N29" s="276">
        <v>600</v>
      </c>
      <c r="O29" s="55" t="s">
        <v>226</v>
      </c>
      <c r="P29" s="55"/>
      <c r="Q29" s="55"/>
      <c r="R29" s="55"/>
      <c r="S29" s="55"/>
    </row>
    <row r="30" spans="1:19" ht="15.75">
      <c r="A30" s="258"/>
      <c r="B30" s="6" t="s">
        <v>186</v>
      </c>
      <c r="C30" s="7"/>
      <c r="D30" s="7"/>
      <c r="E30" s="154" t="s">
        <v>50</v>
      </c>
      <c r="F30" s="229">
        <v>0</v>
      </c>
      <c r="G30" s="147">
        <v>0</v>
      </c>
      <c r="H30" s="155">
        <v>1</v>
      </c>
      <c r="I30" s="168">
        <f>F30*G30*H30*$D$7</f>
        <v>0</v>
      </c>
      <c r="J30" s="168">
        <f>F30*G30*(1-H30)*$D$7</f>
        <v>0</v>
      </c>
      <c r="K30" s="5"/>
      <c r="L30" s="55"/>
      <c r="M30" s="180"/>
      <c r="N30" s="224">
        <f>N29/920</f>
        <v>0.6521739130434783</v>
      </c>
      <c r="O30" s="55" t="s">
        <v>227</v>
      </c>
      <c r="P30" s="55"/>
      <c r="Q30" s="55"/>
      <c r="R30" s="55"/>
      <c r="S30" s="55"/>
    </row>
    <row r="31" spans="1:19" ht="15.75">
      <c r="A31" s="258"/>
      <c r="B31" s="6" t="s">
        <v>187</v>
      </c>
      <c r="C31" s="7"/>
      <c r="D31" s="7"/>
      <c r="E31" s="154" t="s">
        <v>50</v>
      </c>
      <c r="F31" s="229">
        <v>0</v>
      </c>
      <c r="G31" s="147">
        <v>0</v>
      </c>
      <c r="H31" s="177">
        <v>1</v>
      </c>
      <c r="I31" s="181">
        <f>F31*G31*H31*$D$7</f>
        <v>0</v>
      </c>
      <c r="J31" s="182">
        <f>F31*G31*(1-H31)*$D$7</f>
        <v>0</v>
      </c>
      <c r="K31" s="5"/>
      <c r="L31" s="55"/>
      <c r="M31" s="55"/>
      <c r="N31" s="55"/>
      <c r="O31" s="55"/>
      <c r="P31" s="55"/>
      <c r="Q31" s="55"/>
      <c r="R31" s="55"/>
      <c r="S31" s="55"/>
    </row>
    <row r="32" spans="1:19" ht="15.75">
      <c r="A32" s="258"/>
      <c r="B32" s="32" t="s">
        <v>179</v>
      </c>
      <c r="C32" s="7"/>
      <c r="D32" s="7"/>
      <c r="E32" s="174"/>
      <c r="F32" s="231" t="s">
        <v>49</v>
      </c>
      <c r="G32" s="174"/>
      <c r="H32" s="176"/>
      <c r="I32" s="176"/>
      <c r="J32" s="176"/>
      <c r="K32" s="5"/>
      <c r="L32" s="55"/>
      <c r="M32" s="55"/>
      <c r="N32" s="55"/>
      <c r="O32" s="55"/>
      <c r="P32" s="55"/>
      <c r="Q32" s="55"/>
      <c r="R32" s="55"/>
      <c r="S32" s="55"/>
    </row>
    <row r="33" spans="1:19" ht="15.75">
      <c r="A33" s="258"/>
      <c r="B33" s="6" t="s">
        <v>180</v>
      </c>
      <c r="C33" s="7"/>
      <c r="D33" s="7"/>
      <c r="E33" s="154" t="s">
        <v>50</v>
      </c>
      <c r="F33" s="229">
        <v>0</v>
      </c>
      <c r="G33" s="147">
        <v>1</v>
      </c>
      <c r="H33" s="176"/>
      <c r="I33" s="176"/>
      <c r="J33" s="168">
        <f>F33*G33*$D$7</f>
        <v>0</v>
      </c>
      <c r="K33" s="5"/>
      <c r="L33" s="55"/>
      <c r="M33" s="55"/>
      <c r="N33" s="55"/>
      <c r="O33" s="55"/>
      <c r="P33" s="55"/>
      <c r="Q33" s="55"/>
      <c r="R33" s="55"/>
      <c r="S33" s="55"/>
    </row>
    <row r="34" spans="1:19" ht="15.75">
      <c r="A34" s="258"/>
      <c r="B34" s="6" t="s">
        <v>181</v>
      </c>
      <c r="C34" s="7"/>
      <c r="D34" s="7"/>
      <c r="E34" s="154" t="s">
        <v>50</v>
      </c>
      <c r="F34" s="229">
        <v>10</v>
      </c>
      <c r="G34" s="147">
        <v>0.4</v>
      </c>
      <c r="H34" s="176"/>
      <c r="I34" s="175">
        <f>F34*G34*$D$7</f>
        <v>0</v>
      </c>
      <c r="J34" s="176"/>
      <c r="K34" s="5"/>
      <c r="L34" s="55"/>
      <c r="M34" s="55"/>
      <c r="N34" s="55"/>
      <c r="O34" s="55"/>
      <c r="P34" s="55"/>
      <c r="Q34" s="55"/>
      <c r="R34" s="55"/>
      <c r="S34" s="55"/>
    </row>
    <row r="35" spans="1:19" ht="15.75">
      <c r="A35" s="258"/>
      <c r="B35" s="6" t="s">
        <v>182</v>
      </c>
      <c r="C35" s="7"/>
      <c r="D35" s="7"/>
      <c r="E35" s="154" t="s">
        <v>50</v>
      </c>
      <c r="F35" s="229">
        <v>0</v>
      </c>
      <c r="G35" s="147">
        <v>0.25</v>
      </c>
      <c r="H35" s="176"/>
      <c r="I35" s="175">
        <f>F35*G35*$D$7</f>
        <v>0</v>
      </c>
      <c r="J35" s="176"/>
      <c r="K35" s="5"/>
      <c r="L35" s="55"/>
      <c r="M35" s="55"/>
      <c r="N35" s="55"/>
      <c r="O35" s="55"/>
      <c r="P35" s="55"/>
      <c r="Q35" s="55"/>
      <c r="R35" s="55"/>
      <c r="S35" s="55"/>
    </row>
    <row r="36" spans="1:19" ht="15.75">
      <c r="A36" s="258"/>
      <c r="B36" s="6" t="s">
        <v>183</v>
      </c>
      <c r="C36" s="7"/>
      <c r="D36" s="7"/>
      <c r="E36" s="154" t="s">
        <v>50</v>
      </c>
      <c r="F36" s="229">
        <v>0</v>
      </c>
      <c r="G36" s="147">
        <v>1</v>
      </c>
      <c r="H36" s="176"/>
      <c r="I36" s="175">
        <f>F36*G36*$D$7</f>
        <v>0</v>
      </c>
      <c r="J36" s="176"/>
      <c r="K36" s="5"/>
      <c r="L36" s="55"/>
      <c r="M36" s="55"/>
      <c r="N36" s="55"/>
      <c r="O36" s="55"/>
      <c r="P36" s="55"/>
      <c r="Q36" s="55"/>
      <c r="R36" s="55"/>
      <c r="S36" s="55"/>
    </row>
    <row r="37" spans="1:19" ht="15.75">
      <c r="A37" s="258"/>
      <c r="B37" s="228" t="s">
        <v>200</v>
      </c>
      <c r="C37" s="21"/>
      <c r="D37" s="7"/>
      <c r="E37" s="154" t="s">
        <v>47</v>
      </c>
      <c r="F37" s="229">
        <v>0</v>
      </c>
      <c r="G37" s="147">
        <v>1</v>
      </c>
      <c r="H37" s="155">
        <v>1</v>
      </c>
      <c r="I37" s="168">
        <f>F37*G37*H37*$D$7</f>
        <v>0</v>
      </c>
      <c r="J37" s="168">
        <f>F37*G37*(1-H37)*$D$7</f>
        <v>0</v>
      </c>
      <c r="K37" s="5"/>
      <c r="L37" s="55"/>
      <c r="M37" s="55"/>
      <c r="N37" s="55"/>
      <c r="O37" s="55"/>
      <c r="P37" s="55"/>
      <c r="Q37" s="55"/>
      <c r="R37" s="55"/>
      <c r="S37" s="55"/>
    </row>
    <row r="38" spans="1:19" ht="15.75">
      <c r="A38" s="258"/>
      <c r="B38" s="228" t="s">
        <v>201</v>
      </c>
      <c r="C38" s="21"/>
      <c r="D38" s="7"/>
      <c r="E38" s="154" t="s">
        <v>47</v>
      </c>
      <c r="F38" s="229">
        <v>0</v>
      </c>
      <c r="G38" s="147">
        <v>1</v>
      </c>
      <c r="H38" s="155">
        <v>1</v>
      </c>
      <c r="I38" s="168">
        <f>F38*G38*H38*$D$7</f>
        <v>0</v>
      </c>
      <c r="J38" s="168">
        <f>F38*G38*(1-H38)*$D$7</f>
        <v>0</v>
      </c>
      <c r="K38" s="5"/>
      <c r="L38" s="55"/>
      <c r="M38" s="55"/>
      <c r="N38" s="55"/>
      <c r="O38" s="55"/>
      <c r="P38" s="55"/>
      <c r="Q38" s="55"/>
      <c r="R38" s="55"/>
      <c r="S38" s="55"/>
    </row>
    <row r="39" spans="1:19" ht="15.75">
      <c r="A39" s="258"/>
      <c r="B39" s="32" t="s">
        <v>184</v>
      </c>
      <c r="C39" s="7"/>
      <c r="D39" s="7"/>
      <c r="E39" s="154" t="s">
        <v>51</v>
      </c>
      <c r="F39" s="176"/>
      <c r="G39" s="176"/>
      <c r="H39" s="176"/>
      <c r="I39" s="168">
        <f>(SUM(I12:I31)+I37+I38)*EnterP_Inv!$C$17/12*$F$40</f>
        <v>0</v>
      </c>
      <c r="J39" s="168">
        <f>(SUM(J12:J31)+J37+J38)*EnterP_Inv!$C$17/12*$F$40</f>
        <v>0</v>
      </c>
      <c r="K39" s="5"/>
      <c r="L39" s="55"/>
      <c r="M39" s="55"/>
      <c r="N39" s="55"/>
      <c r="O39" s="55"/>
      <c r="P39" s="55"/>
      <c r="Q39" s="55"/>
      <c r="R39" s="55"/>
      <c r="S39" s="55"/>
    </row>
    <row r="40" spans="1:19" ht="15.75">
      <c r="A40" s="258"/>
      <c r="B40" s="6" t="s">
        <v>192</v>
      </c>
      <c r="C40" s="7"/>
      <c r="D40" s="7"/>
      <c r="E40" s="176"/>
      <c r="F40" s="147">
        <v>6</v>
      </c>
      <c r="G40" s="176"/>
      <c r="H40" s="176"/>
      <c r="I40" s="178"/>
      <c r="J40" s="179"/>
      <c r="K40" s="5"/>
      <c r="L40" s="55"/>
      <c r="M40" s="55"/>
      <c r="N40" s="55"/>
      <c r="O40" s="55"/>
      <c r="P40" s="55"/>
      <c r="Q40" s="55"/>
      <c r="R40" s="55"/>
      <c r="S40" s="55"/>
    </row>
    <row r="41" spans="1:19" ht="18.75">
      <c r="A41" s="258"/>
      <c r="B41" s="150" t="s">
        <v>194</v>
      </c>
      <c r="C41" s="10"/>
      <c r="D41" s="10"/>
      <c r="E41" s="174"/>
      <c r="F41" s="174"/>
      <c r="G41" s="174"/>
      <c r="H41" s="174"/>
      <c r="I41" s="176"/>
      <c r="J41" s="176"/>
      <c r="K41" s="5"/>
      <c r="L41" s="55"/>
      <c r="M41" s="55"/>
      <c r="N41" s="55"/>
      <c r="O41" s="55"/>
      <c r="P41" s="55"/>
      <c r="Q41" s="55"/>
      <c r="R41" s="55"/>
      <c r="S41" s="55"/>
    </row>
    <row r="42" spans="1:19" ht="15.75">
      <c r="A42" s="258"/>
      <c r="B42" s="32" t="s">
        <v>188</v>
      </c>
      <c r="C42" s="7"/>
      <c r="D42" s="7"/>
      <c r="E42" s="265"/>
      <c r="F42" s="269"/>
      <c r="G42" s="267"/>
      <c r="H42" s="268"/>
      <c r="I42" s="173"/>
      <c r="J42" s="173"/>
      <c r="K42" s="5"/>
      <c r="L42" s="55"/>
      <c r="M42" s="55"/>
      <c r="N42" s="55"/>
      <c r="O42" s="55"/>
      <c r="P42" s="55"/>
      <c r="Q42" s="55"/>
      <c r="R42" s="55"/>
      <c r="S42" s="55"/>
    </row>
    <row r="43" spans="1:19" ht="15.75">
      <c r="A43" s="258"/>
      <c r="B43" s="6" t="s">
        <v>171</v>
      </c>
      <c r="C43" s="7"/>
      <c r="D43" s="7"/>
      <c r="E43" s="154" t="s">
        <v>47</v>
      </c>
      <c r="F43" s="229">
        <f>(10808+540)/4500</f>
        <v>2.521777777777778</v>
      </c>
      <c r="G43" s="147">
        <v>1</v>
      </c>
      <c r="H43" s="155">
        <v>1</v>
      </c>
      <c r="I43" s="168">
        <f>IF(F43&gt;100,F43*G43*H43,+F43*G43*H43*$D$7)*EnterP_Inv!$L$12</f>
        <v>0</v>
      </c>
      <c r="J43" s="168">
        <f>(IF(F43&gt;100,F43*G43*(1-H43),F43*G43*(1-H43)*$D$7))*EnterP_Inv!$L$12</f>
        <v>0</v>
      </c>
      <c r="K43" s="5"/>
      <c r="L43" s="55"/>
      <c r="M43" s="55"/>
      <c r="N43" s="55"/>
      <c r="O43" s="55"/>
      <c r="P43" s="55"/>
      <c r="Q43" s="55"/>
      <c r="R43" s="55"/>
      <c r="S43" s="55"/>
    </row>
    <row r="44" spans="1:19" ht="15.75">
      <c r="A44" s="258"/>
      <c r="B44" s="6" t="s">
        <v>172</v>
      </c>
      <c r="C44" s="7"/>
      <c r="D44" s="7"/>
      <c r="E44" s="154" t="s">
        <v>46</v>
      </c>
      <c r="F44" s="229">
        <f>14800/4500</f>
        <v>3.2888888888888888</v>
      </c>
      <c r="G44" s="147">
        <v>1</v>
      </c>
      <c r="H44" s="155">
        <v>1</v>
      </c>
      <c r="I44" s="168">
        <f>IF(F44&gt;100,F44*G44*H44,+F44*G44*H44*$D$7)</f>
        <v>0</v>
      </c>
      <c r="J44" s="168">
        <f>IF(F44&gt;100,F44*G44*(1-H44),F44*G44*(1-H44)*$D$7)</f>
        <v>0</v>
      </c>
      <c r="K44" s="5"/>
      <c r="L44" s="55"/>
      <c r="M44" s="55"/>
      <c r="N44" s="55"/>
      <c r="O44" s="55"/>
      <c r="P44" s="55"/>
      <c r="Q44" s="55"/>
      <c r="R44" s="55"/>
      <c r="S44" s="55"/>
    </row>
    <row r="45" spans="1:19" ht="15.75">
      <c r="A45" s="258"/>
      <c r="B45" s="6" t="s">
        <v>202</v>
      </c>
      <c r="C45" s="7"/>
      <c r="D45" s="7"/>
      <c r="E45" s="154" t="s">
        <v>46</v>
      </c>
      <c r="F45" s="229"/>
      <c r="G45" s="147">
        <v>1</v>
      </c>
      <c r="H45" s="155">
        <v>1</v>
      </c>
      <c r="I45" s="168">
        <f>IF(F45&gt;100,F45*G45*H45,+F45*G45*H45*$D$7)</f>
        <v>0</v>
      </c>
      <c r="J45" s="168">
        <f>IF(F45&gt;100,F45*G45*(1-H45),F45*G45*(1-H45)*$D$7)</f>
        <v>0</v>
      </c>
      <c r="K45" s="5"/>
      <c r="L45" s="55"/>
      <c r="M45" s="55"/>
      <c r="N45" s="55"/>
      <c r="O45" s="55"/>
      <c r="P45" s="55"/>
      <c r="Q45" s="55"/>
      <c r="R45" s="55"/>
      <c r="S45" s="55"/>
    </row>
    <row r="46" spans="1:19" ht="15.75">
      <c r="A46" s="258"/>
      <c r="B46" s="32" t="s">
        <v>189</v>
      </c>
      <c r="C46" s="7"/>
      <c r="D46" s="7"/>
      <c r="E46" s="265"/>
      <c r="F46" s="266"/>
      <c r="G46" s="267"/>
      <c r="H46" s="268"/>
      <c r="I46" s="173"/>
      <c r="J46" s="173"/>
      <c r="K46" s="5"/>
      <c r="L46" s="55"/>
      <c r="M46" s="55"/>
      <c r="N46" s="55"/>
      <c r="O46" s="55"/>
      <c r="P46" s="55"/>
      <c r="Q46" s="55"/>
      <c r="R46" s="55"/>
      <c r="S46" s="55"/>
    </row>
    <row r="47" spans="1:19" ht="15.75">
      <c r="A47" s="258"/>
      <c r="B47" s="6" t="s">
        <v>171</v>
      </c>
      <c r="C47" s="7"/>
      <c r="D47" s="7"/>
      <c r="E47" s="154" t="s">
        <v>47</v>
      </c>
      <c r="F47" s="229">
        <f>(8077+9387+337+469)/4500</f>
        <v>4.06</v>
      </c>
      <c r="G47" s="147">
        <v>1</v>
      </c>
      <c r="H47" s="155">
        <v>1</v>
      </c>
      <c r="I47" s="168">
        <f>IF(F47&gt;100,F47*G47*H47,+F47*G47*H47*$D$7)*EnterP_Inv!$L$12</f>
        <v>0</v>
      </c>
      <c r="J47" s="168">
        <f>(IF(F47&gt;100,F47*G47*(1-H47),F47*G47*(1-H47)*$D$7))*EnterP_Inv!$L$12</f>
        <v>0</v>
      </c>
      <c r="K47" s="5"/>
      <c r="L47" s="55"/>
      <c r="M47" s="55"/>
      <c r="N47" s="55"/>
      <c r="O47" s="55"/>
      <c r="P47" s="55"/>
      <c r="Q47" s="55"/>
      <c r="R47" s="55"/>
      <c r="S47" s="55"/>
    </row>
    <row r="48" spans="1:19" ht="15.75">
      <c r="A48" s="258"/>
      <c r="B48" s="6" t="s">
        <v>172</v>
      </c>
      <c r="C48" s="7"/>
      <c r="D48" s="7"/>
      <c r="E48" s="154" t="s">
        <v>46</v>
      </c>
      <c r="F48" s="229">
        <f>(1750+1426)/4500</f>
        <v>0.7057777777777777</v>
      </c>
      <c r="G48" s="147">
        <v>1</v>
      </c>
      <c r="H48" s="155">
        <v>1</v>
      </c>
      <c r="I48" s="168">
        <f>IF(F48&gt;100,F48*G48*H48,+F48*G48*H48*$D$7)</f>
        <v>0</v>
      </c>
      <c r="J48" s="168">
        <f>IF(F48&gt;100,F48*G48*(1-H48),F48*G48*(1-H48)*$D$7)</f>
        <v>0</v>
      </c>
      <c r="K48" s="5"/>
      <c r="L48" s="55"/>
      <c r="M48" s="55"/>
      <c r="N48" s="55"/>
      <c r="O48" s="55"/>
      <c r="P48" s="55"/>
      <c r="Q48" s="55"/>
      <c r="R48" s="55"/>
      <c r="S48" s="55"/>
    </row>
    <row r="49" spans="1:19" ht="15.75">
      <c r="A49" s="258"/>
      <c r="B49" s="6" t="s">
        <v>203</v>
      </c>
      <c r="C49" s="7"/>
      <c r="D49" s="7"/>
      <c r="E49" s="154" t="s">
        <v>46</v>
      </c>
      <c r="F49" s="229"/>
      <c r="G49" s="147">
        <v>1</v>
      </c>
      <c r="H49" s="155">
        <v>1</v>
      </c>
      <c r="I49" s="168">
        <f>IF(F49&gt;100,F49*G49*H49,+F49*G49*H49*$D$7)</f>
        <v>0</v>
      </c>
      <c r="J49" s="168">
        <f>IF(F49&gt;100,F49*G49*(1-H49),F49*G49*(1-H49)*$D$7)</f>
        <v>0</v>
      </c>
      <c r="K49" s="5"/>
      <c r="L49" s="55"/>
      <c r="M49" s="55"/>
      <c r="N49" s="55"/>
      <c r="O49" s="55"/>
      <c r="P49" s="55"/>
      <c r="Q49" s="55"/>
      <c r="R49" s="55"/>
      <c r="S49" s="55"/>
    </row>
    <row r="50" spans="1:19" ht="15.75">
      <c r="A50" s="258"/>
      <c r="B50" s="32" t="s">
        <v>190</v>
      </c>
      <c r="C50" s="7"/>
      <c r="D50" s="7"/>
      <c r="E50" s="154" t="s">
        <v>51</v>
      </c>
      <c r="F50" s="176"/>
      <c r="G50" s="176"/>
      <c r="H50" s="176"/>
      <c r="I50" s="169">
        <f>SUM(I42:I48)*EnterP_Inv!$C$17/12*$F$51</f>
        <v>0</v>
      </c>
      <c r="J50" s="169">
        <f>SUM(J42:J48)*EnterP_Inv!$C$17/12*$F$51</f>
        <v>0</v>
      </c>
      <c r="K50" s="5"/>
      <c r="L50" s="55"/>
      <c r="M50" s="55"/>
      <c r="N50" s="55"/>
      <c r="O50" s="55"/>
      <c r="P50" s="55"/>
      <c r="Q50" s="55"/>
      <c r="R50" s="55"/>
      <c r="S50" s="55"/>
    </row>
    <row r="51" spans="1:19" ht="15.75">
      <c r="A51" s="258"/>
      <c r="B51" s="153" t="s">
        <v>191</v>
      </c>
      <c r="C51" s="7"/>
      <c r="D51" s="7"/>
      <c r="E51" s="176"/>
      <c r="F51" s="147">
        <v>1</v>
      </c>
      <c r="G51" s="176"/>
      <c r="H51" s="178"/>
      <c r="I51" s="176"/>
      <c r="J51" s="176"/>
      <c r="K51" s="5"/>
      <c r="L51" s="55"/>
      <c r="M51" s="55"/>
      <c r="N51" s="55"/>
      <c r="O51" s="55"/>
      <c r="P51" s="55"/>
      <c r="Q51" s="55"/>
      <c r="R51" s="55"/>
      <c r="S51" s="55"/>
    </row>
    <row r="52" spans="1:19" ht="15.75">
      <c r="A52" s="258"/>
      <c r="B52" s="270"/>
      <c r="C52" s="151" t="s">
        <v>146</v>
      </c>
      <c r="D52" s="149" t="str">
        <f>J3</f>
        <v>Not Used</v>
      </c>
      <c r="E52" s="152" t="s">
        <v>26</v>
      </c>
      <c r="F52" s="152"/>
      <c r="G52" s="152"/>
      <c r="H52" s="270"/>
      <c r="I52" s="222">
        <f>SUM(I12:I50)</f>
        <v>0</v>
      </c>
      <c r="J52" s="222">
        <f>SUM(J12:J50)</f>
        <v>0</v>
      </c>
      <c r="K52" s="5"/>
      <c r="L52" s="55"/>
      <c r="M52" s="55"/>
      <c r="N52" s="55"/>
      <c r="O52" s="55"/>
      <c r="P52" s="55"/>
      <c r="Q52" s="55"/>
      <c r="R52" s="55"/>
      <c r="S52" s="55"/>
    </row>
    <row r="53" spans="1:19" ht="15.75">
      <c r="A53" s="258"/>
      <c r="B53" s="7"/>
      <c r="C53" s="7"/>
      <c r="D53" s="7"/>
      <c r="E53" s="7"/>
      <c r="F53" s="7"/>
      <c r="G53" s="7"/>
      <c r="H53" s="218" t="s">
        <v>215</v>
      </c>
      <c r="I53" s="219">
        <f>IF(D7=0,0,I52/D7)</f>
        <v>0</v>
      </c>
      <c r="J53" s="221">
        <f>IF(D7=0,0,J52/D7)</f>
        <v>0</v>
      </c>
      <c r="K53" s="1"/>
      <c r="L53" s="55"/>
      <c r="M53" s="55"/>
      <c r="N53" s="55"/>
      <c r="O53" s="55"/>
      <c r="P53" s="55"/>
      <c r="Q53" s="55"/>
      <c r="R53" s="55"/>
      <c r="S53" s="55"/>
    </row>
    <row r="54" spans="1:19" ht="15.75">
      <c r="A54" s="258"/>
      <c r="B54" s="55"/>
      <c r="C54" s="55"/>
      <c r="D54" s="55"/>
      <c r="E54" s="55"/>
      <c r="F54" s="55"/>
      <c r="G54" s="7"/>
      <c r="H54" s="7"/>
      <c r="I54" s="220" t="s">
        <v>214</v>
      </c>
      <c r="J54" s="219">
        <f>I53+J53</f>
        <v>0</v>
      </c>
      <c r="K54" s="1"/>
      <c r="L54" s="55"/>
      <c r="M54" s="55"/>
      <c r="N54" s="55"/>
      <c r="O54" s="55"/>
      <c r="P54" s="55"/>
      <c r="Q54" s="55"/>
      <c r="R54" s="55"/>
      <c r="S54" s="55"/>
    </row>
    <row r="55" spans="1:19" ht="15.75">
      <c r="A55" s="258"/>
      <c r="B55" s="55"/>
      <c r="C55" s="55"/>
      <c r="D55" s="55"/>
      <c r="E55" s="55"/>
      <c r="F55" s="55"/>
      <c r="G55" s="55"/>
      <c r="H55" s="55"/>
      <c r="I55" s="55"/>
      <c r="J55" s="55"/>
      <c r="K55" s="1"/>
      <c r="L55" s="55"/>
      <c r="M55" s="55"/>
      <c r="N55" s="55"/>
      <c r="O55" s="55"/>
      <c r="P55" s="55"/>
      <c r="Q55" s="55"/>
      <c r="R55" s="55"/>
      <c r="S55" s="55"/>
    </row>
    <row r="56" spans="1:19" ht="15.75">
      <c r="A56" s="258"/>
      <c r="B56" s="55"/>
      <c r="C56" s="55"/>
      <c r="D56" s="55"/>
      <c r="E56" s="55"/>
      <c r="F56" s="55"/>
      <c r="G56" s="55"/>
      <c r="H56" s="55"/>
      <c r="I56" s="55"/>
      <c r="J56" s="55"/>
      <c r="K56" s="55"/>
      <c r="L56" s="55"/>
      <c r="M56" s="55"/>
      <c r="N56" s="55"/>
      <c r="O56" s="55"/>
      <c r="P56" s="55"/>
      <c r="Q56" s="55"/>
      <c r="R56" s="55"/>
      <c r="S56" s="55"/>
    </row>
    <row r="57" spans="1:19" ht="15.75">
      <c r="A57" s="258"/>
      <c r="B57" s="55"/>
      <c r="C57" s="55"/>
      <c r="D57" s="55"/>
      <c r="E57" s="55"/>
      <c r="F57" s="55"/>
      <c r="G57" s="55"/>
      <c r="H57" s="55"/>
      <c r="I57" s="55"/>
      <c r="J57" s="55"/>
      <c r="K57" s="55"/>
      <c r="L57" s="55"/>
      <c r="M57" s="55"/>
      <c r="N57" s="55"/>
      <c r="O57" s="55"/>
      <c r="P57" s="55"/>
      <c r="Q57" s="55"/>
      <c r="R57" s="55"/>
      <c r="S57" s="55"/>
    </row>
    <row r="58" spans="1:19" ht="15.75">
      <c r="A58" s="258"/>
      <c r="B58" s="55"/>
      <c r="C58" s="55"/>
      <c r="D58" s="55"/>
      <c r="E58" s="55"/>
      <c r="F58" s="55"/>
      <c r="G58" s="55"/>
      <c r="H58" s="55"/>
      <c r="I58" s="55"/>
      <c r="J58" s="55"/>
      <c r="K58" s="55"/>
      <c r="L58" s="55"/>
      <c r="M58" s="55"/>
      <c r="N58" s="55"/>
      <c r="O58" s="55"/>
      <c r="P58" s="55"/>
      <c r="Q58" s="55"/>
      <c r="R58" s="55"/>
      <c r="S58" s="55"/>
    </row>
    <row r="59" spans="1:19" ht="15.75">
      <c r="A59" s="258"/>
      <c r="B59" s="55"/>
      <c r="C59" s="55"/>
      <c r="D59" s="55"/>
      <c r="E59" s="55"/>
      <c r="F59" s="55"/>
      <c r="G59" s="55"/>
      <c r="H59" s="55"/>
      <c r="I59" s="55"/>
      <c r="J59" s="55"/>
      <c r="K59" s="55"/>
      <c r="L59" s="55"/>
      <c r="M59" s="55"/>
      <c r="N59" s="55"/>
      <c r="O59" s="55"/>
      <c r="P59" s="55"/>
      <c r="Q59" s="55"/>
      <c r="R59" s="55"/>
      <c r="S59" s="55"/>
    </row>
    <row r="60" spans="1:19" ht="15.75">
      <c r="A60" s="258"/>
      <c r="B60" s="55"/>
      <c r="C60" s="55"/>
      <c r="D60" s="55"/>
      <c r="E60" s="55"/>
      <c r="F60" s="55"/>
      <c r="G60" s="55"/>
      <c r="H60" s="55"/>
      <c r="I60" s="55"/>
      <c r="J60" s="55"/>
      <c r="K60" s="55"/>
      <c r="L60" s="55"/>
      <c r="M60" s="55"/>
      <c r="N60" s="55"/>
      <c r="O60" s="55"/>
      <c r="P60" s="55"/>
      <c r="Q60" s="55"/>
      <c r="R60" s="55"/>
      <c r="S60" s="55"/>
    </row>
    <row r="61" spans="1:19" ht="15.75">
      <c r="A61" s="258"/>
      <c r="B61" s="55"/>
      <c r="C61" s="55"/>
      <c r="D61" s="55"/>
      <c r="E61" s="55"/>
      <c r="F61" s="55"/>
      <c r="G61" s="55"/>
      <c r="H61" s="55"/>
      <c r="I61" s="55"/>
      <c r="J61" s="55"/>
      <c r="K61" s="55"/>
      <c r="L61" s="55"/>
      <c r="M61" s="55"/>
      <c r="N61" s="55"/>
      <c r="O61" s="55"/>
      <c r="P61" s="55"/>
      <c r="Q61" s="55"/>
      <c r="R61" s="55"/>
      <c r="S61" s="55"/>
    </row>
    <row r="62" spans="1:19" ht="15.75">
      <c r="A62" s="258"/>
      <c r="B62" s="55"/>
      <c r="C62" s="55"/>
      <c r="D62" s="55"/>
      <c r="E62" s="55"/>
      <c r="F62" s="55"/>
      <c r="G62" s="55"/>
      <c r="H62" s="55"/>
      <c r="I62" s="55"/>
      <c r="J62" s="55"/>
      <c r="K62" s="55"/>
      <c r="L62" s="55"/>
      <c r="M62" s="55"/>
      <c r="N62" s="55"/>
      <c r="O62" s="55"/>
      <c r="P62" s="55"/>
      <c r="Q62" s="55"/>
      <c r="R62" s="55"/>
      <c r="S62" s="55"/>
    </row>
    <row r="63" spans="1:19" ht="15.75">
      <c r="A63" s="258"/>
      <c r="B63" s="55"/>
      <c r="C63" s="55"/>
      <c r="D63" s="55"/>
      <c r="E63" s="55"/>
      <c r="F63" s="55"/>
      <c r="G63" s="55"/>
      <c r="H63" s="55"/>
      <c r="I63" s="55"/>
      <c r="J63" s="55"/>
      <c r="K63" s="55"/>
      <c r="L63" s="55"/>
      <c r="M63" s="55"/>
      <c r="N63" s="55"/>
      <c r="O63" s="55"/>
      <c r="P63" s="55"/>
      <c r="Q63" s="55"/>
      <c r="R63" s="55"/>
      <c r="S63" s="55"/>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71"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K46"/>
  <sheetViews>
    <sheetView showGridLines="0" zoomScalePageLayoutView="0" workbookViewId="0" topLeftCell="A1">
      <selection activeCell="B2" sqref="B2"/>
    </sheetView>
  </sheetViews>
  <sheetFormatPr defaultColWidth="8.796875" defaultRowHeight="15"/>
  <cols>
    <col min="1" max="1" width="4.09765625" style="132" customWidth="1"/>
    <col min="2" max="2" width="9.69921875" style="0" customWidth="1"/>
    <col min="7" max="7" width="14.19921875" style="0" customWidth="1"/>
    <col min="8" max="8" width="11.5" style="0" customWidth="1"/>
    <col min="9" max="9" width="14.3984375" style="0" customWidth="1"/>
  </cols>
  <sheetData>
    <row r="1" spans="1:11" ht="18.75">
      <c r="A1" s="196"/>
      <c r="B1" s="197"/>
      <c r="C1" s="197"/>
      <c r="D1" s="197"/>
      <c r="E1" s="197"/>
      <c r="F1" s="197"/>
      <c r="G1" s="197"/>
      <c r="H1" s="197"/>
      <c r="I1" s="197"/>
      <c r="J1" s="197"/>
      <c r="K1" s="58"/>
    </row>
    <row r="2" spans="1:11" ht="19.5" thickBot="1">
      <c r="A2" s="196"/>
      <c r="B2" s="197"/>
      <c r="C2" s="197"/>
      <c r="D2" s="198" t="str">
        <f>EnterP_Inv!C8</f>
        <v>Crop#1</v>
      </c>
      <c r="E2" s="198" t="str">
        <f>EnterP_Inv!D8</f>
        <v>Crop#2</v>
      </c>
      <c r="F2" s="198" t="str">
        <f>EnterP_Inv!E8</f>
        <v>Crop#3</v>
      </c>
      <c r="G2" s="198" t="str">
        <f>EnterP_Inv!F8</f>
        <v>Crop#4</v>
      </c>
      <c r="H2" s="198" t="str">
        <f>EnterP_Inv!G8</f>
        <v>Crop#5</v>
      </c>
      <c r="I2" s="198" t="str">
        <f>EnterP_Inv!H8</f>
        <v>Crop#6</v>
      </c>
      <c r="J2" s="197"/>
      <c r="K2" s="58"/>
    </row>
    <row r="3" spans="1:11" ht="15" customHeight="1">
      <c r="A3" s="196"/>
      <c r="B3" s="197"/>
      <c r="C3" s="197"/>
      <c r="D3" s="285" t="str">
        <f>EnterP_Inv!C9</f>
        <v>Winter Wheat</v>
      </c>
      <c r="E3" s="285" t="str">
        <f>EnterP_Inv!D9</f>
        <v>Spring Wheat</v>
      </c>
      <c r="F3" s="285" t="str">
        <f>EnterP_Inv!E9</f>
        <v>Durum</v>
      </c>
      <c r="G3" s="285" t="str">
        <f>EnterP_Inv!F9</f>
        <v>Malt Barley</v>
      </c>
      <c r="H3" s="285" t="str">
        <f>EnterP_Inv!G9</f>
        <v>Summer Fallow</v>
      </c>
      <c r="I3" s="285" t="str">
        <f>EnterP_Inv!H9</f>
        <v>Not Used</v>
      </c>
      <c r="J3" s="199" t="s">
        <v>4</v>
      </c>
      <c r="K3" s="58"/>
    </row>
    <row r="4" spans="1:11" ht="18.75">
      <c r="A4" s="196"/>
      <c r="B4" s="197"/>
      <c r="C4" s="197"/>
      <c r="D4" s="286"/>
      <c r="E4" s="286"/>
      <c r="F4" s="286"/>
      <c r="G4" s="286"/>
      <c r="H4" s="286"/>
      <c r="I4" s="286"/>
      <c r="J4" s="199" t="s">
        <v>26</v>
      </c>
      <c r="K4" s="58"/>
    </row>
    <row r="5" spans="1:11" ht="18.75">
      <c r="A5" s="196"/>
      <c r="B5" s="200"/>
      <c r="C5" s="201" t="str">
        <f>EnterP_Inv!B11</f>
        <v>Number of Acres</v>
      </c>
      <c r="D5" s="202">
        <f>EnterP_Inv!C11</f>
        <v>400</v>
      </c>
      <c r="E5" s="202">
        <f>EnterP_Inv!D11</f>
        <v>750</v>
      </c>
      <c r="F5" s="202">
        <f>EnterP_Inv!E11</f>
        <v>500</v>
      </c>
      <c r="G5" s="202">
        <f>EnterP_Inv!F11</f>
        <v>300</v>
      </c>
      <c r="H5" s="202">
        <f>EnterP_Inv!G11</f>
        <v>550</v>
      </c>
      <c r="I5" s="202">
        <f>EnterP_Inv!H11</f>
        <v>0</v>
      </c>
      <c r="J5" s="202">
        <f>EnterP_Inv!I11</f>
        <v>2500</v>
      </c>
      <c r="K5" s="58"/>
    </row>
    <row r="6" spans="1:11" ht="18.75">
      <c r="A6" s="196"/>
      <c r="B6" s="197"/>
      <c r="C6" s="197"/>
      <c r="D6" s="197"/>
      <c r="E6" s="197"/>
      <c r="F6" s="197"/>
      <c r="G6" s="197"/>
      <c r="H6" s="197"/>
      <c r="I6" s="197"/>
      <c r="J6" s="197"/>
      <c r="K6" s="58"/>
    </row>
    <row r="7" spans="2:11" ht="18.75">
      <c r="B7" s="203" t="s">
        <v>124</v>
      </c>
      <c r="C7" s="204"/>
      <c r="D7" s="204"/>
      <c r="E7" s="204"/>
      <c r="F7" s="204"/>
      <c r="G7" s="204"/>
      <c r="H7" s="204"/>
      <c r="I7" s="204"/>
      <c r="J7" s="58"/>
      <c r="K7" s="58"/>
    </row>
    <row r="8" spans="2:11" ht="18.75">
      <c r="B8" s="185"/>
      <c r="C8" s="185"/>
      <c r="D8" s="185"/>
      <c r="E8" s="185"/>
      <c r="F8" s="185"/>
      <c r="G8" s="185"/>
      <c r="H8" s="185"/>
      <c r="I8" s="185"/>
      <c r="J8" s="7"/>
      <c r="K8" s="58"/>
    </row>
    <row r="9" spans="2:11" ht="18.75">
      <c r="B9" s="185"/>
      <c r="C9" s="185"/>
      <c r="D9" s="185"/>
      <c r="E9" s="185"/>
      <c r="F9" s="185"/>
      <c r="G9" s="185"/>
      <c r="H9" s="192" t="s">
        <v>57</v>
      </c>
      <c r="I9" s="193" t="s">
        <v>58</v>
      </c>
      <c r="J9" s="58"/>
      <c r="K9" s="58"/>
    </row>
    <row r="10" spans="2:11" ht="18.75">
      <c r="B10" s="45" t="s">
        <v>234</v>
      </c>
      <c r="C10" s="185"/>
      <c r="D10" s="185"/>
      <c r="E10" s="185"/>
      <c r="F10" s="185"/>
      <c r="G10" s="185"/>
      <c r="H10" s="186">
        <f>EnterP_Inv!I59</f>
        <v>45150</v>
      </c>
      <c r="I10" s="186">
        <f>EnterP_Inv!J59</f>
        <v>68500</v>
      </c>
      <c r="J10" s="58"/>
      <c r="K10" s="58"/>
    </row>
    <row r="11" spans="2:11" ht="18.75">
      <c r="B11" s="45" t="s">
        <v>146</v>
      </c>
      <c r="C11" s="185"/>
      <c r="D11" s="185"/>
      <c r="E11" s="185" t="str">
        <f>D3</f>
        <v>Winter Wheat</v>
      </c>
      <c r="F11" s="185"/>
      <c r="G11" s="185"/>
      <c r="H11" s="186">
        <f>'Crop#1'!I52</f>
        <v>61997.06014814816</v>
      </c>
      <c r="I11" s="186">
        <f>'Crop#1'!J52</f>
        <v>8882.784</v>
      </c>
      <c r="J11" s="58"/>
      <c r="K11" s="58"/>
    </row>
    <row r="12" spans="2:11" ht="18.75">
      <c r="B12" s="45" t="s">
        <v>146</v>
      </c>
      <c r="C12" s="185"/>
      <c r="D12" s="185"/>
      <c r="E12" s="185" t="str">
        <f>E3</f>
        <v>Spring Wheat</v>
      </c>
      <c r="F12" s="185"/>
      <c r="G12" s="185"/>
      <c r="H12" s="186">
        <f>'Crop#2'!I52</f>
        <v>98289.82527777777</v>
      </c>
      <c r="I12" s="186">
        <f>'Crop#2'!J52</f>
        <v>10507.32</v>
      </c>
      <c r="J12" s="58"/>
      <c r="K12" s="58"/>
    </row>
    <row r="13" spans="2:11" ht="18.75">
      <c r="B13" s="45" t="s">
        <v>146</v>
      </c>
      <c r="C13" s="185"/>
      <c r="D13" s="185"/>
      <c r="E13" s="185" t="str">
        <f>F3</f>
        <v>Durum</v>
      </c>
      <c r="F13" s="185"/>
      <c r="G13" s="185"/>
      <c r="H13" s="186">
        <f>'Crop#3'!I52</f>
        <v>73165.77018518517</v>
      </c>
      <c r="I13" s="186">
        <f>'Crop#3'!J52</f>
        <v>10730.88</v>
      </c>
      <c r="J13" s="58"/>
      <c r="K13" s="58"/>
    </row>
    <row r="14" spans="2:11" ht="18.75">
      <c r="B14" s="45" t="s">
        <v>146</v>
      </c>
      <c r="C14" s="185"/>
      <c r="D14" s="185"/>
      <c r="E14" s="185" t="str">
        <f>G3</f>
        <v>Malt Barley</v>
      </c>
      <c r="F14" s="185"/>
      <c r="G14" s="185"/>
      <c r="H14" s="186">
        <f>'Crop#4'!I52</f>
        <v>30473.011333333336</v>
      </c>
      <c r="I14" s="186">
        <f>'Crop#4'!J52</f>
        <v>4426.488</v>
      </c>
      <c r="J14" s="58"/>
      <c r="K14" s="58"/>
    </row>
    <row r="15" spans="2:11" ht="18.75">
      <c r="B15" s="45" t="s">
        <v>146</v>
      </c>
      <c r="C15" s="185"/>
      <c r="D15" s="185"/>
      <c r="E15" s="185" t="str">
        <f>H3</f>
        <v>Summer Fallow</v>
      </c>
      <c r="F15" s="185"/>
      <c r="G15" s="185"/>
      <c r="H15" s="186">
        <f>'Crop#5'!I52</f>
        <v>25250.043703703705</v>
      </c>
      <c r="I15" s="186">
        <f>'Crop#5'!J52</f>
        <v>0</v>
      </c>
      <c r="J15" s="58"/>
      <c r="K15" s="58"/>
    </row>
    <row r="16" spans="2:11" ht="18.75">
      <c r="B16" s="45" t="s">
        <v>146</v>
      </c>
      <c r="C16" s="185"/>
      <c r="D16" s="185"/>
      <c r="E16" s="185" t="str">
        <f>I3</f>
        <v>Not Used</v>
      </c>
      <c r="F16" s="185"/>
      <c r="G16" s="185"/>
      <c r="H16" s="186">
        <f>'Crop#6'!I52</f>
        <v>0</v>
      </c>
      <c r="I16" s="186">
        <f>'Crop#6'!J52</f>
        <v>0</v>
      </c>
      <c r="J16" s="58"/>
      <c r="K16" s="58"/>
    </row>
    <row r="17" spans="2:11" ht="18.75">
      <c r="B17" s="185"/>
      <c r="C17" s="185"/>
      <c r="D17" s="185"/>
      <c r="E17" s="185"/>
      <c r="F17" s="185"/>
      <c r="G17" s="185"/>
      <c r="H17" s="186"/>
      <c r="I17" s="186"/>
      <c r="J17" s="58"/>
      <c r="K17" s="58"/>
    </row>
    <row r="18" spans="2:11" ht="18.75">
      <c r="B18" s="45" t="s">
        <v>59</v>
      </c>
      <c r="C18" s="185"/>
      <c r="D18" s="185"/>
      <c r="E18" s="185"/>
      <c r="F18" s="185"/>
      <c r="G18" s="185"/>
      <c r="H18" s="186">
        <f>SUM($H$10:$H$16)</f>
        <v>334325.7106481481</v>
      </c>
      <c r="I18" s="186">
        <f>SUM($I$10:$I$16)</f>
        <v>103047.472</v>
      </c>
      <c r="J18" s="58"/>
      <c r="K18" s="58"/>
    </row>
    <row r="19" spans="2:11" ht="18.75">
      <c r="B19" s="185"/>
      <c r="C19" s="185"/>
      <c r="D19" s="185"/>
      <c r="E19" s="185"/>
      <c r="F19" s="185"/>
      <c r="G19" s="185"/>
      <c r="H19" s="186"/>
      <c r="I19" s="186"/>
      <c r="J19" s="58"/>
      <c r="K19" s="58"/>
    </row>
    <row r="20" spans="2:11" ht="18.75">
      <c r="B20" s="45" t="s">
        <v>121</v>
      </c>
      <c r="C20" s="185"/>
      <c r="D20" s="185"/>
      <c r="E20" s="185"/>
      <c r="F20" s="185"/>
      <c r="G20" s="185"/>
      <c r="H20" s="186"/>
      <c r="I20" s="186">
        <f>H18+I18</f>
        <v>437373.1826481481</v>
      </c>
      <c r="J20" s="58"/>
      <c r="K20" s="58"/>
    </row>
    <row r="21" spans="2:11" ht="18.75">
      <c r="B21" s="185"/>
      <c r="C21" s="185"/>
      <c r="D21" s="185"/>
      <c r="E21" s="185"/>
      <c r="F21" s="185"/>
      <c r="G21" s="185"/>
      <c r="H21" s="185"/>
      <c r="I21" s="185"/>
      <c r="J21" s="58"/>
      <c r="K21" s="58"/>
    </row>
    <row r="22" spans="2:11" ht="18.75">
      <c r="B22" s="45" t="s">
        <v>60</v>
      </c>
      <c r="C22" s="185"/>
      <c r="D22" s="185"/>
      <c r="E22" s="185"/>
      <c r="F22" s="185"/>
      <c r="G22" s="185"/>
      <c r="H22" s="194">
        <f>H18/I20</f>
        <v>0.7643946266296391</v>
      </c>
      <c r="I22" s="194">
        <f>I18/I20</f>
        <v>0.23560537337036092</v>
      </c>
      <c r="J22" s="58"/>
      <c r="K22" s="58"/>
    </row>
    <row r="23" spans="2:11" ht="18.75">
      <c r="B23" s="185"/>
      <c r="C23" s="185"/>
      <c r="D23" s="185"/>
      <c r="E23" s="185"/>
      <c r="F23" s="185"/>
      <c r="G23" s="185"/>
      <c r="H23" s="185"/>
      <c r="I23" s="185"/>
      <c r="J23" s="58"/>
      <c r="K23" s="58"/>
    </row>
    <row r="24" spans="2:11" ht="18.75">
      <c r="B24" s="45" t="s">
        <v>61</v>
      </c>
      <c r="C24" s="185"/>
      <c r="D24" s="185"/>
      <c r="E24" s="185"/>
      <c r="F24" s="185"/>
      <c r="G24" s="185"/>
      <c r="H24" s="185"/>
      <c r="I24" s="185">
        <f>EnterP_Inv!I11</f>
        <v>2500</v>
      </c>
      <c r="J24" s="58"/>
      <c r="K24" s="58"/>
    </row>
    <row r="25" spans="2:11" ht="18.75">
      <c r="B25" s="183" t="s">
        <v>62</v>
      </c>
      <c r="C25" s="183"/>
      <c r="D25" s="183"/>
      <c r="E25" s="183"/>
      <c r="F25" s="183"/>
      <c r="G25" s="183"/>
      <c r="H25" s="183"/>
      <c r="I25" s="184">
        <f>EnterP_Inv!I15</f>
        <v>646020</v>
      </c>
      <c r="J25" s="58"/>
      <c r="K25" s="58"/>
    </row>
    <row r="26" spans="2:11" ht="18.75">
      <c r="B26" s="45" t="s">
        <v>63</v>
      </c>
      <c r="C26" s="185"/>
      <c r="D26" s="185"/>
      <c r="E26" s="185"/>
      <c r="F26" s="185"/>
      <c r="G26" s="185"/>
      <c r="H26" s="192" t="s">
        <v>57</v>
      </c>
      <c r="I26" s="193" t="s">
        <v>58</v>
      </c>
      <c r="J26" s="58"/>
      <c r="K26" s="58"/>
    </row>
    <row r="27" spans="2:11" ht="15.75">
      <c r="B27" s="6"/>
      <c r="C27" s="7"/>
      <c r="D27" s="7"/>
      <c r="E27" s="7"/>
      <c r="F27" s="7"/>
      <c r="G27" s="7"/>
      <c r="H27" s="125"/>
      <c r="I27" s="125"/>
      <c r="J27" s="58"/>
      <c r="K27" s="58"/>
    </row>
    <row r="28" spans="2:11" ht="18.75">
      <c r="B28" s="185" t="s">
        <v>140</v>
      </c>
      <c r="C28" s="185"/>
      <c r="D28" s="185"/>
      <c r="E28" s="185"/>
      <c r="F28" s="185"/>
      <c r="G28" s="185"/>
      <c r="H28" s="186">
        <f>I24*H29</f>
        <v>493814.21669527947</v>
      </c>
      <c r="I28" s="186">
        <f>I24*I29</f>
        <v>152205.78330472056</v>
      </c>
      <c r="J28" s="58"/>
      <c r="K28" s="58"/>
    </row>
    <row r="29" spans="2:11" ht="18.75">
      <c r="B29" s="45" t="s">
        <v>168</v>
      </c>
      <c r="C29" s="185"/>
      <c r="D29" s="185"/>
      <c r="E29" s="185"/>
      <c r="F29" s="185"/>
      <c r="G29" s="185"/>
      <c r="H29" s="187">
        <f>(EnterP_Inv!$C$11*(EnterP_Inv!$C$12*EnterP_Inv!$C$13+EnterP_Inv!$C$14)+EnterP_Inv!$D$11*(EnterP_Inv!$D$12*EnterP_Inv!$D$13+EnterP_Inv!$D$14)+EnterP_Inv!$E$11*(EnterP_Inv!$E$12*EnterP_Inv!$E$13+EnterP_Inv!$E$14)+EnterP_Inv!$F$11*(EnterP_Inv!$F$12*EnterP_Inv!$F$13+EnterP_Inv!$F$14)+EnterP_Inv!$G$11*(EnterP_Inv!$G$12*EnterP_Inv!$G$13+EnterP_Inv!$G$14)+EnterP_Inv!$H$11*(EnterP_Inv!$H$12*EnterP_Inv!$H$13+EnterP_Inv!$H$14))*H22/EnterP_Inv!$I$11</f>
        <v>197.52568667811178</v>
      </c>
      <c r="I29" s="187">
        <f>(EnterP_Inv!$C$11*(EnterP_Inv!$C$12*EnterP_Inv!$C$13+EnterP_Inv!$C$14)+EnterP_Inv!$D$11*(EnterP_Inv!$D$12*EnterP_Inv!$D$13+EnterP_Inv!$D$14)+EnterP_Inv!$E$11*(EnterP_Inv!$E$12*EnterP_Inv!$E$13+EnterP_Inv!$E$14)+EnterP_Inv!$F$11*(EnterP_Inv!$F$12*EnterP_Inv!$F$13+EnterP_Inv!$F$14)+EnterP_Inv!$G$11*(EnterP_Inv!$G$12*EnterP_Inv!$G$13+EnterP_Inv!$G$14)+EnterP_Inv!$H$11*(EnterP_Inv!$H$12*EnterP_Inv!$H$13+EnterP_Inv!$H$14))*I22/EnterP_Inv!$I$11</f>
        <v>60.882313321888226</v>
      </c>
      <c r="J29" s="58"/>
      <c r="K29" s="58"/>
    </row>
    <row r="30" spans="2:11" ht="18.75">
      <c r="B30" s="205"/>
      <c r="C30" s="205"/>
      <c r="D30" s="205"/>
      <c r="E30" s="205"/>
      <c r="F30" s="205"/>
      <c r="G30" s="205"/>
      <c r="H30" s="205"/>
      <c r="I30" s="205"/>
      <c r="J30" s="17"/>
      <c r="K30" s="58"/>
    </row>
    <row r="31" spans="2:11" ht="18.75">
      <c r="B31" s="185" t="s">
        <v>170</v>
      </c>
      <c r="C31" s="185"/>
      <c r="D31" s="185"/>
      <c r="E31" s="185"/>
      <c r="F31" s="185"/>
      <c r="G31" s="185"/>
      <c r="H31" s="187">
        <f>SUM(H11:H16)/EnterP_Inv!$I$11</f>
        <v>115.67028425925923</v>
      </c>
      <c r="I31" s="187">
        <f>SUM(I11:I16)/EnterP_Inv!$I$11</f>
        <v>13.818988799999998</v>
      </c>
      <c r="J31" s="58"/>
      <c r="K31" s="58"/>
    </row>
    <row r="32" spans="2:11" ht="18.75">
      <c r="B32" s="185" t="s">
        <v>169</v>
      </c>
      <c r="C32" s="185"/>
      <c r="D32" s="185"/>
      <c r="E32" s="185"/>
      <c r="F32" s="185"/>
      <c r="G32" s="185"/>
      <c r="H32" s="187">
        <f>H10/EnterP_Inv!$I$11</f>
        <v>18.06</v>
      </c>
      <c r="I32" s="187">
        <f>I10/EnterP_Inv!$I$11</f>
        <v>27.4</v>
      </c>
      <c r="J32" s="58"/>
      <c r="K32" s="58"/>
    </row>
    <row r="33" spans="2:11" ht="18.75">
      <c r="B33" s="45" t="s">
        <v>64</v>
      </c>
      <c r="C33" s="185"/>
      <c r="D33" s="185"/>
      <c r="E33" s="185"/>
      <c r="F33" s="185"/>
      <c r="G33" s="185"/>
      <c r="H33" s="187">
        <f>H18/EnterP_Inv!I11</f>
        <v>133.73028425925924</v>
      </c>
      <c r="I33" s="187">
        <f>I18/EnterP_Inv!I11</f>
        <v>41.2189888</v>
      </c>
      <c r="J33" s="58"/>
      <c r="K33" s="58"/>
    </row>
    <row r="34" spans="2:11" ht="18.75">
      <c r="B34" s="185"/>
      <c r="C34" s="185"/>
      <c r="D34" s="185"/>
      <c r="E34" s="185"/>
      <c r="F34" s="185"/>
      <c r="G34" s="185"/>
      <c r="H34" s="187"/>
      <c r="I34" s="187"/>
      <c r="J34" s="58"/>
      <c r="K34" s="58"/>
    </row>
    <row r="35" spans="2:11" ht="18.75">
      <c r="B35" s="45" t="s">
        <v>204</v>
      </c>
      <c r="C35" s="185"/>
      <c r="D35" s="185"/>
      <c r="E35" s="185"/>
      <c r="F35" s="185"/>
      <c r="G35" s="185"/>
      <c r="H35" s="188">
        <f>H29-H33</f>
        <v>63.79540241885255</v>
      </c>
      <c r="I35" s="188">
        <f>I29-I33</f>
        <v>19.663324521888228</v>
      </c>
      <c r="J35" s="58"/>
      <c r="K35" s="58"/>
    </row>
    <row r="36" spans="2:11" ht="18.75">
      <c r="B36" s="185" t="s">
        <v>138</v>
      </c>
      <c r="C36" s="185"/>
      <c r="D36" s="185"/>
      <c r="E36" s="185"/>
      <c r="F36" s="185"/>
      <c r="G36" s="185"/>
      <c r="H36" s="189">
        <f>I24*H35</f>
        <v>159488.50604713138</v>
      </c>
      <c r="I36" s="189">
        <f>I24*I35</f>
        <v>49158.31130472057</v>
      </c>
      <c r="J36" s="58"/>
      <c r="K36" s="58"/>
    </row>
    <row r="37" spans="2:11" ht="18.75">
      <c r="B37" s="185"/>
      <c r="C37" s="185"/>
      <c r="D37" s="185"/>
      <c r="E37" s="185"/>
      <c r="F37" s="185"/>
      <c r="G37" s="185"/>
      <c r="H37" s="188"/>
      <c r="I37" s="188"/>
      <c r="J37" s="58"/>
      <c r="K37" s="58"/>
    </row>
    <row r="38" spans="2:11" ht="18.75">
      <c r="B38" s="185" t="s">
        <v>165</v>
      </c>
      <c r="C38" s="185"/>
      <c r="D38" s="185"/>
      <c r="E38" s="185"/>
      <c r="F38" s="185"/>
      <c r="G38" s="185"/>
      <c r="H38" s="188">
        <f>('Crop#1'!$I$52-SUM('Crop#1'!$I$33:$I$36)+'Crop#2'!$I$52-SUM('Crop#2'!$I$33:$I$36)+'Crop#3'!$I$52-SUM('Crop#3'!$I$33:$I$36)+'Crop#4'!$I$52-SUM('Crop#4'!$I$33:$I$36)+'Crop#5'!$I$52-SUM('Crop#5'!$I$33:$I$36)+'Crop#6'!$I$52-SUM('Crop#6'!$I$33:$I$36))/EnterP_Inv!$I$11</f>
        <v>111.67028425925923</v>
      </c>
      <c r="I38" s="188">
        <f>('Crop#1'!$J$52-SUM('Crop#1'!$J$33:$J$36)+'Crop#2'!$J$52-SUM('Crop#2'!$J$33:$J$36)+'Crop#3'!$J$52-SUM('Crop#3'!$J$33:$J$36)+'Crop#4'!$J$52-SUM('Crop#4'!$J$33:$J$36)+'Crop#5'!$J$52-SUM('Crop#5'!$J$33:$J$36)+'Crop#6'!$J$52-SUM('Crop#6'!$J$33:$J$36))/EnterP_Inv!$I$11</f>
        <v>13.818988799999998</v>
      </c>
      <c r="J38" s="58"/>
      <c r="K38" s="58"/>
    </row>
    <row r="39" spans="2:11" ht="18.75">
      <c r="B39" s="185" t="s">
        <v>166</v>
      </c>
      <c r="C39" s="185"/>
      <c r="D39" s="185"/>
      <c r="E39" s="185"/>
      <c r="F39" s="185"/>
      <c r="G39" s="185"/>
      <c r="H39" s="188">
        <f>((SUM(EnterP_Inv!$I$43:$I$57))/EnterP_Inv!$I$11)</f>
        <v>1.26</v>
      </c>
      <c r="I39" s="188">
        <f>((SUM(EnterP_Inv!$J$43:$J$48)+SUM(EnterP_Inv!$J$52:$J$57))/EnterP_Inv!$I$11)</f>
        <v>3.1</v>
      </c>
      <c r="J39" s="58"/>
      <c r="K39" s="58"/>
    </row>
    <row r="40" spans="2:11" ht="18.75">
      <c r="B40" s="185"/>
      <c r="C40" s="185"/>
      <c r="D40" s="185"/>
      <c r="E40" s="185"/>
      <c r="F40" s="185"/>
      <c r="G40" s="190" t="s">
        <v>167</v>
      </c>
      <c r="H40" s="188">
        <f>SUM(H38:H39)</f>
        <v>112.93028425925924</v>
      </c>
      <c r="I40" s="188">
        <f>SUM(I38:I39)</f>
        <v>16.918988799999997</v>
      </c>
      <c r="J40" s="58"/>
      <c r="K40" s="58"/>
    </row>
    <row r="41" spans="2:11" ht="18.75">
      <c r="B41" s="185"/>
      <c r="C41" s="185"/>
      <c r="D41" s="185"/>
      <c r="E41" s="185"/>
      <c r="F41" s="185"/>
      <c r="G41" s="185"/>
      <c r="H41" s="188"/>
      <c r="I41" s="188"/>
      <c r="J41" s="58"/>
      <c r="K41" s="58"/>
    </row>
    <row r="42" spans="2:11" ht="18.75">
      <c r="B42" s="45" t="s">
        <v>205</v>
      </c>
      <c r="C42" s="185"/>
      <c r="D42" s="185"/>
      <c r="E42" s="185"/>
      <c r="F42" s="185"/>
      <c r="G42" s="185"/>
      <c r="H42" s="188">
        <f>$H$29-((SUM(EnterP_Inv!$I$43:$I$48)+SUM(EnterP_Inv!$I$52:$I$57)+'Crop#1'!$I$52-SUM('Crop#1'!$I$33:$I$36)+'Crop#2'!$I$52-SUM('Crop#2'!$I$33:$I$36)+'Crop#3'!$I$52-SUM('Crop#3'!$I$33:$I$36)+'Crop#4'!$I$52-SUM('Crop#4'!$I$33:$I$36)+'Crop#5'!$I$52-SUM('Crop#5'!$I$33:$I$36)+'Crop#6'!$I$52-SUM('Crop#6'!$I$33:$I$36))/EnterP_Inv!$I$11)</f>
        <v>84.59540241885254</v>
      </c>
      <c r="I42" s="188">
        <f>$I$29-((SUM(EnterP_Inv!$J$43:$J$48)+SUM(EnterP_Inv!$J$52:$J$57)+'Crop#1'!$J$52-SUM('Crop#1'!$J$33:$J$36)+'Crop#2'!$J$52-SUM('Crop#2'!$J$33:$J$36)+'Crop#3'!$J$52-SUM('Crop#3'!$J$33:$J$36)+'Crop#4'!$J$52-SUM('Crop#4'!$J$33:$J$36)+'Crop#5'!$J$52-SUM('Crop#5'!$J$33:$J$36)+'Crop#6'!$J$52-SUM('Crop#6'!$J$33:$J$36))/EnterP_Inv!$I$11)</f>
        <v>43.963324521888225</v>
      </c>
      <c r="J42" s="58"/>
      <c r="K42" s="58"/>
    </row>
    <row r="43" spans="2:11" ht="18.75">
      <c r="B43" s="45" t="s">
        <v>139</v>
      </c>
      <c r="C43" s="185"/>
      <c r="D43" s="185"/>
      <c r="E43" s="185"/>
      <c r="F43" s="185"/>
      <c r="G43" s="185"/>
      <c r="H43" s="189">
        <f>I24*H42</f>
        <v>211488.50604713135</v>
      </c>
      <c r="I43" s="189">
        <f>I24*I42</f>
        <v>109908.31130472057</v>
      </c>
      <c r="J43" s="58"/>
      <c r="K43" s="58"/>
    </row>
    <row r="44" spans="2:11" ht="15.75">
      <c r="B44" s="6"/>
      <c r="C44" s="7"/>
      <c r="D44" s="7"/>
      <c r="E44" s="7"/>
      <c r="F44" s="7"/>
      <c r="G44" s="7"/>
      <c r="H44" s="7"/>
      <c r="I44" s="7"/>
      <c r="J44" s="58"/>
      <c r="K44" s="58"/>
    </row>
    <row r="45" spans="2:11" ht="15.75">
      <c r="B45" s="7"/>
      <c r="C45" s="7"/>
      <c r="D45" s="7"/>
      <c r="E45" s="7"/>
      <c r="F45" s="7"/>
      <c r="G45" s="7"/>
      <c r="H45" s="7"/>
      <c r="I45" s="7"/>
      <c r="J45" s="7"/>
      <c r="K45" s="58"/>
    </row>
    <row r="46" spans="2:11" ht="15.75">
      <c r="B46" s="55"/>
      <c r="C46" s="55"/>
      <c r="D46" s="55"/>
      <c r="E46" s="55"/>
      <c r="F46" s="55"/>
      <c r="G46" s="55"/>
      <c r="H46" s="55"/>
      <c r="I46" s="55"/>
      <c r="J46" s="55"/>
      <c r="K46" s="55"/>
    </row>
  </sheetData>
  <sheetProtection sheet="1" formatCells="0" formatColumns="0" formatRows="0"/>
  <mergeCells count="6">
    <mergeCell ref="H3:H4"/>
    <mergeCell ref="I3:I4"/>
    <mergeCell ref="D3:D4"/>
    <mergeCell ref="E3:E4"/>
    <mergeCell ref="F3:F4"/>
    <mergeCell ref="G3:G4"/>
  </mergeCells>
  <printOptions/>
  <pageMargins left="0.75" right="0.75" top="1" bottom="1" header="0.5" footer="0.5"/>
  <pageSetup fitToHeight="1" fitToWidth="1" horizontalDpi="300" verticalDpi="300" orientation="portrait" scale="84"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B1:N102"/>
  <sheetViews>
    <sheetView showGridLines="0" zoomScalePageLayoutView="0" workbookViewId="0" topLeftCell="A1">
      <selection activeCell="I8" sqref="I8"/>
    </sheetView>
  </sheetViews>
  <sheetFormatPr defaultColWidth="8.796875" defaultRowHeight="15"/>
  <cols>
    <col min="1" max="1" width="4.09765625" style="132" customWidth="1"/>
    <col min="2" max="2" width="21.8984375" style="0" customWidth="1"/>
    <col min="5" max="5" width="10.69921875" style="0" customWidth="1"/>
    <col min="6" max="6" width="13.19921875" style="0" customWidth="1"/>
    <col min="7" max="7" width="10.09765625" style="0" customWidth="1"/>
    <col min="8" max="8" width="17.5" style="0" customWidth="1"/>
    <col min="9" max="9" width="14.19921875" style="0" customWidth="1"/>
    <col min="10" max="10" width="10.69921875" style="0" customWidth="1"/>
  </cols>
  <sheetData>
    <row r="1" spans="2:14" ht="15.75">
      <c r="B1" s="55" t="s">
        <v>120</v>
      </c>
      <c r="C1" s="55"/>
      <c r="D1" s="55"/>
      <c r="E1" s="55"/>
      <c r="F1" s="55"/>
      <c r="G1" s="55"/>
      <c r="H1" s="55"/>
      <c r="I1" s="55"/>
      <c r="J1" s="55"/>
      <c r="K1" s="55"/>
      <c r="L1" s="55"/>
      <c r="M1" s="55"/>
      <c r="N1" s="55"/>
    </row>
    <row r="2" spans="2:14" ht="18.75">
      <c r="B2" s="59" t="s">
        <v>115</v>
      </c>
      <c r="C2" s="55"/>
      <c r="D2" s="55"/>
      <c r="E2" s="55"/>
      <c r="F2" s="55"/>
      <c r="G2" s="55"/>
      <c r="H2" s="55"/>
      <c r="I2" s="55"/>
      <c r="J2" s="55"/>
      <c r="K2" s="55"/>
      <c r="L2" s="55"/>
      <c r="M2" s="55"/>
      <c r="N2" s="55"/>
    </row>
    <row r="3" spans="2:14" ht="15.75">
      <c r="B3" s="7"/>
      <c r="C3" s="7"/>
      <c r="D3" s="7"/>
      <c r="E3" s="7"/>
      <c r="F3" s="7"/>
      <c r="G3" s="7"/>
      <c r="H3" s="7"/>
      <c r="I3" s="7"/>
      <c r="J3" s="7"/>
      <c r="K3" s="1"/>
      <c r="L3" s="1"/>
      <c r="M3" s="55"/>
      <c r="N3" s="55"/>
    </row>
    <row r="4" spans="2:14" ht="18.75">
      <c r="B4" s="133" t="s">
        <v>65</v>
      </c>
      <c r="C4" s="129"/>
      <c r="D4" s="129"/>
      <c r="E4" s="129"/>
      <c r="F4" s="129"/>
      <c r="G4" s="129"/>
      <c r="H4" s="129"/>
      <c r="I4" s="129"/>
      <c r="J4" s="129"/>
      <c r="K4" s="55"/>
      <c r="L4" s="1"/>
      <c r="M4" s="55"/>
      <c r="N4" s="55"/>
    </row>
    <row r="5" spans="2:14" ht="15.75">
      <c r="B5" s="7"/>
      <c r="C5" s="7"/>
      <c r="D5" s="7"/>
      <c r="E5" s="7"/>
      <c r="F5" s="7"/>
      <c r="G5" s="7"/>
      <c r="H5" s="7"/>
      <c r="I5" s="7"/>
      <c r="J5" s="7"/>
      <c r="K5" s="1"/>
      <c r="L5" s="1"/>
      <c r="M5" s="55"/>
      <c r="N5" s="55"/>
    </row>
    <row r="6" spans="2:14" ht="22.5">
      <c r="B6" s="7" t="s">
        <v>114</v>
      </c>
      <c r="C6" s="7"/>
      <c r="D6" s="7"/>
      <c r="E6" s="7"/>
      <c r="F6" s="7"/>
      <c r="G6" s="7"/>
      <c r="H6" s="124" t="s">
        <v>230</v>
      </c>
      <c r="I6" s="7" t="s">
        <v>66</v>
      </c>
      <c r="J6" s="7"/>
      <c r="K6" s="1"/>
      <c r="L6" s="1"/>
      <c r="M6" s="55"/>
      <c r="N6" s="55"/>
    </row>
    <row r="7" spans="2:14" ht="15.75">
      <c r="B7" s="7"/>
      <c r="C7" s="7"/>
      <c r="D7" s="7"/>
      <c r="E7" s="7"/>
      <c r="F7" s="7"/>
      <c r="G7" s="7"/>
      <c r="H7" s="29"/>
      <c r="I7" s="7"/>
      <c r="J7" s="7"/>
      <c r="K7" s="1"/>
      <c r="L7" s="1"/>
      <c r="M7" s="55"/>
      <c r="N7" s="55"/>
    </row>
    <row r="8" spans="2:14" ht="15.75">
      <c r="B8" s="7" t="s">
        <v>67</v>
      </c>
      <c r="C8" s="7"/>
      <c r="D8" s="7"/>
      <c r="E8" s="7"/>
      <c r="F8" s="7"/>
      <c r="G8" s="7"/>
      <c r="H8" s="7"/>
      <c r="I8" s="7"/>
      <c r="J8" s="7"/>
      <c r="K8" s="1"/>
      <c r="L8" s="1"/>
      <c r="M8" s="55"/>
      <c r="N8" s="55"/>
    </row>
    <row r="9" spans="2:14" ht="15.75">
      <c r="B9" s="7" t="s">
        <v>68</v>
      </c>
      <c r="C9" s="7"/>
      <c r="D9" s="7"/>
      <c r="E9" s="7"/>
      <c r="F9" s="7"/>
      <c r="G9" s="7"/>
      <c r="H9" s="7"/>
      <c r="I9" s="7"/>
      <c r="J9" s="7"/>
      <c r="K9" s="123"/>
      <c r="L9" s="1"/>
      <c r="M9" s="55"/>
      <c r="N9" s="55"/>
    </row>
    <row r="10" spans="2:14" ht="15.75">
      <c r="B10" s="7" t="s">
        <v>69</v>
      </c>
      <c r="C10" s="7"/>
      <c r="D10" s="7"/>
      <c r="E10" s="7"/>
      <c r="F10" s="7"/>
      <c r="G10" s="7"/>
      <c r="H10" s="7"/>
      <c r="I10" s="7"/>
      <c r="J10" s="7"/>
      <c r="K10" s="1"/>
      <c r="L10" s="1"/>
      <c r="M10" s="55"/>
      <c r="N10" s="55"/>
    </row>
    <row r="11" spans="2:14" ht="15.75">
      <c r="B11" s="7" t="s">
        <v>116</v>
      </c>
      <c r="C11" s="7"/>
      <c r="D11" s="7"/>
      <c r="E11" s="7"/>
      <c r="F11" s="7"/>
      <c r="G11" s="7"/>
      <c r="H11" s="7"/>
      <c r="I11" s="7"/>
      <c r="J11" s="7"/>
      <c r="K11" s="1"/>
      <c r="L11" s="1"/>
      <c r="M11" s="55"/>
      <c r="N11" s="55"/>
    </row>
    <row r="12" spans="2:14" ht="16.5" thickBot="1">
      <c r="B12" s="7"/>
      <c r="C12" s="7"/>
      <c r="D12" s="7"/>
      <c r="E12" s="7"/>
      <c r="F12" s="7"/>
      <c r="G12" s="7"/>
      <c r="H12" s="31" t="s">
        <v>57</v>
      </c>
      <c r="I12" s="30" t="s">
        <v>58</v>
      </c>
      <c r="J12" s="7"/>
      <c r="K12" s="1"/>
      <c r="L12" s="1"/>
      <c r="M12" s="55"/>
      <c r="N12" s="55"/>
    </row>
    <row r="13" spans="2:14" ht="16.5" thickTop="1">
      <c r="B13" s="35" t="s">
        <v>59</v>
      </c>
      <c r="C13" s="36"/>
      <c r="D13" s="36"/>
      <c r="E13" s="36"/>
      <c r="F13" s="36"/>
      <c r="G13" s="36"/>
      <c r="H13" s="157">
        <f>IF(H6="n",CSResults!H18+SUM(CSResults!I11:I16),SUM(CSResults!$H$10:$H$16))</f>
        <v>368873.1826481481</v>
      </c>
      <c r="I13" s="158">
        <f>IF(H6="n",CSResults!I10,SUM(CSResults!$I$10:$I$16))</f>
        <v>68500</v>
      </c>
      <c r="J13" s="7"/>
      <c r="K13" s="1"/>
      <c r="L13" s="1"/>
      <c r="M13" s="55"/>
      <c r="N13" s="55"/>
    </row>
    <row r="14" spans="2:14" ht="15.75">
      <c r="B14" s="37"/>
      <c r="C14" s="33"/>
      <c r="D14" s="33"/>
      <c r="E14" s="34" t="s">
        <v>70</v>
      </c>
      <c r="F14" s="60"/>
      <c r="G14" s="61"/>
      <c r="H14" s="159"/>
      <c r="I14" s="160">
        <f>H13+I13</f>
        <v>437373.1826481481</v>
      </c>
      <c r="J14" s="7"/>
      <c r="K14" s="1"/>
      <c r="L14" s="1"/>
      <c r="M14" s="55"/>
      <c r="N14" s="55"/>
    </row>
    <row r="15" spans="2:14" ht="16.5" thickBot="1">
      <c r="B15" s="38" t="s">
        <v>71</v>
      </c>
      <c r="C15" s="39"/>
      <c r="D15" s="39"/>
      <c r="E15" s="39"/>
      <c r="F15" s="39"/>
      <c r="G15" s="39"/>
      <c r="H15" s="40">
        <f>H13/I14</f>
        <v>0.8433831731857554</v>
      </c>
      <c r="I15" s="41">
        <f>I13/I14</f>
        <v>0.15661682681424463</v>
      </c>
      <c r="J15" s="7"/>
      <c r="K15" s="1"/>
      <c r="L15" s="1"/>
      <c r="M15" s="55"/>
      <c r="N15" s="55"/>
    </row>
    <row r="16" spans="2:14" ht="16.5" thickTop="1">
      <c r="B16" s="55"/>
      <c r="C16" s="55"/>
      <c r="D16" s="55"/>
      <c r="E16" s="55"/>
      <c r="F16" s="55"/>
      <c r="G16" s="55"/>
      <c r="H16" s="55"/>
      <c r="I16" s="55"/>
      <c r="J16" s="7"/>
      <c r="K16" s="1"/>
      <c r="L16" s="1"/>
      <c r="M16" s="55"/>
      <c r="N16" s="55"/>
    </row>
    <row r="17" spans="2:14" ht="15.75">
      <c r="B17" s="7"/>
      <c r="C17" s="7"/>
      <c r="D17" s="7"/>
      <c r="E17" s="7"/>
      <c r="F17" s="7"/>
      <c r="G17" s="7"/>
      <c r="H17" s="7"/>
      <c r="I17" s="7"/>
      <c r="J17" s="7"/>
      <c r="K17" s="1"/>
      <c r="L17" s="1"/>
      <c r="M17" s="55"/>
      <c r="N17" s="55"/>
    </row>
    <row r="18" spans="2:14" ht="15.75">
      <c r="B18" s="6" t="s">
        <v>25</v>
      </c>
      <c r="C18" s="7"/>
      <c r="D18" s="7"/>
      <c r="E18" s="7"/>
      <c r="F18" s="7"/>
      <c r="G18" s="7"/>
      <c r="H18" s="7"/>
      <c r="I18" s="58"/>
      <c r="J18" s="58"/>
      <c r="K18" s="55"/>
      <c r="L18" s="55"/>
      <c r="M18" s="55"/>
      <c r="N18" s="55"/>
    </row>
    <row r="19" spans="2:14" ht="15.75" customHeight="1">
      <c r="B19" s="7"/>
      <c r="C19" s="289" t="str">
        <f>EnterP_Inv!C9</f>
        <v>Winter Wheat</v>
      </c>
      <c r="D19" s="287" t="str">
        <f>EnterP_Inv!D9</f>
        <v>Spring Wheat</v>
      </c>
      <c r="E19" s="287" t="str">
        <f>EnterP_Inv!$E$9</f>
        <v>Durum</v>
      </c>
      <c r="F19" s="287" t="str">
        <f>EnterP_Inv!$F$9</f>
        <v>Malt Barley</v>
      </c>
      <c r="G19" s="287" t="str">
        <f>EnterP_Inv!$G$9</f>
        <v>Summer Fallow</v>
      </c>
      <c r="H19" s="291" t="str">
        <f>EnterP_Inv!$H$9</f>
        <v>Not Used</v>
      </c>
      <c r="I19" s="58"/>
      <c r="J19" s="58"/>
      <c r="K19" s="55"/>
      <c r="L19" s="55"/>
      <c r="M19" s="55"/>
      <c r="N19" s="55"/>
    </row>
    <row r="20" spans="2:14" ht="15.75">
      <c r="B20" s="27"/>
      <c r="C20" s="290"/>
      <c r="D20" s="288"/>
      <c r="E20" s="288"/>
      <c r="F20" s="288"/>
      <c r="G20" s="288"/>
      <c r="H20" s="292"/>
      <c r="I20" s="58"/>
      <c r="J20" s="58"/>
      <c r="K20" s="55"/>
      <c r="L20" s="55"/>
      <c r="M20" s="55"/>
      <c r="N20" s="55"/>
    </row>
    <row r="21" spans="2:14" ht="15.75">
      <c r="B21" s="26" t="str">
        <f>EnterP_Inv!B11</f>
        <v>Number of Acres</v>
      </c>
      <c r="C21" s="22">
        <f>EnterP_Inv!C11</f>
        <v>400</v>
      </c>
      <c r="D21" s="22">
        <f>EnterP_Inv!D11</f>
        <v>750</v>
      </c>
      <c r="E21" s="22">
        <f>EnterP_Inv!E11</f>
        <v>500</v>
      </c>
      <c r="F21" s="22">
        <f>EnterP_Inv!F11</f>
        <v>300</v>
      </c>
      <c r="G21" s="25">
        <f>EnterP_Inv!G11</f>
        <v>550</v>
      </c>
      <c r="H21" s="48">
        <f>EnterP_Inv!H11</f>
        <v>0</v>
      </c>
      <c r="I21" s="62" t="s">
        <v>130</v>
      </c>
      <c r="J21" s="58"/>
      <c r="K21" s="55"/>
      <c r="L21" s="55"/>
      <c r="M21" s="55"/>
      <c r="N21" s="55"/>
    </row>
    <row r="22" spans="2:14" ht="15.75">
      <c r="B22" s="24" t="s">
        <v>31</v>
      </c>
      <c r="C22" s="63">
        <f>EnterP_Inv!C12</f>
        <v>42</v>
      </c>
      <c r="D22" s="16">
        <f>EnterP_Inv!D12</f>
        <v>28</v>
      </c>
      <c r="E22" s="16">
        <f>EnterP_Inv!E12</f>
        <v>22</v>
      </c>
      <c r="F22" s="49">
        <f>EnterP_Inv!$F$12</f>
        <v>52</v>
      </c>
      <c r="G22" s="16">
        <f>EnterP_Inv!G12</f>
        <v>0</v>
      </c>
      <c r="H22" s="64">
        <f>EnterP_Inv!H12</f>
        <v>0</v>
      </c>
      <c r="I22" s="65" t="s">
        <v>72</v>
      </c>
      <c r="J22" s="58"/>
      <c r="K22" s="55"/>
      <c r="L22" s="55"/>
      <c r="M22" s="55"/>
      <c r="N22" s="55"/>
    </row>
    <row r="23" spans="2:14" ht="15.75">
      <c r="B23" s="28" t="s">
        <v>32</v>
      </c>
      <c r="C23" s="66">
        <f>EnterP_Inv!C13</f>
        <v>7.75</v>
      </c>
      <c r="D23" s="67">
        <f>EnterP_Inv!D13</f>
        <v>8.5</v>
      </c>
      <c r="E23" s="67">
        <f>EnterP_Inv!E13</f>
        <v>11</v>
      </c>
      <c r="F23" s="50">
        <f>EnterP_Inv!$F$13</f>
        <v>12</v>
      </c>
      <c r="G23" s="67">
        <f>EnterP_Inv!G13</f>
        <v>0</v>
      </c>
      <c r="H23" s="68">
        <f>EnterP_Inv!H13</f>
        <v>0</v>
      </c>
      <c r="I23" s="65" t="s">
        <v>73</v>
      </c>
      <c r="J23" s="58"/>
      <c r="K23" s="55"/>
      <c r="L23" s="55"/>
      <c r="M23" s="55"/>
      <c r="N23" s="55"/>
    </row>
    <row r="24" spans="2:14" ht="15.75">
      <c r="B24" s="69" t="s">
        <v>74</v>
      </c>
      <c r="C24" s="70"/>
      <c r="D24" s="71"/>
      <c r="E24" s="71"/>
      <c r="F24" s="71"/>
      <c r="G24" s="71"/>
      <c r="H24" s="72"/>
      <c r="I24" s="65" t="s">
        <v>75</v>
      </c>
      <c r="J24" s="58"/>
      <c r="K24" s="55"/>
      <c r="L24" s="55"/>
      <c r="M24" s="55"/>
      <c r="N24" s="55"/>
    </row>
    <row r="25" spans="2:14" ht="15.75">
      <c r="B25" s="73" t="s">
        <v>76</v>
      </c>
      <c r="C25" s="131">
        <v>0.2</v>
      </c>
      <c r="D25" s="234">
        <f>$C$25</f>
        <v>0.2</v>
      </c>
      <c r="E25" s="234">
        <f>$C$25</f>
        <v>0.2</v>
      </c>
      <c r="F25" s="234">
        <f>$C$25</f>
        <v>0.2</v>
      </c>
      <c r="G25" s="234">
        <f>$C$25</f>
        <v>0.2</v>
      </c>
      <c r="H25" s="234">
        <f>$C$25</f>
        <v>0.2</v>
      </c>
      <c r="I25" s="74" t="s">
        <v>77</v>
      </c>
      <c r="J25" s="58"/>
      <c r="K25" s="55"/>
      <c r="L25" s="55"/>
      <c r="M25" s="55"/>
      <c r="N25" s="55"/>
    </row>
    <row r="26" spans="2:14" ht="15.75">
      <c r="B26" s="58" t="s">
        <v>78</v>
      </c>
      <c r="C26" s="75">
        <f>((C21*C22*C23)+(EnterP_Inv!C14*C21))*(1-C25)*$I$15/CSResults!$I$24</f>
        <v>6.963108944084446</v>
      </c>
      <c r="D26" s="75">
        <f>((D21*D22*D23)+(EnterP_Inv!D14*D21))*(1-D25)*$I$15/CSResults!$I$24</f>
        <v>9.493234987249348</v>
      </c>
      <c r="E26" s="75">
        <f>((E21*E22*E23)+(EnterP_Inv!E14*E21))*(1-E25)*$I$15/CSResults!$I$24</f>
        <v>6.350874974048346</v>
      </c>
      <c r="F26" s="75">
        <f>((F21*F22*F23)+(EnterP_Inv!F14*F21))*(1-F25)*$I$15/CSResults!$I$24</f>
        <v>9.56961388135012</v>
      </c>
      <c r="G26" s="75">
        <f>((G21*G22*G23)+(EnterP_Inv!G14*G21))*(1-G25)*$I$15/CSResults!$I$24</f>
        <v>0</v>
      </c>
      <c r="H26" s="75">
        <f>((H21*H22*H23)+(EnterP_Inv!H14*H21))*(1-H25)*$I$15/CSResults!$I$24</f>
        <v>0</v>
      </c>
      <c r="I26" s="76">
        <f>SUM(C26:H26)</f>
        <v>32.37683278673226</v>
      </c>
      <c r="J26" s="58"/>
      <c r="K26" s="55"/>
      <c r="L26" s="55"/>
      <c r="M26" s="55"/>
      <c r="N26" s="55"/>
    </row>
    <row r="27" spans="2:14" ht="15.75">
      <c r="B27" s="58" t="s">
        <v>79</v>
      </c>
      <c r="C27" s="58"/>
      <c r="D27" s="58"/>
      <c r="E27" s="58"/>
      <c r="F27" s="58"/>
      <c r="G27" s="58"/>
      <c r="H27" s="55" t="s">
        <v>131</v>
      </c>
      <c r="I27" s="77">
        <f>CSResults!$I$24</f>
        <v>2500</v>
      </c>
      <c r="J27" s="58"/>
      <c r="K27" s="55"/>
      <c r="L27" s="55"/>
      <c r="M27" s="55"/>
      <c r="N27" s="55"/>
    </row>
    <row r="28" spans="2:14" ht="15.75">
      <c r="B28" s="58" t="s">
        <v>80</v>
      </c>
      <c r="C28" s="58"/>
      <c r="D28" s="58"/>
      <c r="E28" s="58"/>
      <c r="F28" s="58"/>
      <c r="G28" s="58"/>
      <c r="H28" s="78" t="s">
        <v>137</v>
      </c>
      <c r="I28" s="161">
        <f>I26*I27</f>
        <v>80942.08196683065</v>
      </c>
      <c r="J28" s="58"/>
      <c r="K28" s="55"/>
      <c r="L28" s="55"/>
      <c r="M28" s="55"/>
      <c r="N28" s="55"/>
    </row>
    <row r="29" spans="2:14" ht="15.75">
      <c r="B29" s="58"/>
      <c r="C29" s="58"/>
      <c r="D29" s="58"/>
      <c r="E29" s="58"/>
      <c r="F29" s="55"/>
      <c r="G29" s="58"/>
      <c r="H29" s="78" t="s">
        <v>164</v>
      </c>
      <c r="I29" s="162">
        <f>EnterP_Inv!$I$11*CSResults!$H$42</f>
        <v>211488.50604713135</v>
      </c>
      <c r="J29" s="58"/>
      <c r="K29" s="55"/>
      <c r="L29" s="55"/>
      <c r="M29" s="55"/>
      <c r="N29" s="55"/>
    </row>
    <row r="30" spans="2:14" ht="20.25">
      <c r="B30" s="134" t="s">
        <v>136</v>
      </c>
      <c r="C30" s="130"/>
      <c r="D30" s="130"/>
      <c r="E30" s="130"/>
      <c r="F30" s="130"/>
      <c r="G30" s="130"/>
      <c r="H30" s="130"/>
      <c r="I30" s="130"/>
      <c r="J30" s="79"/>
      <c r="K30" s="55"/>
      <c r="L30" s="55"/>
      <c r="M30" s="55"/>
      <c r="N30" s="55"/>
    </row>
    <row r="31" spans="2:14" ht="15.75">
      <c r="B31" s="58" t="s">
        <v>81</v>
      </c>
      <c r="C31" s="58"/>
      <c r="D31" s="58"/>
      <c r="E31" s="58"/>
      <c r="F31" s="58"/>
      <c r="G31" s="58"/>
      <c r="H31" s="58"/>
      <c r="I31" s="58"/>
      <c r="J31" s="58"/>
      <c r="K31" s="55"/>
      <c r="L31" s="55"/>
      <c r="M31" s="55"/>
      <c r="N31" s="55"/>
    </row>
    <row r="32" spans="2:14" ht="15.75">
      <c r="B32" s="80" t="s">
        <v>82</v>
      </c>
      <c r="C32" s="58"/>
      <c r="D32" s="58"/>
      <c r="E32" s="58"/>
      <c r="F32" s="58"/>
      <c r="G32" s="58"/>
      <c r="H32" s="58"/>
      <c r="I32" s="58"/>
      <c r="J32" s="58"/>
      <c r="K32" s="55"/>
      <c r="L32" s="55"/>
      <c r="M32" s="55"/>
      <c r="N32" s="55"/>
    </row>
    <row r="33" spans="2:14" ht="15.75">
      <c r="B33" s="58" t="s">
        <v>117</v>
      </c>
      <c r="C33" s="58"/>
      <c r="D33" s="58"/>
      <c r="E33" s="58"/>
      <c r="F33" s="58"/>
      <c r="G33" s="58"/>
      <c r="H33" s="58"/>
      <c r="I33" s="58"/>
      <c r="J33" s="58"/>
      <c r="K33" s="55"/>
      <c r="L33" s="55"/>
      <c r="M33" s="55"/>
      <c r="N33" s="55"/>
    </row>
    <row r="34" spans="2:14" ht="15.75">
      <c r="B34" s="58" t="s">
        <v>83</v>
      </c>
      <c r="C34" s="58"/>
      <c r="D34" s="58"/>
      <c r="E34" s="58"/>
      <c r="F34" s="58"/>
      <c r="G34" s="58"/>
      <c r="H34" s="58"/>
      <c r="I34" s="58"/>
      <c r="J34" s="55"/>
      <c r="K34" s="55"/>
      <c r="L34" s="55"/>
      <c r="M34" s="55"/>
      <c r="N34" s="55"/>
    </row>
    <row r="35" spans="2:14" ht="15.75">
      <c r="B35" s="58"/>
      <c r="C35" s="58"/>
      <c r="D35" s="58"/>
      <c r="E35" s="58"/>
      <c r="F35" s="58"/>
      <c r="G35" s="58"/>
      <c r="H35" s="65" t="s">
        <v>87</v>
      </c>
      <c r="I35" s="58"/>
      <c r="J35" s="55"/>
      <c r="K35" s="55"/>
      <c r="L35" s="55"/>
      <c r="M35" s="55"/>
      <c r="N35" s="55"/>
    </row>
    <row r="36" spans="2:14" ht="15.75">
      <c r="B36" s="74" t="s">
        <v>84</v>
      </c>
      <c r="C36" s="55"/>
      <c r="D36" s="58"/>
      <c r="E36" s="58"/>
      <c r="F36" s="58" t="s">
        <v>85</v>
      </c>
      <c r="G36" s="58"/>
      <c r="H36" s="58"/>
      <c r="I36" s="81"/>
      <c r="J36" s="55"/>
      <c r="K36" s="55"/>
      <c r="L36" s="55"/>
      <c r="M36" s="55"/>
      <c r="N36" s="55"/>
    </row>
    <row r="37" spans="2:14" ht="15.75">
      <c r="B37" s="58" t="s">
        <v>122</v>
      </c>
      <c r="C37" s="58"/>
      <c r="D37" s="58"/>
      <c r="E37" s="58"/>
      <c r="F37" s="58"/>
      <c r="G37" s="58"/>
      <c r="H37" s="65" t="s">
        <v>127</v>
      </c>
      <c r="I37" s="58"/>
      <c r="J37" s="55"/>
      <c r="K37" s="55"/>
      <c r="L37" s="55"/>
      <c r="M37" s="55"/>
      <c r="N37" s="55"/>
    </row>
    <row r="38" spans="2:14" ht="15.75">
      <c r="B38" s="58"/>
      <c r="C38" s="58"/>
      <c r="D38" s="58"/>
      <c r="E38" s="58"/>
      <c r="F38" s="58"/>
      <c r="G38" s="58"/>
      <c r="H38" s="58"/>
      <c r="I38" s="58"/>
      <c r="J38" s="55"/>
      <c r="K38" s="55"/>
      <c r="L38" s="55"/>
      <c r="M38" s="55"/>
      <c r="N38" s="55"/>
    </row>
    <row r="39" spans="2:14" ht="15.75">
      <c r="B39" s="58"/>
      <c r="C39" s="58"/>
      <c r="D39" s="58"/>
      <c r="E39" s="58"/>
      <c r="F39" s="58"/>
      <c r="G39" s="58"/>
      <c r="H39" s="58"/>
      <c r="I39" s="65"/>
      <c r="J39" s="58"/>
      <c r="K39" s="55"/>
      <c r="L39" s="55"/>
      <c r="M39" s="55"/>
      <c r="N39" s="55"/>
    </row>
    <row r="40" spans="2:14" ht="15.75">
      <c r="B40" s="58"/>
      <c r="C40" s="62" t="s">
        <v>86</v>
      </c>
      <c r="D40" s="58"/>
      <c r="E40" s="58"/>
      <c r="F40" s="58"/>
      <c r="G40" s="58"/>
      <c r="H40" s="58"/>
      <c r="I40" s="65"/>
      <c r="J40" s="58"/>
      <c r="K40" s="55"/>
      <c r="L40" s="55"/>
      <c r="M40" s="55"/>
      <c r="N40" s="55"/>
    </row>
    <row r="41" spans="2:14" ht="15.75" customHeight="1">
      <c r="B41" s="58"/>
      <c r="C41" s="289" t="str">
        <f aca="true" t="shared" si="0" ref="C41:H41">C19</f>
        <v>Winter Wheat</v>
      </c>
      <c r="D41" s="287" t="str">
        <f t="shared" si="0"/>
        <v>Spring Wheat</v>
      </c>
      <c r="E41" s="287" t="str">
        <f t="shared" si="0"/>
        <v>Durum</v>
      </c>
      <c r="F41" s="287" t="str">
        <f t="shared" si="0"/>
        <v>Malt Barley</v>
      </c>
      <c r="G41" s="287" t="str">
        <f t="shared" si="0"/>
        <v>Summer Fallow</v>
      </c>
      <c r="H41" s="291" t="str">
        <f t="shared" si="0"/>
        <v>Not Used</v>
      </c>
      <c r="I41" s="74"/>
      <c r="J41" s="58"/>
      <c r="K41" s="55"/>
      <c r="L41" s="55"/>
      <c r="M41" s="55"/>
      <c r="N41" s="55"/>
    </row>
    <row r="42" spans="2:14" ht="15.75">
      <c r="B42" s="58"/>
      <c r="C42" s="290"/>
      <c r="D42" s="288"/>
      <c r="E42" s="288"/>
      <c r="F42" s="288"/>
      <c r="G42" s="288"/>
      <c r="H42" s="292"/>
      <c r="I42" s="58"/>
      <c r="J42" s="58"/>
      <c r="K42" s="55"/>
      <c r="L42" s="55"/>
      <c r="M42" s="55"/>
      <c r="N42" s="55"/>
    </row>
    <row r="43" spans="2:14" ht="15.75">
      <c r="B43" s="235" t="s">
        <v>87</v>
      </c>
      <c r="C43" s="236">
        <v>35</v>
      </c>
      <c r="D43" s="237">
        <v>30</v>
      </c>
      <c r="E43" s="237">
        <v>22</v>
      </c>
      <c r="F43" s="238">
        <v>55</v>
      </c>
      <c r="G43" s="237">
        <v>0</v>
      </c>
      <c r="H43" s="239">
        <v>0</v>
      </c>
      <c r="I43" s="58"/>
      <c r="J43" s="58"/>
      <c r="K43" s="55"/>
      <c r="L43" s="55"/>
      <c r="M43" s="55"/>
      <c r="N43" s="55"/>
    </row>
    <row r="44" spans="2:14" ht="15.75">
      <c r="B44" s="58" t="s">
        <v>88</v>
      </c>
      <c r="C44" s="82">
        <f>IF($C$22&lt;=0,0,C43/$C$22)</f>
        <v>0.8333333333333334</v>
      </c>
      <c r="D44" s="82">
        <f>IF(D22&lt;=0,0,D43/D22)</f>
        <v>1.0714285714285714</v>
      </c>
      <c r="E44" s="82">
        <f>IF(E22&lt;=0,0,E43/E22)</f>
        <v>1</v>
      </c>
      <c r="F44" s="82">
        <f>IF(F22&lt;=0,0,F43/F22)</f>
        <v>1.0576923076923077</v>
      </c>
      <c r="G44" s="82">
        <f>IF(G22&lt;=0,0,G43/G22)</f>
        <v>0</v>
      </c>
      <c r="H44" s="82">
        <f>IF(H22&lt;=0,0,H43/H22)</f>
        <v>0</v>
      </c>
      <c r="I44" s="83">
        <f>SUM(C26*C44+D26*D44+E26*E44+F26*F44+G26*G44+H26*H44)</f>
        <v>32.44649595129924</v>
      </c>
      <c r="J44" s="58"/>
      <c r="K44" s="55"/>
      <c r="L44" s="55"/>
      <c r="M44" s="55"/>
      <c r="N44" s="55"/>
    </row>
    <row r="45" spans="2:14" ht="15.75">
      <c r="B45" s="58"/>
      <c r="C45" s="58"/>
      <c r="D45" s="58"/>
      <c r="E45" s="58"/>
      <c r="F45" s="58"/>
      <c r="G45" s="58"/>
      <c r="H45" s="78" t="s">
        <v>132</v>
      </c>
      <c r="I45" s="163">
        <f>I44*I27</f>
        <v>81116.2398782481</v>
      </c>
      <c r="J45" s="58"/>
      <c r="K45" s="55"/>
      <c r="L45" s="55"/>
      <c r="M45" s="55"/>
      <c r="N45" s="55"/>
    </row>
    <row r="46" spans="2:14" ht="15.75">
      <c r="B46" s="58"/>
      <c r="C46" s="58"/>
      <c r="D46" s="58"/>
      <c r="E46" s="58"/>
      <c r="F46" s="58"/>
      <c r="G46" s="58"/>
      <c r="H46" s="58"/>
      <c r="I46" s="58"/>
      <c r="J46" s="58"/>
      <c r="K46" s="55"/>
      <c r="L46" s="55"/>
      <c r="M46" s="55"/>
      <c r="N46" s="55"/>
    </row>
    <row r="47" spans="2:14" ht="18.75">
      <c r="B47" s="58" t="s">
        <v>89</v>
      </c>
      <c r="C47" s="58"/>
      <c r="D47" s="84" t="s">
        <v>118</v>
      </c>
      <c r="E47" s="84"/>
      <c r="F47" s="84"/>
      <c r="G47" s="84"/>
      <c r="H47" s="84"/>
      <c r="I47" s="58"/>
      <c r="J47" s="58"/>
      <c r="K47" s="55"/>
      <c r="L47" s="55"/>
      <c r="M47" s="55"/>
      <c r="N47" s="55"/>
    </row>
    <row r="48" spans="2:14" ht="15.75">
      <c r="B48" s="58" t="s">
        <v>90</v>
      </c>
      <c r="C48" s="122">
        <v>0.02</v>
      </c>
      <c r="D48" s="84" t="s">
        <v>91</v>
      </c>
      <c r="E48" s="84"/>
      <c r="F48" s="84"/>
      <c r="G48" s="84"/>
      <c r="H48" s="84"/>
      <c r="I48" s="65" t="s">
        <v>72</v>
      </c>
      <c r="J48" s="58"/>
      <c r="K48" s="55"/>
      <c r="L48" s="55"/>
      <c r="M48" s="55"/>
      <c r="N48" s="55"/>
    </row>
    <row r="49" spans="2:14" ht="15.75" customHeight="1">
      <c r="B49" s="58"/>
      <c r="C49" s="289" t="str">
        <f aca="true" t="shared" si="1" ref="C49:H49">C19</f>
        <v>Winter Wheat</v>
      </c>
      <c r="D49" s="287" t="str">
        <f t="shared" si="1"/>
        <v>Spring Wheat</v>
      </c>
      <c r="E49" s="287" t="str">
        <f t="shared" si="1"/>
        <v>Durum</v>
      </c>
      <c r="F49" s="287" t="str">
        <f t="shared" si="1"/>
        <v>Malt Barley</v>
      </c>
      <c r="G49" s="287" t="str">
        <f t="shared" si="1"/>
        <v>Summer Fallow</v>
      </c>
      <c r="H49" s="291" t="str">
        <f t="shared" si="1"/>
        <v>Not Used</v>
      </c>
      <c r="I49" s="65" t="s">
        <v>92</v>
      </c>
      <c r="J49" s="58"/>
      <c r="K49" s="55"/>
      <c r="L49" s="55"/>
      <c r="M49" s="55"/>
      <c r="N49" s="55"/>
    </row>
    <row r="50" spans="2:14" ht="15.75">
      <c r="B50" s="85" t="s">
        <v>93</v>
      </c>
      <c r="C50" s="290"/>
      <c r="D50" s="288"/>
      <c r="E50" s="288"/>
      <c r="F50" s="288"/>
      <c r="G50" s="288"/>
      <c r="H50" s="292"/>
      <c r="I50" s="86" t="s">
        <v>94</v>
      </c>
      <c r="J50" s="58"/>
      <c r="K50" s="55"/>
      <c r="L50" s="55"/>
      <c r="M50" s="55"/>
      <c r="N50" s="55"/>
    </row>
    <row r="51" spans="2:14" ht="15.75">
      <c r="B51" s="58" t="s">
        <v>95</v>
      </c>
      <c r="C51" s="87">
        <f aca="true" t="shared" si="2" ref="C51:H51">C54*(1-(3*$C$48))</f>
        <v>39.48</v>
      </c>
      <c r="D51" s="88">
        <f t="shared" si="2"/>
        <v>26.32</v>
      </c>
      <c r="E51" s="88">
        <f t="shared" si="2"/>
        <v>20.68</v>
      </c>
      <c r="F51" s="88">
        <f t="shared" si="2"/>
        <v>48.879999999999995</v>
      </c>
      <c r="G51" s="88">
        <f t="shared" si="2"/>
        <v>0</v>
      </c>
      <c r="H51" s="88">
        <f t="shared" si="2"/>
        <v>0</v>
      </c>
      <c r="I51" s="89">
        <f aca="true" t="shared" si="3" ref="I51:I57">$C$26*(C51/IF($C$22=0,1,$C$22))+$D$26*(D51/IF($D$22=0,1,$D$22))+$E$26*(E51/IF($E$22=0,1,$E$22))+$F$26*(F51/IF($F$22=0,1,$F$22))+$G$26*(G51/IF($G$22=0,1,$G$22))+$H$26*(H51/IF($H$22=0,1,$H$22))</f>
        <v>30.434222819528323</v>
      </c>
      <c r="J51" s="58"/>
      <c r="K51" s="55"/>
      <c r="L51" s="55"/>
      <c r="M51" s="55"/>
      <c r="N51" s="55"/>
    </row>
    <row r="52" spans="2:14" ht="15.75">
      <c r="B52" s="58" t="s">
        <v>96</v>
      </c>
      <c r="C52" s="90">
        <f aca="true" t="shared" si="4" ref="C52:H52">C54*(1-(2*$C$48))</f>
        <v>40.32</v>
      </c>
      <c r="D52" s="88">
        <f t="shared" si="4"/>
        <v>26.88</v>
      </c>
      <c r="E52" s="88">
        <f t="shared" si="4"/>
        <v>21.119999999999997</v>
      </c>
      <c r="F52" s="88">
        <f t="shared" si="4"/>
        <v>49.92</v>
      </c>
      <c r="G52" s="88">
        <f t="shared" si="4"/>
        <v>0</v>
      </c>
      <c r="H52" s="88">
        <f t="shared" si="4"/>
        <v>0</v>
      </c>
      <c r="I52" s="89">
        <f t="shared" si="3"/>
        <v>31.08175947526297</v>
      </c>
      <c r="J52" s="58"/>
      <c r="K52" s="55"/>
      <c r="L52" s="55"/>
      <c r="M52" s="55"/>
      <c r="N52" s="55"/>
    </row>
    <row r="53" spans="2:14" ht="15.75">
      <c r="B53" s="58" t="s">
        <v>97</v>
      </c>
      <c r="C53" s="90">
        <f aca="true" t="shared" si="5" ref="C53:H53">C54*(1-$C$48)</f>
        <v>41.16</v>
      </c>
      <c r="D53" s="88">
        <f t="shared" si="5"/>
        <v>27.439999999999998</v>
      </c>
      <c r="E53" s="88">
        <f t="shared" si="5"/>
        <v>21.56</v>
      </c>
      <c r="F53" s="88">
        <f t="shared" si="5"/>
        <v>50.96</v>
      </c>
      <c r="G53" s="88">
        <f t="shared" si="5"/>
        <v>0</v>
      </c>
      <c r="H53" s="88">
        <f t="shared" si="5"/>
        <v>0</v>
      </c>
      <c r="I53" s="89">
        <f t="shared" si="3"/>
        <v>31.72929613099761</v>
      </c>
      <c r="J53" s="58"/>
      <c r="K53" s="55"/>
      <c r="L53" s="55"/>
      <c r="M53" s="55"/>
      <c r="N53" s="55"/>
    </row>
    <row r="54" spans="2:14" ht="15.75">
      <c r="B54" s="91" t="s">
        <v>98</v>
      </c>
      <c r="C54" s="92">
        <f aca="true" t="shared" si="6" ref="C54:H54">C22</f>
        <v>42</v>
      </c>
      <c r="D54" s="93">
        <f t="shared" si="6"/>
        <v>28</v>
      </c>
      <c r="E54" s="93">
        <f t="shared" si="6"/>
        <v>22</v>
      </c>
      <c r="F54" s="93">
        <f t="shared" si="6"/>
        <v>52</v>
      </c>
      <c r="G54" s="93">
        <f t="shared" si="6"/>
        <v>0</v>
      </c>
      <c r="H54" s="93">
        <f t="shared" si="6"/>
        <v>0</v>
      </c>
      <c r="I54" s="94">
        <f t="shared" si="3"/>
        <v>32.37683278673226</v>
      </c>
      <c r="J54" s="58"/>
      <c r="K54" s="55"/>
      <c r="L54" s="55"/>
      <c r="M54" s="55"/>
      <c r="N54" s="55"/>
    </row>
    <row r="55" spans="2:14" ht="15.75">
      <c r="B55" s="58" t="s">
        <v>99</v>
      </c>
      <c r="C55" s="90">
        <f aca="true" t="shared" si="7" ref="C55:H55">C54*(1+$C$48)</f>
        <v>42.84</v>
      </c>
      <c r="D55" s="88">
        <f t="shared" si="7"/>
        <v>28.560000000000002</v>
      </c>
      <c r="E55" s="88">
        <f t="shared" si="7"/>
        <v>22.44</v>
      </c>
      <c r="F55" s="88">
        <f t="shared" si="7"/>
        <v>53.04</v>
      </c>
      <c r="G55" s="88">
        <f t="shared" si="7"/>
        <v>0</v>
      </c>
      <c r="H55" s="88">
        <f t="shared" si="7"/>
        <v>0</v>
      </c>
      <c r="I55" s="89">
        <f t="shared" si="3"/>
        <v>33.024369442466906</v>
      </c>
      <c r="J55" s="58"/>
      <c r="K55" s="55"/>
      <c r="L55" s="55"/>
      <c r="M55" s="55"/>
      <c r="N55" s="55"/>
    </row>
    <row r="56" spans="2:14" ht="15.75">
      <c r="B56" s="58" t="s">
        <v>100</v>
      </c>
      <c r="C56" s="90">
        <f aca="true" t="shared" si="8" ref="C56:H56">C54*(1+(2*$C$48))</f>
        <v>43.68</v>
      </c>
      <c r="D56" s="88">
        <f t="shared" si="8"/>
        <v>29.12</v>
      </c>
      <c r="E56" s="88">
        <f t="shared" si="8"/>
        <v>22.880000000000003</v>
      </c>
      <c r="F56" s="88">
        <f t="shared" si="8"/>
        <v>54.08</v>
      </c>
      <c r="G56" s="88">
        <f t="shared" si="8"/>
        <v>0</v>
      </c>
      <c r="H56" s="88">
        <f t="shared" si="8"/>
        <v>0</v>
      </c>
      <c r="I56" s="89">
        <f t="shared" si="3"/>
        <v>33.67190609820155</v>
      </c>
      <c r="J56" s="58"/>
      <c r="K56" s="55"/>
      <c r="L56" s="55"/>
      <c r="M56" s="55"/>
      <c r="N56" s="55"/>
    </row>
    <row r="57" spans="2:14" ht="15.75">
      <c r="B57" s="95" t="s">
        <v>101</v>
      </c>
      <c r="C57" s="96">
        <f aca="true" t="shared" si="9" ref="C57:H57">C54*(1+(3*$C$48))</f>
        <v>44.52</v>
      </c>
      <c r="D57" s="97">
        <f t="shared" si="9"/>
        <v>29.68</v>
      </c>
      <c r="E57" s="97">
        <f t="shared" si="9"/>
        <v>23.32</v>
      </c>
      <c r="F57" s="97">
        <f t="shared" si="9"/>
        <v>55.120000000000005</v>
      </c>
      <c r="G57" s="97">
        <f t="shared" si="9"/>
        <v>0</v>
      </c>
      <c r="H57" s="97">
        <f t="shared" si="9"/>
        <v>0</v>
      </c>
      <c r="I57" s="98">
        <f t="shared" si="3"/>
        <v>34.3194427539362</v>
      </c>
      <c r="J57" s="58"/>
      <c r="K57" s="55"/>
      <c r="L57" s="55"/>
      <c r="M57" s="55"/>
      <c r="N57" s="55"/>
    </row>
    <row r="58" spans="2:14" ht="15.75">
      <c r="B58" s="58"/>
      <c r="C58" s="58"/>
      <c r="D58" s="58"/>
      <c r="E58" s="58"/>
      <c r="F58" s="58"/>
      <c r="G58" s="58"/>
      <c r="H58" s="58"/>
      <c r="I58" s="58"/>
      <c r="J58" s="58"/>
      <c r="K58" s="55"/>
      <c r="L58" s="55"/>
      <c r="M58" s="55"/>
      <c r="N58" s="55"/>
    </row>
    <row r="59" spans="2:14" ht="20.25">
      <c r="B59" s="134" t="s">
        <v>134</v>
      </c>
      <c r="C59" s="130"/>
      <c r="D59" s="130"/>
      <c r="E59" s="130"/>
      <c r="F59" s="130"/>
      <c r="G59" s="130"/>
      <c r="H59" s="130"/>
      <c r="I59" s="130"/>
      <c r="J59" s="79"/>
      <c r="K59" s="55"/>
      <c r="L59" s="55"/>
      <c r="M59" s="55"/>
      <c r="N59" s="55"/>
    </row>
    <row r="60" spans="2:14" ht="15.75">
      <c r="B60" s="58"/>
      <c r="C60" s="58"/>
      <c r="D60" s="58"/>
      <c r="E60" s="58"/>
      <c r="F60" s="58"/>
      <c r="G60" s="58"/>
      <c r="H60" s="58"/>
      <c r="I60" s="58"/>
      <c r="J60" s="55"/>
      <c r="K60" s="55"/>
      <c r="L60" s="55"/>
      <c r="M60" s="55"/>
      <c r="N60" s="55"/>
    </row>
    <row r="61" spans="2:14" ht="15.75">
      <c r="B61" s="58"/>
      <c r="C61" s="58"/>
      <c r="D61" s="58"/>
      <c r="E61" s="58"/>
      <c r="F61" s="58"/>
      <c r="G61" s="58"/>
      <c r="H61" s="58"/>
      <c r="I61" s="58"/>
      <c r="J61" s="55"/>
      <c r="K61" s="55"/>
      <c r="L61" s="55"/>
      <c r="M61" s="55"/>
      <c r="N61" s="55"/>
    </row>
    <row r="62" spans="2:14" ht="15.75">
      <c r="B62" s="58" t="s">
        <v>102</v>
      </c>
      <c r="C62" s="58"/>
      <c r="D62" s="58"/>
      <c r="E62" s="58"/>
      <c r="F62" s="58" t="s">
        <v>85</v>
      </c>
      <c r="G62" s="58"/>
      <c r="H62" s="58"/>
      <c r="I62" s="81"/>
      <c r="J62" s="55"/>
      <c r="K62" s="55"/>
      <c r="L62" s="55"/>
      <c r="M62" s="55"/>
      <c r="N62" s="55"/>
    </row>
    <row r="63" spans="2:14" ht="15.75">
      <c r="B63" s="58" t="s">
        <v>123</v>
      </c>
      <c r="C63" s="58"/>
      <c r="D63" s="58"/>
      <c r="E63" s="58"/>
      <c r="F63" s="58"/>
      <c r="G63" s="58"/>
      <c r="H63" s="58"/>
      <c r="I63" s="58"/>
      <c r="J63" s="55"/>
      <c r="K63" s="55"/>
      <c r="L63" s="55"/>
      <c r="M63" s="55"/>
      <c r="N63" s="55"/>
    </row>
    <row r="64" spans="2:14" ht="15.75">
      <c r="B64" s="58"/>
      <c r="C64" s="58"/>
      <c r="D64" s="58"/>
      <c r="E64" s="58"/>
      <c r="F64" s="58"/>
      <c r="G64" s="58"/>
      <c r="H64" s="58"/>
      <c r="I64" s="58"/>
      <c r="J64" s="55"/>
      <c r="K64" s="55"/>
      <c r="L64" s="55"/>
      <c r="M64" s="55"/>
      <c r="N64" s="55"/>
    </row>
    <row r="65" spans="2:14" ht="15.75">
      <c r="B65" s="58"/>
      <c r="C65" s="58"/>
      <c r="D65" s="58"/>
      <c r="E65" s="58"/>
      <c r="F65" s="58"/>
      <c r="G65" s="58"/>
      <c r="H65" s="58"/>
      <c r="I65" s="58"/>
      <c r="J65" s="58"/>
      <c r="K65" s="58"/>
      <c r="L65" s="55"/>
      <c r="M65" s="55"/>
      <c r="N65" s="55"/>
    </row>
    <row r="66" spans="2:14" ht="15.75">
      <c r="B66" s="58"/>
      <c r="C66" s="62" t="s">
        <v>103</v>
      </c>
      <c r="D66" s="58"/>
      <c r="E66" s="58"/>
      <c r="F66" s="58"/>
      <c r="G66" s="58"/>
      <c r="H66" s="58"/>
      <c r="I66" s="58"/>
      <c r="J66" s="58"/>
      <c r="K66" s="58"/>
      <c r="L66" s="55"/>
      <c r="M66" s="55"/>
      <c r="N66" s="55"/>
    </row>
    <row r="67" spans="2:14" ht="15.75" customHeight="1">
      <c r="B67" s="58"/>
      <c r="C67" s="289" t="str">
        <f aca="true" t="shared" si="10" ref="C67:H67">C19</f>
        <v>Winter Wheat</v>
      </c>
      <c r="D67" s="287" t="str">
        <f t="shared" si="10"/>
        <v>Spring Wheat</v>
      </c>
      <c r="E67" s="287" t="str">
        <f t="shared" si="10"/>
        <v>Durum</v>
      </c>
      <c r="F67" s="287" t="str">
        <f t="shared" si="10"/>
        <v>Malt Barley</v>
      </c>
      <c r="G67" s="287" t="str">
        <f t="shared" si="10"/>
        <v>Summer Fallow</v>
      </c>
      <c r="H67" s="291" t="str">
        <f t="shared" si="10"/>
        <v>Not Used</v>
      </c>
      <c r="I67" s="58"/>
      <c r="J67" s="58"/>
      <c r="K67" s="58"/>
      <c r="L67" s="55"/>
      <c r="M67" s="55"/>
      <c r="N67" s="55"/>
    </row>
    <row r="68" spans="2:14" ht="15.75">
      <c r="B68" s="55"/>
      <c r="C68" s="290"/>
      <c r="D68" s="288"/>
      <c r="E68" s="288"/>
      <c r="F68" s="288"/>
      <c r="G68" s="288"/>
      <c r="H68" s="292"/>
      <c r="I68" s="99"/>
      <c r="J68" s="58"/>
      <c r="K68" s="58"/>
      <c r="L68" s="55"/>
      <c r="M68" s="55"/>
      <c r="N68" s="55"/>
    </row>
    <row r="69" spans="2:14" ht="15.75">
      <c r="B69" s="240" t="s">
        <v>104</v>
      </c>
      <c r="C69" s="241">
        <v>7.5</v>
      </c>
      <c r="D69" s="242">
        <v>9</v>
      </c>
      <c r="E69" s="242">
        <v>10.5</v>
      </c>
      <c r="F69" s="243">
        <v>11.5</v>
      </c>
      <c r="G69" s="242">
        <v>0</v>
      </c>
      <c r="H69" s="242">
        <v>0</v>
      </c>
      <c r="I69" s="100"/>
      <c r="J69" s="58"/>
      <c r="K69" s="58"/>
      <c r="L69" s="55"/>
      <c r="M69" s="55"/>
      <c r="N69" s="55"/>
    </row>
    <row r="70" spans="2:14" ht="15.75">
      <c r="B70" s="58" t="s">
        <v>105</v>
      </c>
      <c r="C70" s="82">
        <f>IF($C$23&lt;=0,0,C69/$C$23)</f>
        <v>0.967741935483871</v>
      </c>
      <c r="D70" s="82">
        <f>IF(D23&lt;=0,0,D69/D23)</f>
        <v>1.0588235294117647</v>
      </c>
      <c r="E70" s="82">
        <f>IF(E23&lt;=0,0,E69/E23)</f>
        <v>0.9545454545454546</v>
      </c>
      <c r="F70" s="82">
        <f>IF(F23&lt;=0,0,F69/F23)</f>
        <v>0.9583333333333334</v>
      </c>
      <c r="G70" s="82">
        <f>IF(G23&lt;=0,0,G69/G23)</f>
        <v>0</v>
      </c>
      <c r="H70" s="82">
        <f>IF(H23&lt;=0,0,H69/H23)</f>
        <v>0</v>
      </c>
      <c r="I70" s="83">
        <f>C26*C70+D26*D70+E26*E70+F26*F70+G26*G70+H26*H70</f>
        <v>32.02323190975947</v>
      </c>
      <c r="J70" s="58"/>
      <c r="K70" s="58"/>
      <c r="L70" s="55"/>
      <c r="M70" s="55"/>
      <c r="N70" s="55"/>
    </row>
    <row r="71" spans="2:14" ht="15.75">
      <c r="B71" s="58"/>
      <c r="C71" s="58"/>
      <c r="D71" s="58"/>
      <c r="E71" s="58"/>
      <c r="F71" s="58"/>
      <c r="G71" s="58"/>
      <c r="H71" s="78" t="s">
        <v>132</v>
      </c>
      <c r="I71" s="163">
        <f>+I70*I27</f>
        <v>80058.07977439866</v>
      </c>
      <c r="J71" s="58"/>
      <c r="K71" s="58"/>
      <c r="L71" s="55"/>
      <c r="M71" s="55"/>
      <c r="N71" s="55"/>
    </row>
    <row r="72" spans="2:14" ht="15.75">
      <c r="B72" s="58"/>
      <c r="C72" s="58"/>
      <c r="D72" s="58"/>
      <c r="E72" s="58"/>
      <c r="F72" s="58"/>
      <c r="G72" s="58"/>
      <c r="H72" s="58"/>
      <c r="I72" s="58"/>
      <c r="J72" s="58"/>
      <c r="K72" s="58"/>
      <c r="L72" s="55"/>
      <c r="M72" s="55"/>
      <c r="N72" s="55"/>
    </row>
    <row r="73" spans="2:14" ht="18.75">
      <c r="B73" s="58" t="s">
        <v>89</v>
      </c>
      <c r="C73" s="58"/>
      <c r="D73" s="84" t="s">
        <v>119</v>
      </c>
      <c r="E73" s="84"/>
      <c r="F73" s="84"/>
      <c r="G73" s="84"/>
      <c r="H73" s="84"/>
      <c r="I73" s="58"/>
      <c r="J73" s="58"/>
      <c r="K73" s="58"/>
      <c r="L73" s="55"/>
      <c r="M73" s="55"/>
      <c r="N73" s="55"/>
    </row>
    <row r="74" spans="2:14" ht="15.75">
      <c r="B74" s="58" t="s">
        <v>106</v>
      </c>
      <c r="C74" s="122">
        <v>0.05</v>
      </c>
      <c r="D74" s="84" t="s">
        <v>91</v>
      </c>
      <c r="E74" s="84"/>
      <c r="F74" s="84"/>
      <c r="G74" s="84"/>
      <c r="H74" s="84"/>
      <c r="I74" s="65" t="s">
        <v>72</v>
      </c>
      <c r="J74" s="58"/>
      <c r="K74" s="58"/>
      <c r="L74" s="55"/>
      <c r="M74" s="55"/>
      <c r="N74" s="55"/>
    </row>
    <row r="75" spans="2:14" ht="15.75" customHeight="1">
      <c r="B75" s="58"/>
      <c r="C75" s="289" t="str">
        <f aca="true" t="shared" si="11" ref="C75:H75">C19</f>
        <v>Winter Wheat</v>
      </c>
      <c r="D75" s="287" t="str">
        <f t="shared" si="11"/>
        <v>Spring Wheat</v>
      </c>
      <c r="E75" s="287" t="str">
        <f t="shared" si="11"/>
        <v>Durum</v>
      </c>
      <c r="F75" s="287" t="str">
        <f t="shared" si="11"/>
        <v>Malt Barley</v>
      </c>
      <c r="G75" s="287" t="str">
        <f t="shared" si="11"/>
        <v>Summer Fallow</v>
      </c>
      <c r="H75" s="291" t="str">
        <f t="shared" si="11"/>
        <v>Not Used</v>
      </c>
      <c r="I75" s="65" t="s">
        <v>92</v>
      </c>
      <c r="J75" s="58"/>
      <c r="K75" s="58"/>
      <c r="L75" s="55"/>
      <c r="M75" s="55"/>
      <c r="N75" s="55"/>
    </row>
    <row r="76" spans="2:14" ht="15.75">
      <c r="B76" s="85" t="s">
        <v>107</v>
      </c>
      <c r="C76" s="290"/>
      <c r="D76" s="288"/>
      <c r="E76" s="288"/>
      <c r="F76" s="288"/>
      <c r="G76" s="288"/>
      <c r="H76" s="292"/>
      <c r="I76" s="86" t="s">
        <v>108</v>
      </c>
      <c r="J76" s="58"/>
      <c r="K76" s="58"/>
      <c r="L76" s="55"/>
      <c r="M76" s="55"/>
      <c r="N76" s="55"/>
    </row>
    <row r="77" spans="2:14" ht="15.75">
      <c r="B77" s="58" t="s">
        <v>95</v>
      </c>
      <c r="C77" s="101">
        <f aca="true" t="shared" si="12" ref="C77:H77">C80*(1-(3*$C$74))</f>
        <v>6.5874999999999995</v>
      </c>
      <c r="D77" s="102">
        <f t="shared" si="12"/>
        <v>7.225</v>
      </c>
      <c r="E77" s="102">
        <f t="shared" si="12"/>
        <v>9.35</v>
      </c>
      <c r="F77" s="102">
        <f t="shared" si="12"/>
        <v>10.2</v>
      </c>
      <c r="G77" s="102">
        <f t="shared" si="12"/>
        <v>0</v>
      </c>
      <c r="H77" s="103">
        <f t="shared" si="12"/>
        <v>0</v>
      </c>
      <c r="I77" s="104">
        <f aca="true" t="shared" si="13" ref="I77:I83">$C$26*(C77/IF($C$23=0,1,$C$23))+$D$26*(D77/IF($D$23=0,1,$D$23))+$E$26*(E77/IF($E$23=0,1,$E$23))+$F$26*(F77/IF($F$23=0,1,$F$23))+$G$26*(G77/IF($G$23=0,1,$G$23))+$H$26*(H77/IF($H$23=0,1,$H$23))</f>
        <v>27.52030786872242</v>
      </c>
      <c r="J77" s="58"/>
      <c r="K77" s="58"/>
      <c r="L77" s="55"/>
      <c r="M77" s="55"/>
      <c r="N77" s="55"/>
    </row>
    <row r="78" spans="2:14" ht="15.75">
      <c r="B78" s="58" t="s">
        <v>96</v>
      </c>
      <c r="C78" s="105">
        <f aca="true" t="shared" si="14" ref="C78:H78">C80*(1-(2*$C$74))</f>
        <v>6.9750000000000005</v>
      </c>
      <c r="D78" s="106">
        <f t="shared" si="14"/>
        <v>7.65</v>
      </c>
      <c r="E78" s="106">
        <f t="shared" si="14"/>
        <v>9.9</v>
      </c>
      <c r="F78" s="106">
        <f t="shared" si="14"/>
        <v>10.8</v>
      </c>
      <c r="G78" s="106">
        <f t="shared" si="14"/>
        <v>0</v>
      </c>
      <c r="H78" s="107">
        <f t="shared" si="14"/>
        <v>0</v>
      </c>
      <c r="I78" s="104">
        <f t="shared" si="13"/>
        <v>29.139149508059035</v>
      </c>
      <c r="J78" s="58"/>
      <c r="K78" s="58"/>
      <c r="L78" s="55"/>
      <c r="M78" s="55"/>
      <c r="N78" s="55"/>
    </row>
    <row r="79" spans="2:14" ht="15.75">
      <c r="B79" s="58" t="s">
        <v>97</v>
      </c>
      <c r="C79" s="105">
        <f aca="true" t="shared" si="15" ref="C79:H79">C80*(1-$C$74)</f>
        <v>7.3625</v>
      </c>
      <c r="D79" s="106">
        <f t="shared" si="15"/>
        <v>8.075</v>
      </c>
      <c r="E79" s="106">
        <f t="shared" si="15"/>
        <v>10.45</v>
      </c>
      <c r="F79" s="106">
        <f t="shared" si="15"/>
        <v>11.399999999999999</v>
      </c>
      <c r="G79" s="106">
        <f t="shared" si="15"/>
        <v>0</v>
      </c>
      <c r="H79" s="107">
        <f t="shared" si="15"/>
        <v>0</v>
      </c>
      <c r="I79" s="104">
        <f t="shared" si="13"/>
        <v>30.757991147395643</v>
      </c>
      <c r="J79" s="58"/>
      <c r="K79" s="58"/>
      <c r="L79" s="55"/>
      <c r="M79" s="55"/>
      <c r="N79" s="55"/>
    </row>
    <row r="80" spans="2:14" ht="15.75">
      <c r="B80" s="91" t="s">
        <v>109</v>
      </c>
      <c r="C80" s="108">
        <f aca="true" t="shared" si="16" ref="C80:H80">C23</f>
        <v>7.75</v>
      </c>
      <c r="D80" s="109">
        <f t="shared" si="16"/>
        <v>8.5</v>
      </c>
      <c r="E80" s="109">
        <f t="shared" si="16"/>
        <v>11</v>
      </c>
      <c r="F80" s="110">
        <f t="shared" si="16"/>
        <v>12</v>
      </c>
      <c r="G80" s="109">
        <f t="shared" si="16"/>
        <v>0</v>
      </c>
      <c r="H80" s="111">
        <f t="shared" si="16"/>
        <v>0</v>
      </c>
      <c r="I80" s="112">
        <f t="shared" si="13"/>
        <v>32.37683278673226</v>
      </c>
      <c r="J80" s="58"/>
      <c r="K80" s="58"/>
      <c r="L80" s="55"/>
      <c r="M80" s="55"/>
      <c r="N80" s="55"/>
    </row>
    <row r="81" spans="2:14" ht="15.75">
      <c r="B81" s="58" t="s">
        <v>99</v>
      </c>
      <c r="C81" s="105">
        <f aca="true" t="shared" si="17" ref="C81:H81">C80*(1+$C$74)</f>
        <v>8.137500000000001</v>
      </c>
      <c r="D81" s="106">
        <f t="shared" si="17"/>
        <v>8.925</v>
      </c>
      <c r="E81" s="106">
        <f t="shared" si="17"/>
        <v>11.55</v>
      </c>
      <c r="F81" s="106">
        <f t="shared" si="17"/>
        <v>12.600000000000001</v>
      </c>
      <c r="G81" s="106">
        <f t="shared" si="17"/>
        <v>0</v>
      </c>
      <c r="H81" s="107">
        <f t="shared" si="17"/>
        <v>0</v>
      </c>
      <c r="I81" s="104">
        <f t="shared" si="13"/>
        <v>33.99567442606888</v>
      </c>
      <c r="J81" s="58"/>
      <c r="K81" s="58"/>
      <c r="L81" s="55"/>
      <c r="M81" s="55"/>
      <c r="N81" s="55"/>
    </row>
    <row r="82" spans="2:14" ht="15.75">
      <c r="B82" s="58" t="s">
        <v>100</v>
      </c>
      <c r="C82" s="105">
        <f aca="true" t="shared" si="18" ref="C82:H82">C80*(1+(2*$C$74))</f>
        <v>8.525</v>
      </c>
      <c r="D82" s="106">
        <f t="shared" si="18"/>
        <v>9.350000000000001</v>
      </c>
      <c r="E82" s="106">
        <f t="shared" si="18"/>
        <v>12.100000000000001</v>
      </c>
      <c r="F82" s="106">
        <f t="shared" si="18"/>
        <v>13.200000000000001</v>
      </c>
      <c r="G82" s="106">
        <f t="shared" si="18"/>
        <v>0</v>
      </c>
      <c r="H82" s="107">
        <f t="shared" si="18"/>
        <v>0</v>
      </c>
      <c r="I82" s="104">
        <f t="shared" si="13"/>
        <v>35.61451606540549</v>
      </c>
      <c r="J82" s="58"/>
      <c r="K82" s="58"/>
      <c r="L82" s="55"/>
      <c r="M82" s="55"/>
      <c r="N82" s="55"/>
    </row>
    <row r="83" spans="2:14" ht="15.75">
      <c r="B83" s="113" t="s">
        <v>101</v>
      </c>
      <c r="C83" s="114">
        <f aca="true" t="shared" si="19" ref="C83:H83">C80*(1+(3*$C$74))</f>
        <v>8.9125</v>
      </c>
      <c r="D83" s="115">
        <f t="shared" si="19"/>
        <v>9.774999999999999</v>
      </c>
      <c r="E83" s="115">
        <f t="shared" si="19"/>
        <v>12.649999999999999</v>
      </c>
      <c r="F83" s="115">
        <f t="shared" si="19"/>
        <v>13.799999999999999</v>
      </c>
      <c r="G83" s="115">
        <f t="shared" si="19"/>
        <v>0</v>
      </c>
      <c r="H83" s="116">
        <f t="shared" si="19"/>
        <v>0</v>
      </c>
      <c r="I83" s="117">
        <f t="shared" si="13"/>
        <v>37.2333577047421</v>
      </c>
      <c r="J83" s="58"/>
      <c r="K83" s="58"/>
      <c r="L83" s="55"/>
      <c r="M83" s="55"/>
      <c r="N83" s="55"/>
    </row>
    <row r="84" spans="2:14" ht="15.75">
      <c r="B84" s="58"/>
      <c r="C84" s="58"/>
      <c r="D84" s="58"/>
      <c r="E84" s="58"/>
      <c r="F84" s="58"/>
      <c r="G84" s="58"/>
      <c r="H84" s="58"/>
      <c r="I84" s="58"/>
      <c r="J84" s="58"/>
      <c r="K84" s="58"/>
      <c r="L84" s="55"/>
      <c r="M84" s="55"/>
      <c r="N84" s="55"/>
    </row>
    <row r="85" spans="2:14" ht="20.25">
      <c r="B85" s="134" t="s">
        <v>135</v>
      </c>
      <c r="C85" s="130"/>
      <c r="D85" s="130"/>
      <c r="E85" s="130"/>
      <c r="F85" s="130"/>
      <c r="G85" s="130"/>
      <c r="H85" s="130"/>
      <c r="I85" s="130"/>
      <c r="J85" s="79"/>
      <c r="K85" s="58"/>
      <c r="L85" s="55"/>
      <c r="M85" s="55"/>
      <c r="N85" s="55"/>
    </row>
    <row r="86" spans="2:14" ht="15.75">
      <c r="B86" s="58"/>
      <c r="C86" s="62"/>
      <c r="D86" s="58"/>
      <c r="E86" s="58"/>
      <c r="F86" s="58"/>
      <c r="G86" s="58"/>
      <c r="H86" s="58"/>
      <c r="I86" s="58"/>
      <c r="J86" s="58"/>
      <c r="K86" s="58"/>
      <c r="L86" s="55"/>
      <c r="M86" s="55"/>
      <c r="N86" s="55"/>
    </row>
    <row r="87" spans="2:14" ht="15.75" customHeight="1">
      <c r="B87" s="58"/>
      <c r="C87" s="289" t="str">
        <f aca="true" t="shared" si="20" ref="C87:H87">C19</f>
        <v>Winter Wheat</v>
      </c>
      <c r="D87" s="287" t="str">
        <f t="shared" si="20"/>
        <v>Spring Wheat</v>
      </c>
      <c r="E87" s="287" t="str">
        <f t="shared" si="20"/>
        <v>Durum</v>
      </c>
      <c r="F87" s="287" t="str">
        <f t="shared" si="20"/>
        <v>Malt Barley</v>
      </c>
      <c r="G87" s="287" t="str">
        <f t="shared" si="20"/>
        <v>Summer Fallow</v>
      </c>
      <c r="H87" s="291" t="str">
        <f t="shared" si="20"/>
        <v>Not Used</v>
      </c>
      <c r="I87" s="58" t="s">
        <v>72</v>
      </c>
      <c r="J87" s="58"/>
      <c r="K87" s="58"/>
      <c r="L87" s="55"/>
      <c r="M87" s="55"/>
      <c r="N87" s="55"/>
    </row>
    <row r="88" spans="2:14" ht="15.75">
      <c r="B88" s="58"/>
      <c r="C88" s="290"/>
      <c r="D88" s="288"/>
      <c r="E88" s="288"/>
      <c r="F88" s="288"/>
      <c r="G88" s="288"/>
      <c r="H88" s="292"/>
      <c r="I88" s="58" t="s">
        <v>110</v>
      </c>
      <c r="J88" s="58"/>
      <c r="K88" s="58"/>
      <c r="L88" s="55"/>
      <c r="M88" s="55"/>
      <c r="N88" s="55"/>
    </row>
    <row r="89" spans="2:14" ht="15.75">
      <c r="B89" s="252" t="s">
        <v>87</v>
      </c>
      <c r="C89" s="244">
        <f aca="true" t="shared" si="21" ref="C89:H89">C43</f>
        <v>35</v>
      </c>
      <c r="D89" s="245">
        <f t="shared" si="21"/>
        <v>30</v>
      </c>
      <c r="E89" s="245">
        <f t="shared" si="21"/>
        <v>22</v>
      </c>
      <c r="F89" s="246">
        <f t="shared" si="21"/>
        <v>55</v>
      </c>
      <c r="G89" s="245">
        <f t="shared" si="21"/>
        <v>0</v>
      </c>
      <c r="H89" s="247">
        <f t="shared" si="21"/>
        <v>0</v>
      </c>
      <c r="I89" s="58" t="s">
        <v>111</v>
      </c>
      <c r="J89" s="58"/>
      <c r="K89" s="58"/>
      <c r="L89" s="55"/>
      <c r="M89" s="55"/>
      <c r="N89" s="55"/>
    </row>
    <row r="90" spans="2:14" ht="15.75">
      <c r="B90" s="253" t="s">
        <v>104</v>
      </c>
      <c r="C90" s="248">
        <f aca="true" t="shared" si="22" ref="C90:H90">C69</f>
        <v>7.5</v>
      </c>
      <c r="D90" s="249">
        <f t="shared" si="22"/>
        <v>9</v>
      </c>
      <c r="E90" s="249">
        <f t="shared" si="22"/>
        <v>10.5</v>
      </c>
      <c r="F90" s="250">
        <f t="shared" si="22"/>
        <v>11.5</v>
      </c>
      <c r="G90" s="249">
        <f t="shared" si="22"/>
        <v>0</v>
      </c>
      <c r="H90" s="251">
        <f t="shared" si="22"/>
        <v>0</v>
      </c>
      <c r="I90" s="58" t="s">
        <v>112</v>
      </c>
      <c r="J90" s="58"/>
      <c r="K90" s="58"/>
      <c r="L90" s="55"/>
      <c r="M90" s="55"/>
      <c r="N90" s="55"/>
    </row>
    <row r="91" spans="2:14" ht="15.75">
      <c r="B91" s="58" t="s">
        <v>88</v>
      </c>
      <c r="C91" s="82">
        <f>IF($C$22&lt;=0,0,C89/$C$22)</f>
        <v>0.8333333333333334</v>
      </c>
      <c r="D91" s="82">
        <f>IF($D$22&lt;=0,0,D89/$D$22)</f>
        <v>1.0714285714285714</v>
      </c>
      <c r="E91" s="82">
        <f>IF($E$22&lt;=0,0,E89/$E$22)</f>
        <v>1</v>
      </c>
      <c r="F91" s="82">
        <f>IF($F$22&lt;=0,0,F43/$F$22)</f>
        <v>1.0576923076923077</v>
      </c>
      <c r="G91" s="82">
        <f>IF($G$22&lt;=0,0,G89/$G$22)</f>
        <v>0</v>
      </c>
      <c r="H91" s="82">
        <f>IF($H$22&lt;=0,0,H89/$H$22)</f>
        <v>0</v>
      </c>
      <c r="I91" s="58" t="s">
        <v>113</v>
      </c>
      <c r="J91" s="58"/>
      <c r="K91" s="58"/>
      <c r="L91" s="55"/>
      <c r="M91" s="55"/>
      <c r="N91" s="55"/>
    </row>
    <row r="92" spans="2:14" ht="15.75">
      <c r="B92" s="58" t="str">
        <f>B70</f>
        <v>Price Ratio</v>
      </c>
      <c r="C92" s="82">
        <f>IF($C$23&lt;=0,0,C90/$C$23)</f>
        <v>0.967741935483871</v>
      </c>
      <c r="D92" s="82">
        <f>IF($D$23&lt;=0,0,D90/$D$23)</f>
        <v>1.0588235294117647</v>
      </c>
      <c r="E92" s="82">
        <f>IF($E$23&lt;=0,0,E90/$E$23)</f>
        <v>0.9545454545454546</v>
      </c>
      <c r="F92" s="82">
        <f>IF($E$23&lt;=0,0,F90/$E$23)</f>
        <v>1.0454545454545454</v>
      </c>
      <c r="G92" s="82">
        <f>IF($G$23&lt;=0,0,G90/$G$23)</f>
        <v>0</v>
      </c>
      <c r="H92" s="82">
        <f>IF($H$23&lt;=0,0,H90/$H$23)</f>
        <v>0</v>
      </c>
      <c r="I92" s="118">
        <f>C26*C91*C92+D26*D91*D92+E26*E91*E92+F26*F91*F92+G26*G91*G92+H26*H91*H92</f>
        <v>33.02903018805398</v>
      </c>
      <c r="J92" s="58"/>
      <c r="K92" s="58"/>
      <c r="L92" s="55"/>
      <c r="M92" s="55"/>
      <c r="N92" s="55"/>
    </row>
    <row r="93" spans="2:14" ht="15.75">
      <c r="B93" s="58"/>
      <c r="C93" s="82"/>
      <c r="D93" s="82"/>
      <c r="E93" s="82"/>
      <c r="F93" s="119"/>
      <c r="G93" s="82"/>
      <c r="H93" s="78" t="s">
        <v>132</v>
      </c>
      <c r="I93" s="164">
        <f>I92*I27</f>
        <v>82572.57547013495</v>
      </c>
      <c r="J93" s="58"/>
      <c r="K93" s="58"/>
      <c r="L93" s="55"/>
      <c r="M93" s="55"/>
      <c r="N93" s="55"/>
    </row>
    <row r="94" spans="2:14" ht="15.75">
      <c r="B94" s="58"/>
      <c r="C94" s="58"/>
      <c r="D94" s="58"/>
      <c r="E94" s="58"/>
      <c r="F94" s="58"/>
      <c r="G94" s="58"/>
      <c r="H94" s="58"/>
      <c r="I94" s="58"/>
      <c r="J94" s="58"/>
      <c r="K94" s="58"/>
      <c r="L94" s="55"/>
      <c r="M94" s="55"/>
      <c r="N94" s="55"/>
    </row>
    <row r="95" spans="2:14" ht="15.75">
      <c r="B95" s="58"/>
      <c r="C95" s="58" t="s">
        <v>125</v>
      </c>
      <c r="D95" s="58"/>
      <c r="E95" s="58"/>
      <c r="F95" s="58"/>
      <c r="G95" s="58"/>
      <c r="H95" s="58"/>
      <c r="I95" s="58"/>
      <c r="J95" s="58"/>
      <c r="K95" s="58"/>
      <c r="L95" s="55"/>
      <c r="M95" s="55"/>
      <c r="N95" s="55"/>
    </row>
    <row r="96" spans="2:14" ht="15">
      <c r="B96" s="55"/>
      <c r="C96" s="120" t="s">
        <v>126</v>
      </c>
      <c r="D96" s="55"/>
      <c r="E96" s="121" t="s">
        <v>87</v>
      </c>
      <c r="F96" s="55"/>
      <c r="G96" s="121" t="s">
        <v>104</v>
      </c>
      <c r="H96" s="55"/>
      <c r="I96" s="55"/>
      <c r="J96" s="55"/>
      <c r="K96" s="55"/>
      <c r="L96" s="55"/>
      <c r="M96" s="55"/>
      <c r="N96" s="55"/>
    </row>
    <row r="97" spans="2:14" ht="15">
      <c r="B97" s="55"/>
      <c r="C97" s="120" t="s">
        <v>129</v>
      </c>
      <c r="D97" s="55"/>
      <c r="E97" s="120" t="s">
        <v>127</v>
      </c>
      <c r="F97" s="55"/>
      <c r="G97" s="120" t="s">
        <v>128</v>
      </c>
      <c r="H97" s="55"/>
      <c r="I97" s="55"/>
      <c r="J97" s="55"/>
      <c r="K97" s="55"/>
      <c r="L97" s="55"/>
      <c r="M97" s="55"/>
      <c r="N97" s="55"/>
    </row>
    <row r="98" spans="2:14" ht="15.75">
      <c r="B98" s="55"/>
      <c r="C98" s="55"/>
      <c r="D98" s="55"/>
      <c r="E98" s="55"/>
      <c r="F98" s="55"/>
      <c r="G98" s="55"/>
      <c r="H98" s="55"/>
      <c r="I98" s="55"/>
      <c r="J98" s="55"/>
      <c r="K98" s="55"/>
      <c r="L98" s="55"/>
      <c r="M98" s="55"/>
      <c r="N98" s="55"/>
    </row>
    <row r="99" spans="2:14" ht="15.75">
      <c r="B99" s="55"/>
      <c r="C99" s="55"/>
      <c r="D99" s="55"/>
      <c r="E99" s="55"/>
      <c r="F99" s="55"/>
      <c r="G99" s="55"/>
      <c r="H99" s="55"/>
      <c r="I99" s="55"/>
      <c r="J99" s="55"/>
      <c r="K99" s="55"/>
      <c r="L99" s="55"/>
      <c r="M99" s="55"/>
      <c r="N99" s="55"/>
    </row>
    <row r="100" spans="2:14" ht="15.75">
      <c r="B100" s="55"/>
      <c r="C100" s="55"/>
      <c r="D100" s="55"/>
      <c r="E100" s="55"/>
      <c r="F100" s="55"/>
      <c r="G100" s="55"/>
      <c r="H100" s="55"/>
      <c r="I100" s="55"/>
      <c r="J100" s="55"/>
      <c r="K100" s="55"/>
      <c r="L100" s="55"/>
      <c r="M100" s="55"/>
      <c r="N100" s="55"/>
    </row>
    <row r="101" spans="2:14" ht="15.75">
      <c r="B101" s="55"/>
      <c r="C101" s="55"/>
      <c r="D101" s="55"/>
      <c r="E101" s="55"/>
      <c r="F101" s="55"/>
      <c r="G101" s="55"/>
      <c r="H101" s="55"/>
      <c r="I101" s="55"/>
      <c r="J101" s="55"/>
      <c r="K101" s="55"/>
      <c r="L101" s="55"/>
      <c r="M101" s="55"/>
      <c r="N101" s="55"/>
    </row>
    <row r="102" spans="2:14" ht="15.75">
      <c r="B102" s="55"/>
      <c r="C102" s="55"/>
      <c r="D102" s="55"/>
      <c r="E102" s="55"/>
      <c r="F102" s="55"/>
      <c r="G102" s="55"/>
      <c r="H102" s="55"/>
      <c r="I102" s="55"/>
      <c r="J102" s="55"/>
      <c r="K102" s="55"/>
      <c r="L102" s="55"/>
      <c r="M102" s="55"/>
      <c r="N102" s="55"/>
    </row>
  </sheetData>
  <sheetProtection sheet="1" formatCells="0" formatColumns="0" formatRows="0"/>
  <mergeCells count="36">
    <mergeCell ref="G19:G20"/>
    <mergeCell ref="H19:H20"/>
    <mergeCell ref="G41:G42"/>
    <mergeCell ref="H41:H42"/>
    <mergeCell ref="E41:E42"/>
    <mergeCell ref="F41:F42"/>
    <mergeCell ref="E19:E20"/>
    <mergeCell ref="F19:F20"/>
    <mergeCell ref="C19:C20"/>
    <mergeCell ref="D19:D20"/>
    <mergeCell ref="C41:C42"/>
    <mergeCell ref="D41:D42"/>
    <mergeCell ref="C67:C68"/>
    <mergeCell ref="D67:D68"/>
    <mergeCell ref="E67:E68"/>
    <mergeCell ref="F67:F68"/>
    <mergeCell ref="C49:C50"/>
    <mergeCell ref="D49:D50"/>
    <mergeCell ref="E49:E50"/>
    <mergeCell ref="F49:F50"/>
    <mergeCell ref="G49:G50"/>
    <mergeCell ref="H49:H50"/>
    <mergeCell ref="G67:G68"/>
    <mergeCell ref="H67:H68"/>
    <mergeCell ref="G75:G76"/>
    <mergeCell ref="H75:H76"/>
    <mergeCell ref="G87:G88"/>
    <mergeCell ref="H87:H88"/>
    <mergeCell ref="C75:C76"/>
    <mergeCell ref="D75:D76"/>
    <mergeCell ref="C87:C88"/>
    <mergeCell ref="D87:D88"/>
    <mergeCell ref="E87:E88"/>
    <mergeCell ref="F87:F88"/>
    <mergeCell ref="E75:E76"/>
    <mergeCell ref="F75:F76"/>
  </mergeCells>
  <printOptions horizontalCentered="1"/>
  <pageMargins left="0.75" right="0.75" top="1" bottom="1" header="0.5" footer="0.5"/>
  <pageSetup fitToHeight="1" fitToWidth="1" horizontalDpi="300" verticalDpi="3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Crop Leasing Calculations</dc:title>
  <dc:subject/>
  <dc:creator>Duane Griffith</dc:creator>
  <cp:keywords/>
  <dc:description/>
  <cp:lastModifiedBy>Duane Griffith</cp:lastModifiedBy>
  <cp:lastPrinted>2008-05-02T16:48:21Z</cp:lastPrinted>
  <dcterms:created xsi:type="dcterms:W3CDTF">1997-12-23T21:55:36Z</dcterms:created>
  <dcterms:modified xsi:type="dcterms:W3CDTF">2008-05-12T17:09:17Z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