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2120" windowHeight="3315" tabRatio="822" firstSheet="2" activeTab="2"/>
  </bookViews>
  <sheets>
    <sheet name="Notes" sheetId="1" r:id="rId1"/>
    <sheet name="NewPivots" sheetId="2" r:id="rId2"/>
    <sheet name="Intro" sheetId="3" r:id="rId3"/>
    <sheet name="LvstkPartialBudget" sheetId="4" r:id="rId4"/>
    <sheet name="LoanCalc1" sheetId="5" r:id="rId5"/>
    <sheet name="LoanCalc2" sheetId="6" r:id="rId6"/>
    <sheet name="AUMs" sheetId="7" r:id="rId7"/>
  </sheets>
  <definedNames/>
  <calcPr fullCalcOnLoad="1"/>
</workbook>
</file>

<file path=xl/comments2.xml><?xml version="1.0" encoding="utf-8"?>
<comments xmlns="http://schemas.openxmlformats.org/spreadsheetml/2006/main">
  <authors>
    <author>griffith</author>
  </authors>
  <commentList>
    <comment ref="AI2" authorId="0">
      <text>
        <r>
          <rPr>
            <sz val="12"/>
            <rFont val="Tahoma"/>
            <family val="2"/>
          </rPr>
          <t xml:space="preserve">Average cost is based on 1400 acres total hay production.  Note, this may not match the total number of acres listed for proposed pivots.
</t>
        </r>
      </text>
    </comment>
    <comment ref="O6" authorId="0">
      <text>
        <r>
          <rPr>
            <sz val="12"/>
            <rFont val="Tahoma"/>
            <family val="2"/>
          </rPr>
          <t xml:space="preserve">Include acres in rotation crops. </t>
        </r>
      </text>
    </comment>
    <comment ref="AC18" authorId="0">
      <text>
        <r>
          <rPr>
            <sz val="12"/>
            <rFont val="Tahoma"/>
            <family val="2"/>
          </rPr>
          <t xml:space="preserve">Do not double count expenses that are included in the pivot system cost estimates to the left. Example, maintenance and energy expenses.  
</t>
        </r>
      </text>
    </comment>
    <comment ref="M19" authorId="0">
      <text>
        <r>
          <rPr>
            <sz val="12"/>
            <rFont val="Tahoma"/>
            <family val="2"/>
          </rPr>
          <t>Values entered in this column should reflect average yield per year over the life of the stand, not the peak production of the stand.</t>
        </r>
      </text>
    </comment>
    <comment ref="U19" authorId="0">
      <text>
        <r>
          <rPr>
            <sz val="12"/>
            <rFont val="Tahoma"/>
            <family val="2"/>
          </rPr>
          <t xml:space="preserve">Energy costs (either electricity or diesel) were taken from estimates provided by the irrigation company.  If there are </t>
        </r>
        <r>
          <rPr>
            <sz val="12"/>
            <color indexed="10"/>
            <rFont val="Tahoma"/>
            <family val="2"/>
          </rPr>
          <t xml:space="preserve">annual connect and disconnect fees </t>
        </r>
        <r>
          <rPr>
            <sz val="12"/>
            <rFont val="Tahoma"/>
            <family val="2"/>
          </rPr>
          <t xml:space="preserve">for electrical irrigation systems charged by the power company, those costs should also be included in this column.  
</t>
        </r>
      </text>
    </comment>
    <comment ref="B22" authorId="0">
      <text>
        <r>
          <rPr>
            <sz val="12"/>
            <rFont val="Tahoma"/>
            <family val="2"/>
          </rPr>
          <t>Entering an N in a row in this column will zero out the cost estimates for that row.  This will allow you to turn on or off particular pivots installation to view impacts on total production and total costs. 
Y or N are Not case sensative data entries.</t>
        </r>
      </text>
    </comment>
    <comment ref="O22" authorId="0">
      <text>
        <r>
          <rPr>
            <sz val="12"/>
            <rFont val="Tahoma"/>
            <family val="2"/>
          </rPr>
          <t xml:space="preserve">Include full costs of the pivot.  Do not adjust the cost of the pivot for depreciation taken in first year expensing or bonus depreciation associated with tax considerations of this investment. </t>
        </r>
      </text>
    </comment>
    <comment ref="Q22" authorId="0">
      <text>
        <r>
          <rPr>
            <sz val="12"/>
            <rFont val="Tahoma"/>
            <family val="2"/>
          </rPr>
          <t xml:space="preserve">Opportunity cost is a charge for the alternative use of the money that was given up when the decision was made to invest in this activity.  The rate of return, in this instance, is set by the user in cell L13. This charge is taken on the average investment with an assumption of zero salvage value. </t>
        </r>
      </text>
    </comment>
    <comment ref="O56" authorId="0">
      <text>
        <r>
          <rPr>
            <sz val="10"/>
            <rFont val="Tahoma"/>
            <family val="2"/>
          </rPr>
          <t xml:space="preserve">This sum includes only those pivots that are indicated as being installed in column B.  As this Y or N variable is changed, this total will change. </t>
        </r>
      </text>
    </comment>
    <comment ref="G20" authorId="0">
      <text>
        <r>
          <rPr>
            <sz val="10"/>
            <rFont val="Tahoma"/>
            <family val="2"/>
          </rPr>
          <t xml:space="preserve">This spreadsheet was designed to calculate a percentage of each individual field that </t>
        </r>
        <r>
          <rPr>
            <sz val="10"/>
            <color indexed="10"/>
            <rFont val="Tahoma"/>
            <family val="2"/>
          </rPr>
          <t>will not be in hay production each year</t>
        </r>
        <r>
          <rPr>
            <sz val="10"/>
            <rFont val="Tahoma"/>
            <family val="2"/>
          </rPr>
          <t xml:space="preserve"> due to the need to reestablish the forage stand.  This is an attempt to account for the number of acres, on average, that will be out of production each year.  In actual practice, stand reestablishment will likely occur for one or more entire fields in a given year.  Since that reality is harder to program, the allowance for acres per field to reestablish a stand is used as a proxy for annual stand reestablishment acres in this program.  
The first two rows in this spreadsheet do not adjust for rotation acres.</t>
        </r>
      </text>
    </comment>
    <comment ref="O8" authorId="0">
      <text>
        <r>
          <rPr>
            <sz val="10"/>
            <rFont val="Tahoma"/>
            <family val="2"/>
          </rPr>
          <t xml:space="preserve">This factor is provided to reduce labor allocated to the hay enterprise, for a specific field, after a pivot is installed.  While this factor is included here, another questions must be answered before depending on this factor alone.  </t>
        </r>
        <r>
          <rPr>
            <sz val="10"/>
            <color indexed="10"/>
            <rFont val="Tahoma"/>
            <family val="2"/>
          </rPr>
          <t>Labor costs in this situation can be considered fixed</t>
        </r>
        <r>
          <rPr>
            <sz val="10"/>
            <rFont val="Tahoma"/>
            <family val="2"/>
          </rPr>
          <t xml:space="preserve">, i.e. they will not change based on whether or not a pivot is installed.  The labor costs will still exist but the person will be doing something else on the operation. In the sense that these costs can be considered fixed, they are irrelevant to any decision making process about making a change in the operation, unless it can be argued that other costs on the operation will be reduced or revenues increased due to the increase in labor available after a pivot installation.
With that background, to show a reduction in labor allocated to a hay enterprise, enter a factor here for the amount of labor to allocate after a pivot is installed, i.e. entering 30% will allocate only 30% of prepivot labor to a field with a new pivot.  
</t>
        </r>
        <r>
          <rPr>
            <sz val="10"/>
            <color indexed="10"/>
            <rFont val="Tahoma"/>
            <family val="2"/>
          </rPr>
          <t>Also see Cell AB22</t>
        </r>
        <r>
          <rPr>
            <sz val="10"/>
            <rFont val="Tahoma"/>
            <family val="2"/>
          </rPr>
          <t xml:space="preserve">: Enter an    N     is this cell eliminates all labor allocation to the hay enterprise. </t>
        </r>
      </text>
    </comment>
    <comment ref="AC22" authorId="0">
      <text>
        <r>
          <rPr>
            <sz val="11"/>
            <rFont val="Tahoma"/>
            <family val="2"/>
          </rPr>
          <t xml:space="preserve">Enter an    N    here if you wish to eliminate the allocation of labor to the hay enterprise by field.  
While labor costs are relevant to decisions about changing enterprise mixes to the extent that total labor costs for the operation would change, either increase or decrease, they are not relevant to decision making if they will not change.  In this instance, total labor costs for the operation will not change as this labor is required for the cow herd.  
</t>
        </r>
        <r>
          <rPr>
            <sz val="11"/>
            <color indexed="10"/>
            <rFont val="Tahoma"/>
            <family val="2"/>
          </rPr>
          <t>Also see Cell   N8</t>
        </r>
        <r>
          <rPr>
            <sz val="11"/>
            <rFont val="Tahoma"/>
            <family val="2"/>
          </rPr>
          <t xml:space="preserve"> </t>
        </r>
      </text>
    </comment>
    <comment ref="BE52" authorId="0">
      <text>
        <r>
          <rPr>
            <sz val="10"/>
            <rFont val="Tahoma"/>
            <family val="2"/>
          </rPr>
          <t>Since seed costs after a pivot are in a continuous rotation scheme, they are annual costs and are not prorated over a stand life.</t>
        </r>
      </text>
    </comment>
    <comment ref="BE53" authorId="0">
      <text>
        <r>
          <rPr>
            <sz val="10"/>
            <rFont val="Tahoma"/>
            <family val="2"/>
          </rPr>
          <t xml:space="preserve">Since seed costs after a pivot are in a continuous rotation scheme, they are annual costs and are not prorated over a stand life.
</t>
        </r>
      </text>
    </comment>
    <comment ref="K24" authorId="0">
      <text>
        <r>
          <rPr>
            <sz val="12"/>
            <rFont val="Tahoma"/>
            <family val="2"/>
          </rPr>
          <t xml:space="preserve">The before yields used here are for the 110 acres that are already in production, prorated over the 285 acres that the pivot will cover.  This gives a before and after picture of what the 285 acres will produce before and after the pivot.  
Example:  110 acres times 3 tons/acre divided by 285 acres = 1.16 tons per acre.
This number was adjusted for very low yields due to drought and/or lack of irrigation water in the past several years. Adjustment was fairly subjective. </t>
        </r>
      </text>
    </comment>
  </commentList>
</comments>
</file>

<file path=xl/comments4.xml><?xml version="1.0" encoding="utf-8"?>
<comments xmlns="http://schemas.openxmlformats.org/spreadsheetml/2006/main">
  <authors>
    <author>Duane Griffith</author>
    <author>griffith</author>
  </authors>
  <commentList>
    <comment ref="B4" authorId="0">
      <text>
        <r>
          <rPr>
            <sz val="12"/>
            <rFont val="Tahoma"/>
            <family val="2"/>
          </rPr>
          <t>This template looks at the annual income and expense and annual cash flow for the "Base Budget" and up to 6 alternatives considered.  Make sure the changes you make in the lower section of this program are relative to the base budget, i.e. list only the "change" that would occur relative to the base.  Changes made to the base budget are in two categories.  1) Income and expenses changes relative to the base budget are made starting on row 175.  2) Changes in cash inflows and outflows.  Cash inflow and outflow changes are made in two separate sections. These are</t>
        </r>
        <r>
          <rPr>
            <b/>
            <sz val="12"/>
            <rFont val="Tahoma"/>
            <family val="2"/>
          </rPr>
          <t xml:space="preserve"> inflows that are not income</t>
        </r>
        <r>
          <rPr>
            <sz val="12"/>
            <rFont val="Tahoma"/>
            <family val="2"/>
          </rPr>
          <t xml:space="preserve">; starting on row 60.  Example would be an annual gift of money from a relative which may help buy new land.  </t>
        </r>
        <r>
          <rPr>
            <b/>
            <sz val="12"/>
            <rFont val="Tahoma"/>
            <family val="2"/>
          </rPr>
          <t xml:space="preserve">Outflows that are not expenses, </t>
        </r>
        <r>
          <rPr>
            <sz val="12"/>
            <rFont val="Tahoma"/>
            <family val="2"/>
          </rPr>
          <t xml:space="preserve">in the section labeled "Capital Assets Replacement or Principal Payments" starting on row 153; are items like principal payments on new loans.  Note, the loan proceeds received in the first year are not entered here only the loan principal and interest paid after implementation is complete. 
</t>
        </r>
        <r>
          <rPr>
            <sz val="12"/>
            <color indexed="10"/>
            <rFont val="Tahoma"/>
            <family val="2"/>
          </rPr>
          <t xml:space="preserve">The primary use of this template should be for analyzing the affects of changes after complete implementation of the change, i.e. this template is a before and after look ignoring any transition phase necessary to implement a change. </t>
        </r>
        <r>
          <rPr>
            <sz val="12"/>
            <rFont val="Tahoma"/>
            <family val="2"/>
          </rPr>
          <t xml:space="preserve"> While implementation of a change may take more that one year, this template is designed to answer the question, is it feasible to even consider.  This template can be used to analyze shorter term changes but you must take great care in getting the correct information for a short term analysis.  </t>
        </r>
      </text>
    </comment>
    <comment ref="A190" authorId="1">
      <text>
        <r>
          <rPr>
            <sz val="11"/>
            <rFont val="Tahoma"/>
            <family val="2"/>
          </rPr>
          <t xml:space="preserve">This section is to record increases and decreases in cash inflows and outflows for the operation that are not an income or an expense.  An added cash outflow that is not an expense would include additional principal payments on new loans. </t>
        </r>
        <r>
          <rPr>
            <sz val="11"/>
            <color indexed="10"/>
            <rFont val="Tahoma"/>
            <family val="2"/>
          </rPr>
          <t xml:space="preserve"> DO NOT include the interest portion </t>
        </r>
        <r>
          <rPr>
            <sz val="11"/>
            <rFont val="Tahoma"/>
            <family val="2"/>
          </rPr>
          <t xml:space="preserve">of a loan payment here.  While it is an outflow, it is also an expense and should be recorded below in the added expense section.  Record only principal payments or other annual </t>
        </r>
        <r>
          <rPr>
            <sz val="11"/>
            <color indexed="10"/>
            <rFont val="Tahoma"/>
            <family val="2"/>
          </rPr>
          <t>capital asset purchases</t>
        </r>
        <r>
          <rPr>
            <sz val="11"/>
            <rFont val="Tahoma"/>
            <family val="2"/>
          </rPr>
          <t xml:space="preserve"> that are not financed, bull purchases for example. 
Enter to the total for each alternative, not just the change from the base case.</t>
        </r>
        <r>
          <rPr>
            <b/>
            <sz val="10"/>
            <rFont val="Tahoma"/>
            <family val="2"/>
          </rPr>
          <t xml:space="preserve">
</t>
        </r>
        <r>
          <rPr>
            <sz val="10"/>
            <rFont val="Tahoma"/>
            <family val="2"/>
          </rPr>
          <t xml:space="preserve">
</t>
        </r>
      </text>
    </comment>
    <comment ref="A183" authorId="1">
      <text>
        <r>
          <rPr>
            <sz val="11"/>
            <rFont val="Tahoma"/>
            <family val="2"/>
          </rPr>
          <t>Total Depreciation is entered for the base case and each alternative.  For example: if total depreciation was $50,000 for the base case and additional machinery was purchased for an alternative that increased the depreciation by $10,000 per year, the depreciation for that alternative should be entered as $60,000.</t>
        </r>
        <r>
          <rPr>
            <b/>
            <sz val="10"/>
            <rFont val="Tahoma"/>
            <family val="2"/>
          </rPr>
          <t xml:space="preserve">
</t>
        </r>
      </text>
    </comment>
    <comment ref="A177" authorId="0">
      <text>
        <r>
          <rPr>
            <sz val="12"/>
            <rFont val="Tahoma"/>
            <family val="2"/>
          </rPr>
          <t xml:space="preserve">Non income/expense cash flows would include the average beginning cash balance at the first of the year which was entered above.  Cash Inflows in the "Other Cash Inflows (Cash Inflows that are Not Income)" section are excluded here.  Cash outflows for capital asset purchases are also excluded.  </t>
        </r>
      </text>
    </comment>
    <comment ref="A60" authorId="0">
      <text>
        <r>
          <rPr>
            <sz val="12"/>
            <rFont val="Tahoma"/>
            <family val="2"/>
          </rPr>
          <t xml:space="preserve">This is the "typical" amount of cash on hand at the beginning of the planning period you are using in this analysis.  For example, if your planning period starts on January 1st, it is the amount of cash on hand on January 1.
</t>
        </r>
      </text>
    </comment>
    <comment ref="A61" authorId="0">
      <text>
        <r>
          <rPr>
            <sz val="12"/>
            <rFont val="Tahoma"/>
            <family val="2"/>
          </rPr>
          <t xml:space="preserve">Examples are gifts or inheritances in cash.  Do not enter anything here if it is not recurring, i.e. you receive it every year.  </t>
        </r>
      </text>
    </comment>
    <comment ref="A23" authorId="0">
      <text>
        <r>
          <rPr>
            <sz val="12"/>
            <rFont val="Tahoma"/>
            <family val="2"/>
          </rPr>
          <t xml:space="preserve">If replacements are purchased, you should also enter the annual purchase cost (dollars of principal) for the replacements in the capital asset purchase section below.  Do not enter any interest costs there.  
</t>
        </r>
      </text>
    </comment>
  </commentList>
</comments>
</file>

<file path=xl/comments5.xml><?xml version="1.0" encoding="utf-8"?>
<comments xmlns="http://schemas.openxmlformats.org/spreadsheetml/2006/main">
  <authors>
    <author>griffith</author>
  </authors>
  <commentList>
    <comment ref="D24" authorId="0">
      <text>
        <r>
          <rPr>
            <b/>
            <sz val="8"/>
            <rFont val="Tahoma"/>
            <family val="2"/>
          </rPr>
          <t xml:space="preserve">Will be blank if no Buydown amount is entered in cell C18.
</t>
        </r>
      </text>
    </comment>
    <comment ref="D25" authorId="0">
      <text>
        <r>
          <rPr>
            <b/>
            <sz val="8"/>
            <rFont val="Tahoma"/>
            <family val="2"/>
          </rPr>
          <t>Will be blank if no Buydown amount is entered in cell C18.</t>
        </r>
        <r>
          <rPr>
            <sz val="8"/>
            <rFont val="Tahoma"/>
            <family val="2"/>
          </rPr>
          <t xml:space="preserve">
</t>
        </r>
      </text>
    </comment>
    <comment ref="D26" authorId="0">
      <text>
        <r>
          <rPr>
            <b/>
            <sz val="8"/>
            <rFont val="Tahoma"/>
            <family val="2"/>
          </rPr>
          <t>Will be blank if no Buydown amount is entered in cell C18.</t>
        </r>
        <r>
          <rPr>
            <sz val="8"/>
            <rFont val="Tahoma"/>
            <family val="2"/>
          </rPr>
          <t xml:space="preserve">
</t>
        </r>
      </text>
    </comment>
  </commentList>
</comments>
</file>

<file path=xl/comments6.xml><?xml version="1.0" encoding="utf-8"?>
<comments xmlns="http://schemas.openxmlformats.org/spreadsheetml/2006/main">
  <authors>
    <author>griffith</author>
  </authors>
  <commentList>
    <comment ref="D24" authorId="0">
      <text>
        <r>
          <rPr>
            <b/>
            <sz val="8"/>
            <rFont val="Tahoma"/>
            <family val="2"/>
          </rPr>
          <t xml:space="preserve">Will be blank if no Buydown amount is entered in cell C18.
</t>
        </r>
      </text>
    </comment>
    <comment ref="D25" authorId="0">
      <text>
        <r>
          <rPr>
            <b/>
            <sz val="8"/>
            <rFont val="Tahoma"/>
            <family val="2"/>
          </rPr>
          <t>Will be blank if no Buydown amount is entered in cell C18.</t>
        </r>
        <r>
          <rPr>
            <sz val="8"/>
            <rFont val="Tahoma"/>
            <family val="2"/>
          </rPr>
          <t xml:space="preserve">
</t>
        </r>
      </text>
    </comment>
    <comment ref="D26" authorId="0">
      <text>
        <r>
          <rPr>
            <b/>
            <sz val="8"/>
            <rFont val="Tahoma"/>
            <family val="2"/>
          </rPr>
          <t>Will be blank if no Buydown amount is entered in cell C18.</t>
        </r>
        <r>
          <rPr>
            <sz val="8"/>
            <rFont val="Tahoma"/>
            <family val="2"/>
          </rPr>
          <t xml:space="preserve">
</t>
        </r>
      </text>
    </comment>
  </commentList>
</comments>
</file>

<file path=xl/comments7.xml><?xml version="1.0" encoding="utf-8"?>
<comments xmlns="http://schemas.openxmlformats.org/spreadsheetml/2006/main">
  <authors>
    <author>Duane Griffith</author>
    <author>griffith</author>
  </authors>
  <commentList>
    <comment ref="B11" authorId="0">
      <text>
        <r>
          <rPr>
            <sz val="10"/>
            <rFont val="Tahoma"/>
            <family val="2"/>
          </rPr>
          <t>When typing the type of livestock on the lines below, the entries are automatically transferred to other portions of this page of the template.  Example, if you enter Cows on row 14 below, the name Cows is then transferred to other rows as appropriate.</t>
        </r>
      </text>
    </comment>
    <comment ref="D13" authorId="0">
      <text>
        <r>
          <rPr>
            <sz val="10"/>
            <rFont val="Tahoma"/>
            <family val="2"/>
          </rPr>
          <t xml:space="preserve">For each type of livestock entered, enter the average AUM factor for the entire grazing period.   A  portion of the second section of this page allows for entering a variable AUM requirement for growing livestock (calves, yearlings, etc.) by date in and date out.
See the tables starting in row 27 below for AUM factors by animal weight and the table starting about row 400 for "common used factors" which ignore animal weights. </t>
        </r>
      </text>
    </comment>
    <comment ref="A22" authorId="1">
      <text>
        <r>
          <rPr>
            <sz val="10"/>
            <rFont val="Tahoma"/>
            <family val="2"/>
          </rPr>
          <t xml:space="preserve"> The last three lines of this table are locked so that other calculations in this worksheet will not have to depend on the location (which row) that calves, and big game animals were entered in this table.
</t>
        </r>
      </text>
    </comment>
    <comment ref="A27" authorId="1">
      <text>
        <r>
          <rPr>
            <sz val="10"/>
            <rFont val="Tahoma"/>
            <family val="2"/>
          </rPr>
          <t xml:space="preserve">You can change the table values for Mature Beef Livestock average weights by changing the "Start weight for AUM requirements" and the "Increment Weight for Calculated AUM table" to the right.  This allows you to view animal AUM requirements in any range of values. 
Note that the table for young animals is entered and does not change when start weight and increment value are changed. You can enter any set of values you wish.
</t>
        </r>
      </text>
    </comment>
    <comment ref="A32" authorId="1">
      <text>
        <r>
          <rPr>
            <sz val="10"/>
            <rFont val="Tahoma"/>
            <family val="2"/>
          </rPr>
          <t xml:space="preserve"> The tables at right are calculated using the animals feed requirements based on body weight.  This is roughly 2.2% of body weight per day.  
Example:  A 1000 pound cow would require 22 lbs of as forage per day. 
These are guide lines and should not be taken as precise measurements of an animals intake. </t>
        </r>
      </text>
    </comment>
    <comment ref="A47" authorId="1">
      <text>
        <r>
          <rPr>
            <sz val="10"/>
            <rFont val="Tahoma"/>
            <family val="2"/>
          </rPr>
          <t xml:space="preserve">This portion of the program is used to establish the required AUMs for a group of animals for a period of time.  This portion does not care in what pasture the animals are, only that the animal must meets its nutritional needs for the time period.  Each type of animal (cow, bull, etc.) has up to three different entries that can specify different times and numbers of animals for that time period.  An example of how to use this would for Cows would be making three different entries showing the approximate number of cows on hand from Jan. 1 to breeding, breeding to weaning, and weaning to Jan. 1 the following year.  Typically, there will be a different number of cows on hand during each of these periods and this will affect the AUMs required for this group of animals. 
</t>
        </r>
      </text>
    </comment>
    <comment ref="A51" authorId="1">
      <text>
        <r>
          <rPr>
            <sz val="10"/>
            <rFont val="Tahoma"/>
            <family val="2"/>
          </rPr>
          <t xml:space="preserve"> Enter the dates in a month/day/year format of   mm/dd/yy   
 June 1, 2006 would be entered as   6/1/06 OR 6/1/2006
 October 10, 2006 would be entered as 10/10/06 OR 10/10/2006
</t>
        </r>
      </text>
    </comment>
    <comment ref="A100" authorId="1">
      <text>
        <r>
          <rPr>
            <sz val="10"/>
            <rFont val="Tahoma"/>
            <family val="2"/>
          </rPr>
          <t xml:space="preserve">AUM calculation for calves uses the AUM Factor on row 22, which is an average AUM for all body weights over the summer grazing period.  
In section two below, you are allowed to enter the AUM requirement for the body weight of calf by grazing period.  Since these two procedures are slightly different, there will likely be slightly different results for AUMs required for calves and AUMs actually used. </t>
        </r>
      </text>
    </comment>
    <comment ref="A121" authorId="1">
      <text>
        <r>
          <rPr>
            <sz val="10"/>
            <rFont val="Tahoma"/>
            <family val="2"/>
          </rPr>
          <t xml:space="preserve"> This section of the spreadsheet is designed to add additional detail about how the required AUMs are actually acquired.  For each group of animals, the pasture rotation is entered, including the day in and day out of each separate pasture.  If the number of head change between the individual pastures, remember to change the head in column I.  You can reuse any or all of the  pastures listed if the rotation requires.  Just enter the pasture ID again and the date in and date out for the second use.  </t>
        </r>
      </text>
    </comment>
    <comment ref="D123" authorId="1">
      <text>
        <r>
          <rPr>
            <sz val="10"/>
            <rFont val="Tahoma"/>
            <family val="2"/>
          </rPr>
          <t xml:space="preserve"> Enter the dates in a month/day/year format of   mm/dd/yy   
 June 1, 2006 would be entered as   6/1/06 OR 6/1/2006
 October 10, 2006 would be entered as 10/10/06 OR 10/10/2006
</t>
        </r>
      </text>
    </comment>
  </commentList>
</comments>
</file>

<file path=xl/sharedStrings.xml><?xml version="1.0" encoding="utf-8"?>
<sst xmlns="http://schemas.openxmlformats.org/spreadsheetml/2006/main" count="1570" uniqueCount="692">
  <si>
    <t xml:space="preserve">     - Accounting</t>
  </si>
  <si>
    <t xml:space="preserve">     - Legal</t>
  </si>
  <si>
    <t xml:space="preserve">     - Consulting</t>
  </si>
  <si>
    <t xml:space="preserve">     - Education &amp; Training</t>
  </si>
  <si>
    <t xml:space="preserve">     - Marketing &amp; Commissions</t>
  </si>
  <si>
    <t xml:space="preserve">     - Futures/Options Expense</t>
  </si>
  <si>
    <t>Miscellaneous</t>
  </si>
  <si>
    <t xml:space="preserve">     - Dues &amp; Subscriptions</t>
  </si>
  <si>
    <t xml:space="preserve">     - Travel</t>
  </si>
  <si>
    <t xml:space="preserve">     - Promotion/Assessments</t>
  </si>
  <si>
    <t xml:space="preserve">     - Overhead</t>
  </si>
  <si>
    <t xml:space="preserve">     - Processing</t>
  </si>
  <si>
    <t xml:space="preserve">     - Licenses</t>
  </si>
  <si>
    <t>Office supplies</t>
  </si>
  <si>
    <t>Keep Cows and buy Hay</t>
  </si>
  <si>
    <t>Keep Cows, Ship to Grazing</t>
  </si>
  <si>
    <t>Sell 100 Cows to Meet Forage Available</t>
  </si>
  <si>
    <t>Other Capital Asset Purchases and/or annual replacements</t>
  </si>
  <si>
    <t>Reduced Revenue from Cow &amp; Calf Sales, Alternative #4</t>
  </si>
  <si>
    <t xml:space="preserve">  steer calf sales</t>
  </si>
  <si>
    <t xml:space="preserve">  heifer calf sales</t>
  </si>
  <si>
    <t xml:space="preserve">  cull cow sales</t>
  </si>
  <si>
    <t xml:space="preserve">  cull replacement heifers</t>
  </si>
  <si>
    <t xml:space="preserve">  cull bulls</t>
  </si>
  <si>
    <t>Reduced Expenses for Alt # 4, Sell 100 hd Cows</t>
  </si>
  <si>
    <t xml:space="preserve"> Cut in half from base budget: Feed Purchased, minerals and additives</t>
  </si>
  <si>
    <t>reduce: fert&amp;lime (3000), fuel (500), Interest on operating (250)</t>
  </si>
  <si>
    <t xml:space="preserve">eliminate seasonal help </t>
  </si>
  <si>
    <t xml:space="preserve">reduce repairs </t>
  </si>
  <si>
    <t>reduce livestock supplies</t>
  </si>
  <si>
    <t>vet and med</t>
  </si>
  <si>
    <t>check off</t>
  </si>
  <si>
    <t xml:space="preserve">Purchase Water Hauling Equipment, Truck, tank, pumps, etc. </t>
  </si>
  <si>
    <t xml:space="preserve">      Interest costs of water hauling equipment, avg. 1st three years</t>
  </si>
  <si>
    <t>Keep Cows, Buy Hay (delivered price): Alt #1</t>
  </si>
  <si>
    <t xml:space="preserve">   Purchase hay for cows nutrition, 100 head for 8 months  @ $75, 4 tons/cow (for winter feeding period)</t>
  </si>
  <si>
    <t xml:space="preserve">                                                         100 head for 4 months  @ $70, 1.5  tons/cow (replace summer grazing)</t>
  </si>
  <si>
    <t xml:space="preserve">    Barley, 3 pounds/head/day for 250 days @ $.02 per pound</t>
  </si>
  <si>
    <t>Keep cows, Buy Straw and Supplement</t>
  </si>
  <si>
    <t xml:space="preserve">    Straw, for 200 head, 2 ton per head @ $40/ton </t>
  </si>
  <si>
    <t xml:space="preserve">    Barley, 5 pounds/head/day for 250 days @ $.02 per pound</t>
  </si>
  <si>
    <t xml:space="preserve">   Aum charge of grazing, 8 months @ $25/AUM for 100 head</t>
  </si>
  <si>
    <t xml:space="preserve">   Management charge for livetock care and handling at grazing site.</t>
  </si>
  <si>
    <t xml:space="preserve">   Ship 100 cows @ $ 3.25 per loaded mile for 1500 miles round trip.  Required three trucks</t>
  </si>
  <si>
    <t>Ship to grazing and ship back to ranch after grazing</t>
  </si>
  <si>
    <t>Livestock Cash Sales per Head of Breeding Cows at the Start of the Breeding Season</t>
  </si>
  <si>
    <t>Keep Cows, Buy Straw &amp; Protein Supplement</t>
  </si>
  <si>
    <t>Livestock Sales</t>
  </si>
  <si>
    <t>Head</t>
  </si>
  <si>
    <t>Weight</t>
  </si>
  <si>
    <t>Total Cash Expenses</t>
  </si>
  <si>
    <t>Alternative</t>
  </si>
  <si>
    <t>#   1</t>
  </si>
  <si>
    <t>#   4</t>
  </si>
  <si>
    <t>#   3</t>
  </si>
  <si>
    <t>#   2</t>
  </si>
  <si>
    <t>Base Budget</t>
  </si>
  <si>
    <t xml:space="preserve">  Cull Bulls</t>
  </si>
  <si>
    <t>Basis</t>
  </si>
  <si>
    <t>For Culls</t>
  </si>
  <si>
    <t xml:space="preserve">             </t>
  </si>
  <si>
    <t>Results</t>
  </si>
  <si>
    <r>
      <t>Net Income (Cash Basis)</t>
    </r>
    <r>
      <rPr>
        <sz val="10"/>
        <rFont val="Arial"/>
        <family val="2"/>
      </rPr>
      <t xml:space="preserve"> Includes Depreciation - Not Accrual</t>
    </r>
  </si>
  <si>
    <r>
      <t xml:space="preserve">Net Cash Flow </t>
    </r>
    <r>
      <rPr>
        <sz val="10"/>
        <rFont val="Arial"/>
        <family val="2"/>
      </rPr>
      <t>(Excludes Dep. &amp; includes other cash in/outflows)</t>
    </r>
  </si>
  <si>
    <t>Net Cash Income (excludes non income/expense cash flows)</t>
  </si>
  <si>
    <t xml:space="preserve">      Other</t>
  </si>
  <si>
    <t>Net Income (Cash Basis-Includes Depreciation)</t>
  </si>
  <si>
    <r>
      <t>Net</t>
    </r>
    <r>
      <rPr>
        <sz val="11"/>
        <rFont val="Arial"/>
        <family val="2"/>
      </rPr>
      <t xml:space="preserve"> Change in expenses for this alternative&gt;&gt;</t>
    </r>
  </si>
  <si>
    <r>
      <t>Net</t>
    </r>
    <r>
      <rPr>
        <sz val="11"/>
        <rFont val="Arial"/>
        <family val="2"/>
      </rPr>
      <t xml:space="preserve"> Change in revenue for this alternative&gt;&gt;</t>
    </r>
  </si>
  <si>
    <t>Income and Other Inflows/Sources of Cash</t>
  </si>
  <si>
    <r>
      <t xml:space="preserve">Net </t>
    </r>
    <r>
      <rPr>
        <b/>
        <sz val="10"/>
        <color indexed="10"/>
        <rFont val="Arial"/>
        <family val="2"/>
      </rPr>
      <t>Cash</t>
    </r>
    <r>
      <rPr>
        <b/>
        <sz val="10"/>
        <rFont val="Arial"/>
        <family val="2"/>
      </rPr>
      <t xml:space="preserve"> Income for each alternative (Excludes Depreciation)</t>
    </r>
  </si>
  <si>
    <t>Alt. #</t>
  </si>
  <si>
    <t>Years</t>
  </si>
  <si>
    <t xml:space="preserve">    Other</t>
  </si>
  <si>
    <t>Insurance</t>
  </si>
  <si>
    <t>Chemicals</t>
  </si>
  <si>
    <t>Custom Hire</t>
  </si>
  <si>
    <t>Other</t>
  </si>
  <si>
    <t>Description</t>
  </si>
  <si>
    <t>#   5</t>
  </si>
  <si>
    <t>#   6</t>
  </si>
  <si>
    <t xml:space="preserve">  Cull Rep. Heifers</t>
  </si>
  <si>
    <t>Replacements are Purchased or Raised (P or R)</t>
  </si>
  <si>
    <r>
      <t xml:space="preserve">Net Cash Flow </t>
    </r>
    <r>
      <rPr>
        <sz val="10"/>
        <rFont val="Arial"/>
        <family val="2"/>
      </rPr>
      <t xml:space="preserve">(Excludes Depreciation Expense but includes </t>
    </r>
  </si>
  <si>
    <t>Non-Income/Expense Cash Flows &amp; Beginning Cash Available</t>
  </si>
  <si>
    <t xml:space="preserve">                                 Depreciation Expense for each alternative considered</t>
  </si>
  <si>
    <r>
      <t xml:space="preserve">                             Total Annual Capital replacement</t>
    </r>
    <r>
      <rPr>
        <b/>
        <sz val="10"/>
        <color indexed="12"/>
        <rFont val="Arial"/>
        <family val="2"/>
      </rPr>
      <t xml:space="preserve"> </t>
    </r>
    <r>
      <rPr>
        <b/>
        <sz val="10"/>
        <color indexed="10"/>
        <rFont val="Arial"/>
        <family val="2"/>
      </rPr>
      <t>(and/or principal)</t>
    </r>
    <r>
      <rPr>
        <b/>
        <sz val="10"/>
        <color indexed="12"/>
        <rFont val="Arial"/>
        <family val="2"/>
      </rPr>
      <t xml:space="preserve"> </t>
    </r>
    <r>
      <rPr>
        <b/>
        <sz val="10"/>
        <rFont val="Arial"/>
        <family val="2"/>
      </rPr>
      <t>for each Alt.</t>
    </r>
  </si>
  <si>
    <t>Depreciation (All Depreciable Assets)                        (Base Case)</t>
  </si>
  <si>
    <t>Average Carry Over Cash Available, Beginning of Calendar Year</t>
  </si>
  <si>
    <t>Total Revenue/Inflows/Sources of Cash for Base Budget</t>
  </si>
  <si>
    <t>Other Cash inflows that are also income (easements, royalties, etc.)</t>
  </si>
  <si>
    <r>
      <t xml:space="preserve">Expenses (List only expenses in this section, </t>
    </r>
    <r>
      <rPr>
        <b/>
        <sz val="10"/>
        <color indexed="10"/>
        <rFont val="Arial"/>
        <family val="2"/>
      </rPr>
      <t>i.e. tax deductible</t>
    </r>
    <r>
      <rPr>
        <b/>
        <sz val="10"/>
        <rFont val="Arial"/>
        <family val="2"/>
      </rPr>
      <t>)</t>
    </r>
  </si>
  <si>
    <t>Total Cash Income for the Base Budget</t>
  </si>
  <si>
    <t>From here down you must enter information for each alternative considered</t>
  </si>
  <si>
    <t>Cash expense per cow on the operation</t>
  </si>
  <si>
    <t xml:space="preserve">  Cows in Breeding Herd</t>
  </si>
  <si>
    <t xml:space="preserve">  Annual Number Calves Born</t>
  </si>
  <si>
    <t xml:space="preserve">  Number of Bulls, Beginning Breeding Season</t>
  </si>
  <si>
    <t xml:space="preserve">  Number Replacement Heifers on Hand, Jan. 1st </t>
  </si>
  <si>
    <t>Average No. Cows per Bull, Adjust for No. animals A.I.</t>
  </si>
  <si>
    <t xml:space="preserve">  Cull Cows (1% death loss)</t>
  </si>
  <si>
    <t>AUMs</t>
  </si>
  <si>
    <t>Bulls</t>
  </si>
  <si>
    <t>Horses</t>
  </si>
  <si>
    <t>Required</t>
  </si>
  <si>
    <t>Date In</t>
  </si>
  <si>
    <t>Date Out</t>
  </si>
  <si>
    <t>Days ON</t>
  </si>
  <si>
    <t>Number Hd</t>
  </si>
  <si>
    <t>Pasture Name/Description</t>
  </si>
  <si>
    <t>Begin Date</t>
  </si>
  <si>
    <t>End Date</t>
  </si>
  <si>
    <t>Total Days</t>
  </si>
  <si>
    <t>No. of Head</t>
  </si>
  <si>
    <t xml:space="preserve">Total AUMs Required for all types of livestock </t>
  </si>
  <si>
    <t>Forage Requirements for ALL livestock for an Entire year:</t>
  </si>
  <si>
    <t>Cows</t>
  </si>
  <si>
    <t>AUM Factor</t>
  </si>
  <si>
    <t>Lbs/Hay/Day</t>
  </si>
  <si>
    <t>Tons Hay</t>
  </si>
  <si>
    <t xml:space="preserve">Total </t>
  </si>
  <si>
    <t>Calves</t>
  </si>
  <si>
    <t>Total Tons Hay Required for all livestock</t>
  </si>
  <si>
    <t>Type of</t>
  </si>
  <si>
    <t>Livestock</t>
  </si>
  <si>
    <t>Taken</t>
  </si>
  <si>
    <t>Rep. Heifers</t>
  </si>
  <si>
    <t>Pasture ID</t>
  </si>
  <si>
    <t>Subtotal-Days of Grazing</t>
  </si>
  <si>
    <t>Subtotal-AUMs</t>
  </si>
  <si>
    <t>Total AUMs Taken from available pastures</t>
  </si>
  <si>
    <t>Enter dates in   mo/day/yr      format below: Examples   6/5/01 or 11/15/02 (Dates will display differently after entry)</t>
  </si>
  <si>
    <t>Excess AUMs or AUM Deficiency</t>
  </si>
  <si>
    <t xml:space="preserve">grazing needs calculated in the first section. </t>
  </si>
  <si>
    <t xml:space="preserve">of where and how each type of animal will get its forage needs.  It also tells us if we will be short or long on the total </t>
  </si>
  <si>
    <t>This Period</t>
  </si>
  <si>
    <t>Note: Mouse here for help</t>
  </si>
  <si>
    <t>Enter Type of Livestock</t>
  </si>
  <si>
    <t>This portion of the Section 2 allows varing the AUMs required by date in and out (i.e. growing livestock)</t>
  </si>
  <si>
    <t>Utilities</t>
  </si>
  <si>
    <t>Average</t>
  </si>
  <si>
    <t>Local Mill Levee</t>
  </si>
  <si>
    <t>Avg. 03-04</t>
  </si>
  <si>
    <t>Per Acre</t>
  </si>
  <si>
    <t>Taxable Value Rate</t>
  </si>
  <si>
    <t>Labor</t>
  </si>
  <si>
    <t>Insurance Costs Per Thousand</t>
  </si>
  <si>
    <t>Fuel</t>
  </si>
  <si>
    <t>Expected Price of Diesel ($/gallon)</t>
  </si>
  <si>
    <t>Maintenance</t>
  </si>
  <si>
    <t>Total Hay Producing Acres</t>
  </si>
  <si>
    <t>Fertilizer</t>
  </si>
  <si>
    <t>Seed</t>
  </si>
  <si>
    <t>Equipment Rental</t>
  </si>
  <si>
    <t>Cost calculations for the addition of pivots on specific fields. These calculations do not include current production costs such as fertilizer, etc.</t>
  </si>
  <si>
    <t>Expected</t>
  </si>
  <si>
    <t>Opp. Cost</t>
  </si>
  <si>
    <t>% List Price</t>
  </si>
  <si>
    <t>Yield</t>
  </si>
  <si>
    <t>Production</t>
  </si>
  <si>
    <t>Years Life</t>
  </si>
  <si>
    <t>on Avg. Invest.</t>
  </si>
  <si>
    <t>Total</t>
  </si>
  <si>
    <t>Energy</t>
  </si>
  <si>
    <t>Total Cost</t>
  </si>
  <si>
    <r>
      <t xml:space="preserve">Total </t>
    </r>
    <r>
      <rPr>
        <b/>
        <sz val="11"/>
        <color indexed="10"/>
        <rFont val="Times New Roman"/>
        <family val="1"/>
      </rPr>
      <t>Cash</t>
    </r>
  </si>
  <si>
    <t>Cash</t>
  </si>
  <si>
    <t>New</t>
  </si>
  <si>
    <t>Current</t>
  </si>
  <si>
    <t>This Field</t>
  </si>
  <si>
    <t>Ownership</t>
  </si>
  <si>
    <t>Electricity</t>
  </si>
  <si>
    <t>Repair</t>
  </si>
  <si>
    <t>Operating</t>
  </si>
  <si>
    <t>Per Ton</t>
  </si>
  <si>
    <t>Costs By</t>
  </si>
  <si>
    <t>Pivot</t>
  </si>
  <si>
    <t xml:space="preserve">Forage </t>
  </si>
  <si>
    <t>Tons</t>
  </si>
  <si>
    <t xml:space="preserve">Pivot </t>
  </si>
  <si>
    <t>Depreciation</t>
  </si>
  <si>
    <t>Opportunity</t>
  </si>
  <si>
    <t>Cost</t>
  </si>
  <si>
    <t>Plus Hookup</t>
  </si>
  <si>
    <t xml:space="preserve">and </t>
  </si>
  <si>
    <t>Costs</t>
  </si>
  <si>
    <t>By Field</t>
  </si>
  <si>
    <t>Field and</t>
  </si>
  <si>
    <t>Field</t>
  </si>
  <si>
    <t xml:space="preserve">Custom </t>
  </si>
  <si>
    <t>Equipment</t>
  </si>
  <si>
    <t>Y or N</t>
  </si>
  <si>
    <t>Location</t>
  </si>
  <si>
    <t>Acres</t>
  </si>
  <si>
    <t>Type</t>
  </si>
  <si>
    <r>
      <t>Before</t>
    </r>
    <r>
      <rPr>
        <sz val="11"/>
        <rFont val="Times New Roman"/>
        <family val="1"/>
      </rPr>
      <t xml:space="preserve"> Pivot</t>
    </r>
  </si>
  <si>
    <r>
      <t>After</t>
    </r>
    <r>
      <rPr>
        <sz val="11"/>
        <rFont val="Times New Roman"/>
        <family val="1"/>
      </rPr>
      <t xml:space="preserve"> Pivot</t>
    </r>
  </si>
  <si>
    <t>Per Year</t>
  </si>
  <si>
    <t>Taxes</t>
  </si>
  <si>
    <t>or Fuel &amp; Lubs</t>
  </si>
  <si>
    <t>+ Operating</t>
  </si>
  <si>
    <t>&amp; Operation</t>
  </si>
  <si>
    <t>Operation</t>
  </si>
  <si>
    <t>Hire</t>
  </si>
  <si>
    <t>Rental</t>
  </si>
  <si>
    <t>Harvest</t>
  </si>
  <si>
    <t>Establishment</t>
  </si>
  <si>
    <t>Y</t>
  </si>
  <si>
    <t>Malt Barley</t>
  </si>
  <si>
    <t>N</t>
  </si>
  <si>
    <t>Alf Grass</t>
  </si>
  <si>
    <t>y</t>
  </si>
  <si>
    <t>Totals for selected columns&gt;&gt;</t>
  </si>
  <si>
    <t>Possible Tons of Hay Available for Sale</t>
  </si>
  <si>
    <t>Estimated Net Price Per Ton for Excess Hay</t>
  </si>
  <si>
    <t>Estimated Revenue From Excess Hay Sales</t>
  </si>
  <si>
    <t>Farming Active (Y or N)</t>
  </si>
  <si>
    <t>Addition of One Employee and Purchase of Equipment to Farm</t>
  </si>
  <si>
    <t xml:space="preserve">Expected </t>
  </si>
  <si>
    <t>Purchased</t>
  </si>
  <si>
    <t>Horse</t>
  </si>
  <si>
    <t>Total Hours</t>
  </si>
  <si>
    <t>Total Annual</t>
  </si>
  <si>
    <t>Purchase</t>
  </si>
  <si>
    <t>Annual</t>
  </si>
  <si>
    <t>Costs Per</t>
  </si>
  <si>
    <t>Cost Per</t>
  </si>
  <si>
    <t xml:space="preserve">Life in </t>
  </si>
  <si>
    <t>Item Description</t>
  </si>
  <si>
    <t>Power</t>
  </si>
  <si>
    <t>Factor</t>
  </si>
  <si>
    <t>Useful Life</t>
  </si>
  <si>
    <r>
      <t>Hours</t>
    </r>
    <r>
      <rPr>
        <sz val="10"/>
        <rFont val="Arial"/>
        <family val="0"/>
      </rPr>
      <t xml:space="preserve"> Used</t>
    </r>
  </si>
  <si>
    <r>
      <t>Acres</t>
    </r>
    <r>
      <rPr>
        <sz val="10"/>
        <rFont val="Arial"/>
        <family val="0"/>
      </rPr>
      <t xml:space="preserve"> Used</t>
    </r>
  </si>
  <si>
    <t>Price</t>
  </si>
  <si>
    <t>Fuel &amp; Lubs</t>
  </si>
  <si>
    <r>
      <t>Hour</t>
    </r>
    <r>
      <rPr>
        <sz val="11"/>
        <rFont val="Times New Roman"/>
        <family val="1"/>
      </rPr>
      <t xml:space="preserve"> Used</t>
    </r>
  </si>
  <si>
    <r>
      <t xml:space="preserve">Hour </t>
    </r>
    <r>
      <rPr>
        <sz val="11"/>
        <rFont val="Times New Roman"/>
        <family val="1"/>
      </rPr>
      <t>Used</t>
    </r>
  </si>
  <si>
    <r>
      <t xml:space="preserve">Acre </t>
    </r>
    <r>
      <rPr>
        <sz val="11"/>
        <rFont val="Times New Roman"/>
        <family val="1"/>
      </rPr>
      <t>Used</t>
    </r>
  </si>
  <si>
    <t>Tractor</t>
  </si>
  <si>
    <t>Moldboard Plow</t>
  </si>
  <si>
    <t>Tandem Disk</t>
  </si>
  <si>
    <t>Roller Harrow</t>
  </si>
  <si>
    <t>Grain Drill</t>
  </si>
  <si>
    <t>Weed Sprayer</t>
  </si>
  <si>
    <t>Chisel Plow</t>
  </si>
  <si>
    <t>Tractor Loader</t>
  </si>
  <si>
    <t>Revenue from all rotation crops planted prior to stand establishment</t>
  </si>
  <si>
    <t>Average Yield</t>
  </si>
  <si>
    <t>across all fields</t>
  </si>
  <si>
    <t>Number Acres</t>
  </si>
  <si>
    <t xml:space="preserve">Revenue </t>
  </si>
  <si>
    <t>for rotation crop:</t>
  </si>
  <si>
    <t>Bu. Per Acre</t>
  </si>
  <si>
    <t>$$ per Bu.</t>
  </si>
  <si>
    <t>by Crop</t>
  </si>
  <si>
    <t>Other Crop #1</t>
  </si>
  <si>
    <t>Other Crop #2</t>
  </si>
  <si>
    <t>Total Revenue All Rotations Crops</t>
  </si>
  <si>
    <t>Potential Revenue from Sale of Excess Hay Production</t>
  </si>
  <si>
    <t>Total potential revenu from excess hay and rotation crop sales</t>
  </si>
  <si>
    <t>Custom Farming</t>
  </si>
  <si>
    <t xml:space="preserve">Costs by Rotation Crop: Include all inputs (seed, </t>
  </si>
  <si>
    <t>fertilizer, chemical, etc.)</t>
  </si>
  <si>
    <t>Input Cost</t>
  </si>
  <si>
    <t>Machinery costs included below, not here.</t>
  </si>
  <si>
    <t>Input by</t>
  </si>
  <si>
    <t>By Crop</t>
  </si>
  <si>
    <t>Crop</t>
  </si>
  <si>
    <t>Subtotal: Operating Input Costs for ALL Rotation Crops</t>
  </si>
  <si>
    <r>
      <t xml:space="preserve">Custom charge for ALL </t>
    </r>
    <r>
      <rPr>
        <sz val="12"/>
        <color indexed="10"/>
        <rFont val="Times New Roman"/>
        <family val="1"/>
      </rPr>
      <t>machinery</t>
    </r>
    <r>
      <rPr>
        <sz val="10"/>
        <rFont val="Arial"/>
        <family val="0"/>
      </rPr>
      <t xml:space="preserve"> operations, including harvest</t>
    </r>
  </si>
  <si>
    <t>Total Operating (Variable Costs) for All Rotation Crops</t>
  </si>
  <si>
    <t>Total Costs per acre for rotation crop (excludes alfalfa establishment year)</t>
  </si>
  <si>
    <t>Own Farming Equipment</t>
  </si>
  <si>
    <t>Total Annual Operating Cost for Machinery</t>
  </si>
  <si>
    <t>Custom charges for other operations (harvest &amp; hauling)</t>
  </si>
  <si>
    <t>Annual costs of new hired labor dedicated to farming activity</t>
  </si>
  <si>
    <t>Subtotal Operating (Variable Costs) for All Rotation Crops</t>
  </si>
  <si>
    <t>Average Operating Costs Per Acre</t>
  </si>
  <si>
    <t>Total Annual Ownership Cost for Machinery</t>
  </si>
  <si>
    <t>Average Ownership Costs Per Acre For Rotation Crops</t>
  </si>
  <si>
    <t>Total All Costs (Operating + Ownership) for All Rotation Crops</t>
  </si>
  <si>
    <r>
      <t xml:space="preserve">Avg. Operating and Ownership Costs </t>
    </r>
    <r>
      <rPr>
        <sz val="12"/>
        <color indexed="10"/>
        <rFont val="Times New Roman"/>
        <family val="1"/>
      </rPr>
      <t>Per Acre</t>
    </r>
    <r>
      <rPr>
        <sz val="10"/>
        <rFont val="Arial"/>
        <family val="0"/>
      </rPr>
      <t xml:space="preserve"> For Rotation Crops</t>
    </r>
  </si>
  <si>
    <t>Owned Versus Custom Farming Cost Comparison</t>
  </si>
  <si>
    <t>Custom Farmed</t>
  </si>
  <si>
    <t>Owned Equipment</t>
  </si>
  <si>
    <t>Operating Inputs (Equip. + Seed, Fert. Etc.)</t>
  </si>
  <si>
    <t>Machinery Operating Expenses</t>
  </si>
  <si>
    <t>Subtotal: Operating Expenses</t>
  </si>
  <si>
    <t>Cash Costs by Field, Enter only those costs that are cash (out of pocket) expenses</t>
  </si>
  <si>
    <t>NonCash Cost by Field</t>
  </si>
  <si>
    <t>Swath, Bale</t>
  </si>
  <si>
    <t>NonCash</t>
  </si>
  <si>
    <t>Cash Costs</t>
  </si>
  <si>
    <t>Cash Cost</t>
  </si>
  <si>
    <t>Ownership Costs</t>
  </si>
  <si>
    <t>Machinery Ownership Costs</t>
  </si>
  <si>
    <t>Total Costs for Operating and Ownership</t>
  </si>
  <si>
    <t>Total Possible</t>
  </si>
  <si>
    <t>Pivot Purchase</t>
  </si>
  <si>
    <t>Before Pivot</t>
  </si>
  <si>
    <t>Subtotal</t>
  </si>
  <si>
    <t>Cash Plus</t>
  </si>
  <si>
    <t>NonCash Cost</t>
  </si>
  <si>
    <t>Pivot Ownership Costs Per Year</t>
  </si>
  <si>
    <t xml:space="preserve">Pivot Operating Costs </t>
  </si>
  <si>
    <t>Added Costs Due to Pivot Installation</t>
  </si>
  <si>
    <t>Actual Avg.</t>
  </si>
  <si>
    <t>Allocated</t>
  </si>
  <si>
    <t>Difference</t>
  </si>
  <si>
    <t>Other than</t>
  </si>
  <si>
    <t>for Pivot</t>
  </si>
  <si>
    <t>After Pivot, Includes Pivot &amp; Farming Change, If Any</t>
  </si>
  <si>
    <t>Acres in</t>
  </si>
  <si>
    <t xml:space="preserve">This </t>
  </si>
  <si>
    <t>Rotation</t>
  </si>
  <si>
    <t>Years in</t>
  </si>
  <si>
    <t>First Year</t>
  </si>
  <si>
    <t>Tear Out</t>
  </si>
  <si>
    <t>New Stand</t>
  </si>
  <si>
    <t>Annual Hay</t>
  </si>
  <si>
    <t>Annual Acres in</t>
  </si>
  <si>
    <t>Annual Tear</t>
  </si>
  <si>
    <t xml:space="preserve">Out and </t>
  </si>
  <si>
    <t>Crop Expense</t>
  </si>
  <si>
    <r>
      <t>Additional Cash Expense</t>
    </r>
    <r>
      <rPr>
        <b/>
        <sz val="12"/>
        <rFont val="Times New Roman"/>
        <family val="1"/>
      </rPr>
      <t xml:space="preserve"> per acre incurred by field </t>
    </r>
    <r>
      <rPr>
        <b/>
        <sz val="12"/>
        <color indexed="10"/>
        <rFont val="Times New Roman"/>
        <family val="1"/>
      </rPr>
      <t>After</t>
    </r>
    <r>
      <rPr>
        <b/>
        <sz val="12"/>
        <rFont val="Times New Roman"/>
        <family val="1"/>
      </rPr>
      <t xml:space="preserve"> a Pivot is installed.  List ONLY added cash expenses.</t>
    </r>
  </si>
  <si>
    <t>n</t>
  </si>
  <si>
    <t>Unproductive Ground</t>
  </si>
  <si>
    <t>Rotation Acres 1st yr</t>
  </si>
  <si>
    <t>Hire - NOT</t>
  </si>
  <si>
    <t>Rot. Acres Yr 2 &amp; 3</t>
  </si>
  <si>
    <t>Labor allocation Factor after Pivot installation</t>
  </si>
  <si>
    <t>Total Added Costs, All Inputs and Pivot Costs</t>
  </si>
  <si>
    <t>and Stack</t>
  </si>
  <si>
    <t>Allocate Labor</t>
  </si>
  <si>
    <t>(Y or N)</t>
  </si>
  <si>
    <r>
      <t xml:space="preserve">Expected Average Production Expenses by Field </t>
    </r>
    <r>
      <rPr>
        <b/>
        <sz val="12"/>
        <color indexed="10"/>
        <rFont val="Times New Roman"/>
        <family val="1"/>
      </rPr>
      <t xml:space="preserve">Before </t>
    </r>
    <r>
      <rPr>
        <b/>
        <sz val="10"/>
        <rFont val="Arial"/>
        <family val="2"/>
      </rPr>
      <t xml:space="preserve">Pivot Installation. </t>
    </r>
  </si>
  <si>
    <t xml:space="preserve">Current </t>
  </si>
  <si>
    <t>R</t>
  </si>
  <si>
    <t>This template includes both Financial and Economic Analysis.</t>
  </si>
  <si>
    <t>You are allowed/required to enter all text in blue.  All else is protected/calculated.</t>
  </si>
  <si>
    <t>Production Information</t>
  </si>
  <si>
    <t>Pregnancy percentage</t>
  </si>
  <si>
    <t xml:space="preserve">Number Pregnant After Breeding Season in </t>
  </si>
  <si>
    <t>Number Open, culled and sold before winter feeding period</t>
  </si>
  <si>
    <t>Calving Percentage based January 1 cow numbers</t>
  </si>
  <si>
    <t xml:space="preserve">Number cows that calved based on January 1 cows in </t>
  </si>
  <si>
    <t xml:space="preserve">Cull cows sold after calving &amp; before next breeding cycle in </t>
  </si>
  <si>
    <t>Percent calf loss at calving time</t>
  </si>
  <si>
    <t xml:space="preserve">Number of live calves born in </t>
  </si>
  <si>
    <t>Weaning Percentage based on live calves born</t>
  </si>
  <si>
    <t>Number of Calves Weaned in</t>
  </si>
  <si>
    <t>Average Cull Rate based on beginning breeding inventory</t>
  </si>
  <si>
    <t>Number bulls at beginning of Breeding Season</t>
  </si>
  <si>
    <t>Average Purchase Price of Bulls</t>
  </si>
  <si>
    <t>$$/Lb</t>
  </si>
  <si>
    <t>$$/Head</t>
  </si>
  <si>
    <t>Total Livestock Cash Sales</t>
  </si>
  <si>
    <t>Breeding Herd Size Beginning of Breeding Season - Include cows and 1st calf heifers</t>
  </si>
  <si>
    <t>= January 1 on hand</t>
  </si>
  <si>
    <r>
      <t>Grazing</t>
    </r>
    <r>
      <rPr>
        <b/>
        <sz val="10"/>
        <rFont val="Arial"/>
        <family val="2"/>
      </rPr>
      <t xml:space="preserve"> Period</t>
    </r>
  </si>
  <si>
    <r>
      <t>Hay</t>
    </r>
    <r>
      <rPr>
        <b/>
        <sz val="10"/>
        <rFont val="Arial"/>
        <family val="2"/>
      </rPr>
      <t xml:space="preserve"> Period</t>
    </r>
  </si>
  <si>
    <r>
      <t xml:space="preserve">Total </t>
    </r>
    <r>
      <rPr>
        <sz val="10"/>
        <color indexed="10"/>
        <rFont val="Arial"/>
        <family val="2"/>
      </rPr>
      <t>AUMs</t>
    </r>
  </si>
  <si>
    <t>Location Name on Ranch Here</t>
  </si>
  <si>
    <t>Custom Rate OR Cash Costs Per Ton (Swath, Bale, Stack)</t>
  </si>
  <si>
    <t>Pivot -- 285 acres</t>
  </si>
  <si>
    <r>
      <t xml:space="preserve">Estimated Average Tons of Hay Required for </t>
    </r>
    <r>
      <rPr>
        <sz val="10"/>
        <color indexed="10"/>
        <rFont val="Arial"/>
        <family val="2"/>
      </rPr>
      <t>2000 head cow herd</t>
    </r>
    <r>
      <rPr>
        <sz val="10"/>
        <rFont val="Arial"/>
        <family val="0"/>
      </rPr>
      <t xml:space="preserve"> (cows, bulls, replacements, horses)</t>
    </r>
  </si>
  <si>
    <t>LOANMORT:  LOAN AMORTIZATION</t>
  </si>
  <si>
    <t>Karen L. Holman</t>
  </si>
  <si>
    <t>BALANCE</t>
  </si>
  <si>
    <t>Cooperative Extension</t>
  </si>
  <si>
    <t xml:space="preserve">     This template computes the payment amount and total interest for a</t>
  </si>
  <si>
    <t>Colorado State University</t>
  </si>
  <si>
    <t>loan, as well as a complete amortization schedule of up to 360 payments.</t>
  </si>
  <si>
    <t>August 1988</t>
  </si>
  <si>
    <t xml:space="preserve">The amortization schedule can be viewed on the screen or printed.  In </t>
  </si>
  <si>
    <t>addition, the template allows for principal buydown, and will compute</t>
  </si>
  <si>
    <t>Converted to Windows</t>
  </si>
  <si>
    <t>annual total principal interest payments.  It is not suitable for</t>
  </si>
  <si>
    <t>Format by Duane Griffith</t>
  </si>
  <si>
    <t>variable interest loans, or for balloon or other irregular payments.</t>
  </si>
  <si>
    <t>Montana State University</t>
  </si>
  <si>
    <t>December 1995</t>
  </si>
  <si>
    <t>BASE LOAN INFORMATION:</t>
  </si>
  <si>
    <t>Loan amount:</t>
  </si>
  <si>
    <t>Annual interest rate:</t>
  </si>
  <si>
    <t>Years of loan:</t>
  </si>
  <si>
    <t>Payments per year:</t>
  </si>
  <si>
    <t xml:space="preserve">Month that first </t>
  </si>
  <si>
    <t xml:space="preserve">   payment is due:</t>
  </si>
  <si>
    <t>Additional principal:</t>
  </si>
  <si>
    <t xml:space="preserve">   BUYDOWN INFORMATION (OPTIONAL):</t>
  </si>
  <si>
    <t>Frequency of payments:</t>
  </si>
  <si>
    <t xml:space="preserve">    If you only make 1 extra payment per year, enter 12 here. If extra payments are made each month, enter a 1 here.</t>
  </si>
  <si>
    <t>First such payment:</t>
  </si>
  <si>
    <t>Summary Information for This Loan</t>
  </si>
  <si>
    <t>BASE LOAN:</t>
  </si>
  <si>
    <t xml:space="preserve">   BASE LOAN WITH BUYDOWN:</t>
  </si>
  <si>
    <t>Payment:</t>
  </si>
  <si>
    <t xml:space="preserve">   Years to pay off:</t>
  </si>
  <si>
    <t>Total interest:</t>
  </si>
  <si>
    <t xml:space="preserve">   Total interest:</t>
  </si>
  <si>
    <t xml:space="preserve">   Interest savings:</t>
  </si>
  <si>
    <t xml:space="preserve">LOAN AMORTIZATION SCHEDULE </t>
  </si>
  <si>
    <t>Loan:</t>
  </si>
  <si>
    <t>Payments/yr</t>
  </si>
  <si>
    <t>Rate:</t>
  </si>
  <si>
    <t>Total Interest:</t>
  </si>
  <si>
    <t>First pmt</t>
  </si>
  <si>
    <t xml:space="preserve">Interest on </t>
  </si>
  <si>
    <t>Base Loan</t>
  </si>
  <si>
    <t>Remaing</t>
  </si>
  <si>
    <t>Calculation</t>
  </si>
  <si>
    <t>Principal</t>
  </si>
  <si>
    <t>Buydown</t>
  </si>
  <si>
    <t>Remaining</t>
  </si>
  <si>
    <t>Accumulated</t>
  </si>
  <si>
    <t>Interest</t>
  </si>
  <si>
    <t>Balance W/O</t>
  </si>
  <si>
    <t>Excludes</t>
  </si>
  <si>
    <t>Payment Number</t>
  </si>
  <si>
    <t>Payment</t>
  </si>
  <si>
    <t>Amount</t>
  </si>
  <si>
    <t>Balance</t>
  </si>
  <si>
    <t>BuyDown</t>
  </si>
  <si>
    <t>Pivot -- 165 acres</t>
  </si>
  <si>
    <r>
      <t xml:space="preserve">Mouse Pointer Here to Read a message -- </t>
    </r>
    <r>
      <rPr>
        <b/>
        <sz val="10"/>
        <color indexed="10"/>
        <rFont val="Arial"/>
        <family val="2"/>
      </rPr>
      <t>READ THIS</t>
    </r>
  </si>
  <si>
    <r>
      <t xml:space="preserve">Reduced Revenue/Income Items: </t>
    </r>
    <r>
      <rPr>
        <sz val="12"/>
        <rFont val="Arial"/>
        <family val="2"/>
      </rPr>
      <t xml:space="preserve"> Do not include reduce inflows that are not also income</t>
    </r>
  </si>
  <si>
    <r>
      <t xml:space="preserve">Added Revenue/Income Items: </t>
    </r>
    <r>
      <rPr>
        <sz val="12"/>
        <rFont val="Arial"/>
        <family val="2"/>
      </rPr>
      <t>(do not include added inflows that are not also income)</t>
    </r>
  </si>
  <si>
    <r>
      <t xml:space="preserve">Reduced Expenses: </t>
    </r>
    <r>
      <rPr>
        <sz val="12"/>
        <rFont val="Arial"/>
        <family val="2"/>
      </rPr>
      <t xml:space="preserve"> Do not include reduced cash outflows that are not also expenses</t>
    </r>
  </si>
  <si>
    <r>
      <t xml:space="preserve">Increased Expenses: </t>
    </r>
    <r>
      <rPr>
        <sz val="12"/>
        <rFont val="Arial"/>
        <family val="2"/>
      </rPr>
      <t xml:space="preserve"> Do not include increased cash outflows that are not also expenses</t>
    </r>
  </si>
  <si>
    <t>Calendar Year</t>
  </si>
  <si>
    <t>Pivot Analysis</t>
  </si>
  <si>
    <t>Land</t>
  </si>
  <si>
    <t>Supplies</t>
  </si>
  <si>
    <t xml:space="preserve">  Other</t>
  </si>
  <si>
    <t>Check Off</t>
  </si>
  <si>
    <t>Help</t>
  </si>
  <si>
    <t>Other Cash Operating Expenses</t>
  </si>
  <si>
    <t>Total Calves Sold</t>
  </si>
  <si>
    <t>Machinery &amp; Equipment</t>
  </si>
  <si>
    <t>Buildings and Improvements</t>
  </si>
  <si>
    <t>Breeding Cows</t>
  </si>
  <si>
    <t xml:space="preserve">Bulls </t>
  </si>
  <si>
    <t>Rep Heifers for Breeding</t>
  </si>
  <si>
    <t>Principal Payments on Loans + Annual Capital Replacements Paid From Operations (not borrowed)</t>
  </si>
  <si>
    <t>Other Breeding Livestock</t>
  </si>
  <si>
    <t xml:space="preserve">      * Interest expense should be included above or below, not in this section of the spreadsheet.</t>
  </si>
  <si>
    <t>Replacements Heifers kept from calf crop</t>
  </si>
  <si>
    <t>Replacement Breeding Cows or Heifers Purchased and added to breeding herd</t>
  </si>
  <si>
    <t>Minus:  Cull cows sold beginning breeding to beginning breeding</t>
  </si>
  <si>
    <t>Minus:  Cows/Heifers that died during the year</t>
  </si>
  <si>
    <t>Minus:  Excess Rep Heifers Sold</t>
  </si>
  <si>
    <t>Plus:  Cows &amp; Heifers purchased and added to breeding herd</t>
  </si>
  <si>
    <t>Replacements Needed (from culled animals plus death loss of 1% beginning herd size)</t>
  </si>
  <si>
    <t>Plus:  Replacment Heifers Kept from Calf Crop and entering cow herd</t>
  </si>
  <si>
    <r>
      <t xml:space="preserve">Cows and 1st calf heifers at </t>
    </r>
    <r>
      <rPr>
        <sz val="10"/>
        <color indexed="10"/>
        <rFont val="Arial"/>
        <family val="2"/>
      </rPr>
      <t>start of the breeding season</t>
    </r>
  </si>
  <si>
    <t xml:space="preserve">        Ending breeding cow inventory, start of breeding season next year</t>
  </si>
  <si>
    <t xml:space="preserve">  Hfrs to sell @ weaning</t>
  </si>
  <si>
    <t xml:space="preserve">  Strs  to sell @ weaning</t>
  </si>
  <si>
    <t>Total Expense, Cash + Non-Cash</t>
  </si>
  <si>
    <t>Base case = Enter Description Here</t>
  </si>
  <si>
    <t>Other Animals</t>
  </si>
  <si>
    <t>Farm Ranch Cash Expenses (Use Schedule F Income Tax Return as a Source of Information)</t>
  </si>
  <si>
    <t>Additional Description if Desired</t>
  </si>
  <si>
    <t>Cost of Purchased Cattle/Sheep/Livestock for Resale</t>
  </si>
  <si>
    <t>Feeding Expenses</t>
  </si>
  <si>
    <t xml:space="preserve">     - Feed and Yardage</t>
  </si>
  <si>
    <t xml:space="preserve">     - Processing, Inspections, Check-Off, etc.</t>
  </si>
  <si>
    <t xml:space="preserve">     - Herbicide</t>
  </si>
  <si>
    <t xml:space="preserve">     - Insecticide</t>
  </si>
  <si>
    <t xml:space="preserve">     - Other</t>
  </si>
  <si>
    <t>weed control</t>
  </si>
  <si>
    <t xml:space="preserve">     - Conservation Expense</t>
  </si>
  <si>
    <t xml:space="preserve">     - Tillage</t>
  </si>
  <si>
    <t xml:space="preserve">     - Planting</t>
  </si>
  <si>
    <t xml:space="preserve">     - Harvesting</t>
  </si>
  <si>
    <t xml:space="preserve">     - Pesticide Application</t>
  </si>
  <si>
    <t>Feed Purchase</t>
  </si>
  <si>
    <t xml:space="preserve">     - Concentrate</t>
  </si>
  <si>
    <t xml:space="preserve">     - Grain</t>
  </si>
  <si>
    <t xml:space="preserve">     - Forage</t>
  </si>
  <si>
    <t xml:space="preserve">     - Protein</t>
  </si>
  <si>
    <t xml:space="preserve">     - Mineral &amp; Additives</t>
  </si>
  <si>
    <t>Fertilizer &amp; Lime</t>
  </si>
  <si>
    <t>Freight &amp; Trucking</t>
  </si>
  <si>
    <t xml:space="preserve">     - Livestock</t>
  </si>
  <si>
    <t xml:space="preserve">     - Crops</t>
  </si>
  <si>
    <t xml:space="preserve">     - Feed</t>
  </si>
  <si>
    <t xml:space="preserve">     - Supplies</t>
  </si>
  <si>
    <t>Gasoline, Fuel, &amp; Oil</t>
  </si>
  <si>
    <t xml:space="preserve">     - Diesel</t>
  </si>
  <si>
    <t xml:space="preserve">     - Gas </t>
  </si>
  <si>
    <t xml:space="preserve">     - LP</t>
  </si>
  <si>
    <t xml:space="preserve">     - Oil</t>
  </si>
  <si>
    <t xml:space="preserve">     - Property</t>
  </si>
  <si>
    <t xml:space="preserve">     - Liability</t>
  </si>
  <si>
    <t xml:space="preserve">     - Crop - MPCI</t>
  </si>
  <si>
    <t xml:space="preserve">     - Crop - Hail</t>
  </si>
  <si>
    <t>Interest on Operating</t>
  </si>
  <si>
    <t>Interest on Long Term Loans</t>
  </si>
  <si>
    <t>Hired Labor &amp; Management</t>
  </si>
  <si>
    <t xml:space="preserve">     - Salaried and seasonal help</t>
  </si>
  <si>
    <t xml:space="preserve">     - Payroll Expenses</t>
  </si>
  <si>
    <t xml:space="preserve">     - Pension &amp; Profit Sharing</t>
  </si>
  <si>
    <t xml:space="preserve">     - Employee Benefits</t>
  </si>
  <si>
    <t xml:space="preserve">     - Contract Labor</t>
  </si>
  <si>
    <t>Rents or Leases</t>
  </si>
  <si>
    <t xml:space="preserve">     - Building</t>
  </si>
  <si>
    <t xml:space="preserve">     - Vehicles, Machinery, &amp; Equipment</t>
  </si>
  <si>
    <t xml:space="preserve">     - Land</t>
  </si>
  <si>
    <t>public land leases</t>
  </si>
  <si>
    <t xml:space="preserve">     - Storage &amp; Warehousing</t>
  </si>
  <si>
    <t>Expenses (Continued)</t>
  </si>
  <si>
    <t>Repairs &amp; Maintenance</t>
  </si>
  <si>
    <t xml:space="preserve">     - Vehicle</t>
  </si>
  <si>
    <t xml:space="preserve">     - Machinery &amp; Equipment</t>
  </si>
  <si>
    <t xml:space="preserve">     - Buildings &amp; Improvements</t>
  </si>
  <si>
    <t>Seed &amp; Plants</t>
  </si>
  <si>
    <t xml:space="preserve">     - General</t>
  </si>
  <si>
    <t xml:space="preserve">     - Office</t>
  </si>
  <si>
    <t>Property Taxes:</t>
  </si>
  <si>
    <t xml:space="preserve">     - Personal Property Taxes</t>
  </si>
  <si>
    <t xml:space="preserve">     - Real Estate, Land, Improvements</t>
  </si>
  <si>
    <t xml:space="preserve">     - Electricity</t>
  </si>
  <si>
    <t xml:space="preserve">     - Phone</t>
  </si>
  <si>
    <t xml:space="preserve">     - Irrigation</t>
  </si>
  <si>
    <t>Veterinary, Breeding, Health</t>
  </si>
  <si>
    <t xml:space="preserve">     - Professional Vet Service</t>
  </si>
  <si>
    <t xml:space="preserve">     - Medicine</t>
  </si>
  <si>
    <t xml:space="preserve">     - Breeding</t>
  </si>
  <si>
    <t>Professional Fees</t>
  </si>
  <si>
    <r>
      <t xml:space="preserve">Other Cash Inflows (Cash inflows that are </t>
    </r>
    <r>
      <rPr>
        <b/>
        <sz val="12"/>
        <color indexed="12"/>
        <rFont val="Arial"/>
        <family val="2"/>
      </rPr>
      <t>NOT INCOME</t>
    </r>
    <r>
      <rPr>
        <b/>
        <sz val="12"/>
        <rFont val="Arial"/>
        <family val="2"/>
      </rPr>
      <t xml:space="preserve">) </t>
    </r>
  </si>
  <si>
    <r>
      <rPr>
        <b/>
        <sz val="12"/>
        <color indexed="10"/>
        <rFont val="Arial"/>
        <family val="2"/>
      </rPr>
      <t xml:space="preserve">Base Budget </t>
    </r>
    <r>
      <rPr>
        <b/>
        <sz val="12"/>
        <rFont val="Arial"/>
        <family val="2"/>
      </rPr>
      <t>For Cow Calf Operation</t>
    </r>
  </si>
  <si>
    <r>
      <t>Capital Asset Replacement or Principal Payments</t>
    </r>
    <r>
      <rPr>
        <sz val="12"/>
        <rFont val="Arial"/>
        <family val="2"/>
      </rPr>
      <t xml:space="preserve"> -- Do not include interest expense here*</t>
    </r>
  </si>
  <si>
    <t>Section 1</t>
  </si>
  <si>
    <t>Section 2</t>
  </si>
  <si>
    <t>Section 3</t>
  </si>
  <si>
    <t>Section 4</t>
  </si>
  <si>
    <t>Section 5</t>
  </si>
  <si>
    <t>Section 6</t>
  </si>
  <si>
    <t>Section 7</t>
  </si>
  <si>
    <t>Section 8</t>
  </si>
  <si>
    <t>Section 9</t>
  </si>
  <si>
    <r>
      <t xml:space="preserve">Cash + non-cash </t>
    </r>
    <r>
      <rPr>
        <sz val="10"/>
        <color indexed="10"/>
        <rFont val="Arial"/>
        <family val="2"/>
      </rPr>
      <t>expense</t>
    </r>
    <r>
      <rPr>
        <sz val="10"/>
        <rFont val="Arial"/>
        <family val="0"/>
      </rPr>
      <t xml:space="preserve"> per cow on the operation</t>
    </r>
  </si>
  <si>
    <r>
      <t xml:space="preserve">Cash + non-cash </t>
    </r>
    <r>
      <rPr>
        <sz val="10"/>
        <color indexed="10"/>
        <rFont val="Arial"/>
        <family val="2"/>
      </rPr>
      <t>expense + non-expense cash outflows</t>
    </r>
    <r>
      <rPr>
        <sz val="10"/>
        <rFont val="Arial"/>
        <family val="0"/>
      </rPr>
      <t xml:space="preserve"> per cow on the operation</t>
    </r>
  </si>
  <si>
    <t>Total non-expense cash outflows for capital asset purchases and principal payments</t>
  </si>
  <si>
    <t>Total Cull Cows available for sale after breeding and/or calving</t>
  </si>
  <si>
    <r>
      <t xml:space="preserve">This page is divided into two sections.  </t>
    </r>
    <r>
      <rPr>
        <sz val="12"/>
        <color indexed="10"/>
        <rFont val="Arial"/>
        <family val="2"/>
      </rPr>
      <t xml:space="preserve">The first </t>
    </r>
    <r>
      <rPr>
        <sz val="12"/>
        <rFont val="Arial"/>
        <family val="2"/>
      </rPr>
      <t xml:space="preserve">calculates the overall grazing and hay requirement for the type and </t>
    </r>
  </si>
  <si>
    <t xml:space="preserve">number of livestock on the operation, i.e. we don't care where they are grazing, we just want to know how many and </t>
  </si>
  <si>
    <r>
      <t xml:space="preserve">how long they are eating forage.  </t>
    </r>
    <r>
      <rPr>
        <sz val="12"/>
        <color indexed="10"/>
        <rFont val="Arial"/>
        <family val="2"/>
      </rPr>
      <t>The second</t>
    </r>
    <r>
      <rPr>
        <sz val="12"/>
        <rFont val="Arial"/>
        <family val="2"/>
      </rPr>
      <t xml:space="preserve"> is a detailed grazing schedule by pasture.  This provides a detailed plan </t>
    </r>
  </si>
  <si>
    <r>
      <t xml:space="preserve">Enter numbers in </t>
    </r>
    <r>
      <rPr>
        <b/>
        <sz val="12"/>
        <color indexed="12"/>
        <rFont val="Arial"/>
        <family val="2"/>
      </rPr>
      <t>BLUE text</t>
    </r>
    <r>
      <rPr>
        <sz val="12"/>
        <rFont val="Arial"/>
        <family val="2"/>
      </rPr>
      <t>, all others are calculated &amp; Locked</t>
    </r>
  </si>
  <si>
    <r>
      <t xml:space="preserve">Section one: </t>
    </r>
    <r>
      <rPr>
        <b/>
        <sz val="14"/>
        <rFont val="Arial"/>
        <family val="2"/>
      </rPr>
      <t xml:space="preserve"> Forage (Grazing and Hay) Requirements for the current operation:</t>
    </r>
  </si>
  <si>
    <t xml:space="preserve">Average </t>
  </si>
  <si>
    <t>Sheep</t>
  </si>
  <si>
    <t>Other Livestock #1</t>
  </si>
  <si>
    <t>Other Livestock #2</t>
  </si>
  <si>
    <t>Other Livestock #3</t>
  </si>
  <si>
    <t>Note</t>
  </si>
  <si>
    <t>Deer</t>
  </si>
  <si>
    <t>Elk</t>
  </si>
  <si>
    <t xml:space="preserve"> &lt;&lt; Start weight for AUM requirements</t>
  </si>
  <si>
    <t xml:space="preserve"> &lt;&lt; Increment Wieght for Calcualted AUM table</t>
  </si>
  <si>
    <t>Mature</t>
  </si>
  <si>
    <t>Calculated</t>
  </si>
  <si>
    <t xml:space="preserve">Young </t>
  </si>
  <si>
    <r>
      <t xml:space="preserve">Beef </t>
    </r>
    <r>
      <rPr>
        <sz val="10"/>
        <rFont val="Arial"/>
        <family val="0"/>
      </rPr>
      <t>Lvstk</t>
    </r>
  </si>
  <si>
    <t xml:space="preserve">AUM for </t>
  </si>
  <si>
    <t>Beef Lvstk</t>
  </si>
  <si>
    <t>Avg. Weight</t>
  </si>
  <si>
    <t>Subtotal-AUMs Grazing for</t>
  </si>
  <si>
    <t>SubTotal-Tons Hay for</t>
  </si>
  <si>
    <r>
      <t>Section two:</t>
    </r>
    <r>
      <rPr>
        <b/>
        <sz val="12"/>
        <rFont val="Arial"/>
        <family val="2"/>
      </rPr>
      <t xml:space="preserve">  Detailed Grazing Schedule --- (by pasture and type of Livestock)</t>
    </r>
  </si>
  <si>
    <t>mm/dd/yy</t>
  </si>
  <si>
    <t>Total AUMs Required for all Livestock and Big Game</t>
  </si>
  <si>
    <t>Total AUMs taken by big game animals</t>
  </si>
  <si>
    <t>Total AUMs Taken by Livestock</t>
  </si>
  <si>
    <t xml:space="preserve">The tables be list AUM factors for various types of livestock/wildlife that are commonly </t>
  </si>
  <si>
    <t>accepted and used to calcualte stocking rates and carrying capacities on public and private land.</t>
  </si>
  <si>
    <r>
      <t xml:space="preserve">C.O.I.N. Beef Book Reference for AUMs, </t>
    </r>
    <r>
      <rPr>
        <sz val="10"/>
        <rFont val="Arial"/>
        <family val="2"/>
      </rPr>
      <t>California, Oregon, Idaho, Nevada and Utah Cooperative Extension working group.</t>
    </r>
  </si>
  <si>
    <t>Animal</t>
  </si>
  <si>
    <t>Type of Livestock</t>
  </si>
  <si>
    <t>Unit</t>
  </si>
  <si>
    <t>Cattle:</t>
  </si>
  <si>
    <t>Months</t>
  </si>
  <si>
    <t>Cow, with or without unweaned calf at side, or heifer 2 years old or older</t>
  </si>
  <si>
    <t>Bull, 2 years old or older</t>
  </si>
  <si>
    <t>Young cattle, 1 to 2 years old</t>
  </si>
  <si>
    <t>Weaned calves to yearlings</t>
  </si>
  <si>
    <t>Horses:</t>
  </si>
  <si>
    <t>Horse, mature</t>
  </si>
  <si>
    <t>Horse, yearling</t>
  </si>
  <si>
    <t>Weaning colt to filly</t>
  </si>
  <si>
    <t>Sheep:</t>
  </si>
  <si>
    <t>5 mature ewes, with or without unweanded lambs at side</t>
  </si>
  <si>
    <t>5 rams, 2 years old or older</t>
  </si>
  <si>
    <t>5 yearlings</t>
  </si>
  <si>
    <t>5 weaned lambs to yearlings</t>
  </si>
  <si>
    <t>Swine:</t>
  </si>
  <si>
    <t>Sow</t>
  </si>
  <si>
    <t>Boar</t>
  </si>
  <si>
    <t>Pigs to 200 lbs (91kg)</t>
  </si>
  <si>
    <t>Chickens:</t>
  </si>
  <si>
    <t>75 layers or breeders</t>
  </si>
  <si>
    <t>325 replacement pullets to 6 months of age</t>
  </si>
  <si>
    <t>650 8 week old broilers</t>
  </si>
  <si>
    <t>Turkeys:</t>
  </si>
  <si>
    <t>35 breeders</t>
  </si>
  <si>
    <t>40 turkeys raised to maturity</t>
  </si>
  <si>
    <t>75 turkeys to 6 months of age</t>
  </si>
  <si>
    <t>A Guide for Planning, Analyzing, and Balancing Forage Supplies with Livestock Demand, Extension Bulletin EB101, Montana State University.</t>
  </si>
  <si>
    <t>Table 6.  Animal Unit Values (AU) for different kinds and classes of livestock and wildlife.  The standard</t>
  </si>
  <si>
    <t>for this guide is based on forage intake of a spring calving cow (1000 pound average milking ability) and</t>
  </si>
  <si>
    <t>her calf (less than four months in age)</t>
  </si>
  <si>
    <t xml:space="preserve">Kind/Class of Animal     </t>
  </si>
  <si>
    <t>AU</t>
  </si>
  <si>
    <t># of Animals                                Equal to 1 AU</t>
  </si>
  <si>
    <t>Cow (1000 lb., spring calving, above average</t>
  </si>
  <si>
    <t>milking ability,) and calf (less than 4 months of age)</t>
  </si>
  <si>
    <t>Cow (1000 lb) non-lactating</t>
  </si>
  <si>
    <t>Calf (from 4 months of age to weaning)</t>
  </si>
  <si>
    <t>Replacement hiefers (18-24 months)</t>
  </si>
  <si>
    <t>Yearling cattle (Long; 12-17 months)</t>
  </si>
  <si>
    <t>Yearling cattle (Short; 7-12 months)</t>
  </si>
  <si>
    <t>Young bulls (12-24 months)</t>
  </si>
  <si>
    <t>Bulls (24-60 months)</t>
  </si>
  <si>
    <t>Yearling horses</t>
  </si>
  <si>
    <t>Two-year old horses</t>
  </si>
  <si>
    <t>Mature horses</t>
  </si>
  <si>
    <t>Mature non-lactating ewo (150 lb)</t>
  </si>
  <si>
    <t>Lamb (2 months to weaning)</t>
  </si>
  <si>
    <t>Lamb (weaned to yearling)</t>
  </si>
  <si>
    <t>Lamb (yearling)</t>
  </si>
  <si>
    <t>Ram</t>
  </si>
  <si>
    <t>Goat (mature)</t>
  </si>
  <si>
    <t>Kid (yearling)</t>
  </si>
  <si>
    <t>White-tailed deer</t>
  </si>
  <si>
    <t>Mule deer</t>
  </si>
  <si>
    <t>Antelope</t>
  </si>
  <si>
    <t>Bison (lactating cow)</t>
  </si>
  <si>
    <t>Bison (bull)</t>
  </si>
  <si>
    <t>Moose</t>
  </si>
  <si>
    <t>Bighorn</t>
  </si>
  <si>
    <t>Mountain goat</t>
  </si>
  <si>
    <t>Blactailed jackrabbit</t>
  </si>
  <si>
    <t>Whitetailed jackrabbit</t>
  </si>
  <si>
    <t>Columbian ground squirrel</t>
  </si>
  <si>
    <t>Praire dogs</t>
  </si>
  <si>
    <t>Mature lactating ewe (150 lb) and lamb (less than 2 months in age)</t>
  </si>
  <si>
    <t xml:space="preserve">This spreadsheet is for use in estimating the income and expenses for the beef cow enterprise.   </t>
  </si>
  <si>
    <t>incurred, even though they are estimated.  An example of this approach is using actual interest expense</t>
  </si>
  <si>
    <t xml:space="preserve">and the actual principal payments made.  An alternative approach is to use opportunity cost to </t>
  </si>
  <si>
    <t xml:space="preserve">estimate the costs of using assets in the beef cow enterprise.  To clarify these two approaches an </t>
  </si>
  <si>
    <t>example is presented below that describes the basics of each approach.</t>
  </si>
  <si>
    <t xml:space="preserve">Assume:  </t>
  </si>
  <si>
    <t>1- You have a land worth $5,000,000 used for the beef enterprise (range, hay base, etc.)</t>
  </si>
  <si>
    <t xml:space="preserve">3- You are 22 years in to a thirty year loan schedule.  </t>
  </si>
  <si>
    <t xml:space="preserve">This is what it is worth, not what you paid for it.  </t>
  </si>
  <si>
    <t>See the LoanCalc1 tab in this spreadsheet to see what the principle and interest</t>
  </si>
  <si>
    <t>4- Principle is about $16,775 and interest is about $9,250.</t>
  </si>
  <si>
    <t>Financial Approach:</t>
  </si>
  <si>
    <t xml:space="preserve">Economic Approach.  </t>
  </si>
  <si>
    <t>5- Long term real interest rates are estimated to about 4%</t>
  </si>
  <si>
    <t>Real interest rate is the "Nominal" or quoted rate minus the expected inflation rate</t>
  </si>
  <si>
    <t>For example 7% nominal minus 3% expected inflation rate is a 4% real interest rate</t>
  </si>
  <si>
    <t>1- You would enter the principle and interest rates shown in number 4 above in this spreadsheet</t>
  </si>
  <si>
    <t>These are the financial cost (the cost you would enter in your record keeping system)</t>
  </si>
  <si>
    <t>1- The economic approach ignores information about loan principal and interest amounts and uses</t>
  </si>
  <si>
    <t>an opportunity costs approach.  The opportunity cost approach uses the real rate of interest, assumed</t>
  </si>
  <si>
    <t xml:space="preserve">above at 4%, to estimate the cost of using the resources in the beef cow enterprise.  Using the </t>
  </si>
  <si>
    <t>assumption of a 4% real rate of interest and a "market value" of $5,000,000, the opportunity cost</t>
  </si>
  <si>
    <t xml:space="preserve">of using this land to produce beef cows is $5 million times 4% = $200,000.  The opportunity cost </t>
  </si>
  <si>
    <t>estimate of $200,000 is used instead of the principal and interest payments estimated in # 4 above.</t>
  </si>
  <si>
    <t xml:space="preserve">Both of these estimation methods can be useful, even for the same operation.  An example would be using the </t>
  </si>
  <si>
    <t>financial approach on an operation that is complete debt free.  Using the financial approach does provide useful</t>
  </si>
  <si>
    <t>results, but it may not represent the true economic costs of using such valuable resources to produce</t>
  </si>
  <si>
    <t>beef.  These approaches are presented with judgments left to the user on which may best fit their particular needs.</t>
  </si>
  <si>
    <t>and costs incurred by the enterprise.  The financial approach uses actual income and expenses</t>
  </si>
  <si>
    <t xml:space="preserve">Other differences between the two approaches exist but this example serves to illustrate a major difference.  </t>
  </si>
  <si>
    <t>Most income and expense that are cash (income actually received in cash or an expense actually paid in cash</t>
  </si>
  <si>
    <t xml:space="preserve">or cash received for calf sales.  </t>
  </si>
  <si>
    <t xml:space="preserve">http://www.montana.edu/extensionecon/softwaredownloads.html </t>
  </si>
  <si>
    <t>CowCalfFeederStockerBudgets.xls              from this web address:</t>
  </si>
  <si>
    <r>
      <t xml:space="preserve">This spreadsheet uses a </t>
    </r>
    <r>
      <rPr>
        <sz val="12"/>
        <color indexed="10"/>
        <rFont val="Times New Roman"/>
        <family val="1"/>
      </rPr>
      <t>financial approach</t>
    </r>
    <r>
      <rPr>
        <sz val="12"/>
        <rFont val="Times New Roman"/>
        <family val="1"/>
      </rPr>
      <t xml:space="preserve"> rather than an economic approach to estimate income </t>
    </r>
  </si>
  <si>
    <t>are the same in both approaches.  Example are fuel, repairs, fertilizer, chemical, hired labor costs paid in cash</t>
  </si>
  <si>
    <t xml:space="preserve">For a spreadsheet that uses the Economic Approach, download the spreadsheet titled </t>
  </si>
  <si>
    <t>Introduction to the BeefFinancial-and-PartialBudget spreadsheet:</t>
  </si>
  <si>
    <r>
      <t xml:space="preserve">Cash + non-cash </t>
    </r>
    <r>
      <rPr>
        <sz val="10"/>
        <color indexed="10"/>
        <rFont val="Arial"/>
        <family val="2"/>
      </rPr>
      <t>expense+non-expense cash outflows</t>
    </r>
    <r>
      <rPr>
        <sz val="10"/>
        <rFont val="Arial"/>
        <family val="0"/>
      </rPr>
      <t xml:space="preserve"> per LB of calf produced</t>
    </r>
  </si>
  <si>
    <t>2- You have a loan ($400,000) on this land with an annual payment of approximately $26,000.</t>
  </si>
  <si>
    <t>would be on a loan for this property.  This is just an example</t>
  </si>
  <si>
    <r>
      <t xml:space="preserve">Cash + non-cash </t>
    </r>
    <r>
      <rPr>
        <sz val="10"/>
        <color indexed="10"/>
        <rFont val="Arial"/>
        <family val="2"/>
      </rPr>
      <t>expense</t>
    </r>
    <r>
      <rPr>
        <sz val="10"/>
        <rFont val="Arial"/>
        <family val="0"/>
      </rPr>
      <t xml:space="preserve"> per LB of calf produced on the operation</t>
    </r>
  </si>
  <si>
    <t>Cash expense per LB of calf produced on the operation</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</si>
</sst>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_)"/>
    <numFmt numFmtId="167" formatCode="m/d"/>
    <numFmt numFmtId="168" formatCode="#,##0.0"/>
    <numFmt numFmtId="169" formatCode="dd\-mmm\-yy"/>
    <numFmt numFmtId="170" formatCode="0.0"/>
    <numFmt numFmtId="171" formatCode="0.0%"/>
    <numFmt numFmtId="172" formatCode="0.000"/>
    <numFmt numFmtId="173" formatCode="0.0;[Red]0.0"/>
    <numFmt numFmtId="174" formatCode="&quot;$&quot;#,##0.0"/>
    <numFmt numFmtId="175" formatCode="&quot;$&quot;#,##0.0_);[Red]\(&quot;$&quot;#,##0.0\)"/>
    <numFmt numFmtId="176" formatCode="0.0000000"/>
    <numFmt numFmtId="177" formatCode="0.000000"/>
    <numFmt numFmtId="178" formatCode="0.00000"/>
    <numFmt numFmtId="179" formatCode="0.0000"/>
    <numFmt numFmtId="180" formatCode="_(&quot;$&quot;* #,##0.0_);_(&quot;$&quot;* \(#,##0.0\);_(&quot;$&quot;* &quot;-&quot;??_);_(@_)"/>
    <numFmt numFmtId="181" formatCode="_(&quot;$&quot;* #,##0_);_(&quot;$&quot;* \(#,##0\);_(&quot;$&quot;* &quot;-&quot;??_);_(@_)"/>
    <numFmt numFmtId="182" formatCode="[$-409]dddd\,\ mmmm\ dd\,\ yyyy"/>
    <numFmt numFmtId="183" formatCode="mm/dd/yy;@"/>
    <numFmt numFmtId="184" formatCode="#,##0;\-#,##0"/>
    <numFmt numFmtId="185" formatCode="&quot;Yes&quot;;&quot;Yes&quot;;&quot;No&quot;"/>
    <numFmt numFmtId="186" formatCode="&quot;True&quot;;&quot;True&quot;;&quot;False&quot;"/>
    <numFmt numFmtId="187" formatCode="&quot;On&quot;;&quot;On&quot;;&quot;Off&quot;"/>
    <numFmt numFmtId="188" formatCode="[$€-2]\ #,##0.00_);[Red]\([$€-2]\ #,##0.00\)"/>
    <numFmt numFmtId="189" formatCode="#,##0.000"/>
    <numFmt numFmtId="190" formatCode="General_)"/>
    <numFmt numFmtId="191" formatCode="0.00_)"/>
    <numFmt numFmtId="192" formatCode="m/d/yyyy;@"/>
  </numFmts>
  <fonts count="89">
    <font>
      <sz val="10"/>
      <name val="Arial"/>
      <family val="0"/>
    </font>
    <font>
      <b/>
      <sz val="10"/>
      <name val="Arial"/>
      <family val="2"/>
    </font>
    <font>
      <sz val="10"/>
      <color indexed="12"/>
      <name val="Arial"/>
      <family val="2"/>
    </font>
    <font>
      <b/>
      <sz val="12"/>
      <name val="Arial"/>
      <family val="2"/>
    </font>
    <font>
      <sz val="10"/>
      <color indexed="10"/>
      <name val="Arial"/>
      <family val="2"/>
    </font>
    <font>
      <b/>
      <sz val="10"/>
      <color indexed="12"/>
      <name val="Arial"/>
      <family val="2"/>
    </font>
    <font>
      <b/>
      <sz val="10"/>
      <color indexed="10"/>
      <name val="Arial"/>
      <family val="2"/>
    </font>
    <font>
      <b/>
      <sz val="11"/>
      <name val="Arial"/>
      <family val="2"/>
    </font>
    <font>
      <sz val="11"/>
      <name val="Arial"/>
      <family val="2"/>
    </font>
    <font>
      <sz val="9"/>
      <name val="Arial"/>
      <family val="2"/>
    </font>
    <font>
      <u val="single"/>
      <sz val="10"/>
      <color indexed="12"/>
      <name val="Arial"/>
      <family val="2"/>
    </font>
    <font>
      <u val="single"/>
      <sz val="10"/>
      <color indexed="36"/>
      <name val="Arial"/>
      <family val="2"/>
    </font>
    <font>
      <b/>
      <sz val="10"/>
      <name val="Tahoma"/>
      <family val="2"/>
    </font>
    <font>
      <sz val="10"/>
      <name val="Tahoma"/>
      <family val="2"/>
    </font>
    <font>
      <b/>
      <sz val="14"/>
      <name val="Arial"/>
      <family val="2"/>
    </font>
    <font>
      <sz val="12"/>
      <name val="Times New Roman"/>
      <family val="1"/>
    </font>
    <font>
      <sz val="12"/>
      <color indexed="12"/>
      <name val="Times New Roman"/>
      <family val="1"/>
    </font>
    <font>
      <b/>
      <sz val="16"/>
      <name val="Times New Roman"/>
      <family val="1"/>
    </font>
    <font>
      <sz val="11"/>
      <name val="Times New Roman"/>
      <family val="1"/>
    </font>
    <font>
      <b/>
      <sz val="12"/>
      <name val="Times New Roman"/>
      <family val="1"/>
    </font>
    <font>
      <b/>
      <sz val="11"/>
      <name val="Times New Roman"/>
      <family val="1"/>
    </font>
    <font>
      <b/>
      <sz val="11"/>
      <color indexed="10"/>
      <name val="Times New Roman"/>
      <family val="1"/>
    </font>
    <font>
      <sz val="12"/>
      <color indexed="10"/>
      <name val="Times New Roman"/>
      <family val="1"/>
    </font>
    <font>
      <sz val="10"/>
      <color indexed="12"/>
      <name val="Times New Roman"/>
      <family val="1"/>
    </font>
    <font>
      <sz val="11"/>
      <color indexed="10"/>
      <name val="Times New Roman"/>
      <family val="1"/>
    </font>
    <font>
      <b/>
      <sz val="14"/>
      <name val="Times New Roman"/>
      <family val="1"/>
    </font>
    <font>
      <sz val="12"/>
      <name val="Tahoma"/>
      <family val="2"/>
    </font>
    <font>
      <sz val="12"/>
      <color indexed="10"/>
      <name val="Tahoma"/>
      <family val="2"/>
    </font>
    <font>
      <sz val="10"/>
      <name val="Times New Roman"/>
      <family val="1"/>
    </font>
    <font>
      <b/>
      <sz val="12"/>
      <color indexed="12"/>
      <name val="Times New Roman"/>
      <family val="1"/>
    </font>
    <font>
      <sz val="10"/>
      <color indexed="10"/>
      <name val="Times New Roman"/>
      <family val="1"/>
    </font>
    <font>
      <b/>
      <sz val="10"/>
      <name val="Times New Roman"/>
      <family val="1"/>
    </font>
    <font>
      <b/>
      <sz val="12"/>
      <color indexed="10"/>
      <name val="Times New Roman"/>
      <family val="1"/>
    </font>
    <font>
      <sz val="9"/>
      <name val="Times New Roman"/>
      <family val="1"/>
    </font>
    <font>
      <sz val="10"/>
      <color indexed="10"/>
      <name val="Tahoma"/>
      <family val="2"/>
    </font>
    <font>
      <sz val="9"/>
      <color indexed="12"/>
      <name val="Times New Roman"/>
      <family val="1"/>
    </font>
    <font>
      <b/>
      <sz val="14"/>
      <color indexed="12"/>
      <name val="Times New Roman"/>
      <family val="1"/>
    </font>
    <font>
      <sz val="12"/>
      <color indexed="12"/>
      <name val="Arial"/>
      <family val="2"/>
    </font>
    <font>
      <b/>
      <sz val="8"/>
      <name val="Tahoma"/>
      <family val="2"/>
    </font>
    <font>
      <b/>
      <sz val="8"/>
      <color indexed="8"/>
      <name val="Arial"/>
      <family val="2"/>
    </font>
    <font>
      <sz val="8"/>
      <name val="Times New Roman"/>
      <family val="1"/>
    </font>
    <font>
      <b/>
      <sz val="10"/>
      <name val="Helv"/>
      <family val="0"/>
    </font>
    <font>
      <b/>
      <sz val="10"/>
      <color indexed="12"/>
      <name val="Helv"/>
      <family val="0"/>
    </font>
    <font>
      <b/>
      <sz val="12"/>
      <name val="Helv"/>
      <family val="0"/>
    </font>
    <font>
      <sz val="8"/>
      <name val="Tahoma"/>
      <family val="2"/>
    </font>
    <font>
      <b/>
      <sz val="8"/>
      <color indexed="10"/>
      <name val="Arial"/>
      <family val="2"/>
    </font>
    <font>
      <sz val="11"/>
      <color indexed="12"/>
      <name val="Times New Roman"/>
      <family val="1"/>
    </font>
    <font>
      <sz val="12"/>
      <name val="Arial"/>
      <family val="2"/>
    </font>
    <font>
      <sz val="11"/>
      <name val="Tahoma"/>
      <family val="2"/>
    </font>
    <font>
      <sz val="11"/>
      <color indexed="10"/>
      <name val="Tahoma"/>
      <family val="2"/>
    </font>
    <font>
      <sz val="18"/>
      <color indexed="10"/>
      <name val="Arial"/>
      <family val="2"/>
    </font>
    <font>
      <b/>
      <sz val="12"/>
      <name val="Tahoma"/>
      <family val="2"/>
    </font>
    <font>
      <b/>
      <sz val="16"/>
      <color indexed="12"/>
      <name val="Arial"/>
      <family val="2"/>
    </font>
    <font>
      <b/>
      <sz val="11"/>
      <color indexed="8"/>
      <name val="Arial"/>
      <family val="2"/>
    </font>
    <font>
      <b/>
      <sz val="12"/>
      <color indexed="12"/>
      <name val="Arial"/>
      <family val="2"/>
    </font>
    <font>
      <b/>
      <sz val="12"/>
      <color indexed="10"/>
      <name val="Arial"/>
      <family val="2"/>
    </font>
    <font>
      <sz val="10"/>
      <name val="Helv"/>
      <family val="0"/>
    </font>
    <font>
      <u val="single"/>
      <sz val="7.5"/>
      <color indexed="12"/>
      <name val="Helv"/>
      <family val="0"/>
    </font>
    <font>
      <sz val="12"/>
      <color indexed="8"/>
      <name val="Times New Roman"/>
      <family val="2"/>
    </font>
    <font>
      <sz val="12"/>
      <color indexed="9"/>
      <name val="Times New Roman"/>
      <family val="2"/>
    </font>
    <font>
      <sz val="12"/>
      <color indexed="20"/>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62"/>
      <name val="Times New Roman"/>
      <family val="2"/>
    </font>
    <font>
      <b/>
      <sz val="13"/>
      <color indexed="62"/>
      <name val="Times New Roman"/>
      <family val="2"/>
    </font>
    <font>
      <b/>
      <sz val="11"/>
      <color indexed="62"/>
      <name val="Times New Roman"/>
      <family val="2"/>
    </font>
    <font>
      <sz val="12"/>
      <color indexed="62"/>
      <name val="Times New Roman"/>
      <family val="2"/>
    </font>
    <font>
      <sz val="12"/>
      <color indexed="19"/>
      <name val="Times New Roman"/>
      <family val="2"/>
    </font>
    <font>
      <b/>
      <sz val="12"/>
      <color indexed="63"/>
      <name val="Times New Roman"/>
      <family val="2"/>
    </font>
    <font>
      <b/>
      <sz val="18"/>
      <color indexed="62"/>
      <name val="Cambria"/>
      <family val="2"/>
    </font>
    <font>
      <b/>
      <sz val="12"/>
      <color indexed="8"/>
      <name val="Times New Roman"/>
      <family val="2"/>
    </font>
    <font>
      <b/>
      <sz val="10"/>
      <color indexed="16"/>
      <name val="Arial"/>
      <family val="2"/>
    </font>
    <font>
      <sz val="11"/>
      <color indexed="8"/>
      <name val="Times New Roman"/>
      <family val="1"/>
    </font>
    <font>
      <sz val="10"/>
      <color indexed="8"/>
      <name val="Arial"/>
      <family val="2"/>
    </font>
    <font>
      <sz val="11"/>
      <color indexed="8"/>
      <name val="Arial"/>
      <family val="2"/>
    </font>
    <font>
      <sz val="11"/>
      <color indexed="10"/>
      <name val="Arial"/>
      <family val="2"/>
    </font>
    <font>
      <b/>
      <sz val="11"/>
      <color indexed="10"/>
      <name val="Arial"/>
      <family val="2"/>
    </font>
    <font>
      <sz val="12"/>
      <color indexed="10"/>
      <name val="Arial"/>
      <family val="2"/>
    </font>
    <font>
      <b/>
      <sz val="14"/>
      <color indexed="10"/>
      <name val="Arial"/>
      <family val="2"/>
    </font>
    <font>
      <sz val="12"/>
      <color indexed="8"/>
      <name val="Arial"/>
      <family val="2"/>
    </font>
    <font>
      <b/>
      <sz val="12"/>
      <color indexed="8"/>
      <name val="Arial"/>
      <family val="2"/>
    </font>
    <font>
      <u val="single"/>
      <sz val="11"/>
      <color indexed="8"/>
      <name val="Arial"/>
      <family val="2"/>
    </font>
    <font>
      <u val="single"/>
      <vertAlign val="superscript"/>
      <sz val="11"/>
      <color indexed="8"/>
      <name val="Arial"/>
      <family val="2"/>
    </font>
    <font>
      <vertAlign val="superscript"/>
      <sz val="11"/>
      <color indexed="8"/>
      <name val="Arial"/>
      <family val="2"/>
    </font>
    <font>
      <i/>
      <sz val="11"/>
      <color indexed="8"/>
      <name val="Arial"/>
      <family val="2"/>
    </font>
    <font>
      <u val="single"/>
      <sz val="16"/>
      <color indexed="12"/>
      <name val="Helv"/>
      <family val="0"/>
    </font>
    <font>
      <sz val="8"/>
      <name val="Arial"/>
      <family val="0"/>
    </font>
    <font>
      <b/>
      <sz val="8"/>
      <name val="Arial"/>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gray0625">
        <bgColor indexed="9"/>
      </patternFill>
    </fill>
    <fill>
      <patternFill patternType="solid">
        <fgColor indexed="13"/>
        <bgColor indexed="64"/>
      </patternFill>
    </fill>
    <fill>
      <patternFill patternType="solid">
        <fgColor indexed="40"/>
        <bgColor indexed="64"/>
      </patternFill>
    </fill>
    <fill>
      <patternFill patternType="solid">
        <fgColor indexed="29"/>
        <bgColor indexed="64"/>
      </patternFill>
    </fill>
    <fill>
      <patternFill patternType="solid">
        <fgColor indexed="43"/>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style="thin"/>
    </border>
    <border>
      <left>
        <color indexed="63"/>
      </left>
      <right>
        <color indexed="63"/>
      </right>
      <top style="hair">
        <color indexed="48"/>
      </top>
      <bottom style="hair">
        <color indexed="48"/>
      </bottom>
    </border>
    <border>
      <left>
        <color indexed="63"/>
      </left>
      <right style="thin"/>
      <top style="hair">
        <color indexed="48"/>
      </top>
      <bottom style="hair">
        <color indexed="48"/>
      </bottom>
    </border>
    <border>
      <left style="thin"/>
      <right>
        <color indexed="63"/>
      </right>
      <top style="hair">
        <color indexed="48"/>
      </top>
      <bottom style="hair">
        <color indexed="48"/>
      </bottom>
    </border>
    <border>
      <left style="thin"/>
      <right style="thin"/>
      <top style="thin"/>
      <bottom style="hair">
        <color indexed="12"/>
      </bottom>
    </border>
    <border>
      <left style="thin"/>
      <right style="thin"/>
      <top style="hair">
        <color indexed="12"/>
      </top>
      <bottom style="hair">
        <color indexed="12"/>
      </bottom>
    </border>
    <border>
      <left style="thin"/>
      <right style="thin"/>
      <top style="hair">
        <color indexed="12"/>
      </top>
      <bottom style="thin"/>
    </border>
    <border>
      <left style="thin"/>
      <right style="hair">
        <color indexed="12"/>
      </right>
      <top style="thin"/>
      <bottom style="hair">
        <color indexed="12"/>
      </bottom>
    </border>
    <border>
      <left style="thin"/>
      <right style="hair">
        <color indexed="12"/>
      </right>
      <top style="hair">
        <color indexed="12"/>
      </top>
      <bottom style="hair">
        <color indexed="12"/>
      </bottom>
    </border>
    <border>
      <left style="thin"/>
      <right style="hair">
        <color indexed="12"/>
      </right>
      <top style="hair">
        <color indexed="12"/>
      </top>
      <bottom>
        <color indexed="63"/>
      </bottom>
    </border>
    <border>
      <left style="thin"/>
      <right style="hair">
        <color indexed="12"/>
      </right>
      <top style="hair">
        <color indexed="12"/>
      </top>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hair">
        <color indexed="48"/>
      </top>
      <bottom style="thin"/>
    </border>
    <border>
      <left>
        <color indexed="63"/>
      </left>
      <right>
        <color indexed="63"/>
      </right>
      <top style="hair">
        <color indexed="48"/>
      </top>
      <bottom style="thin"/>
    </border>
    <border>
      <left>
        <color indexed="63"/>
      </left>
      <right style="thin"/>
      <top style="hair">
        <color indexed="48"/>
      </top>
      <bottom style="thin"/>
    </border>
    <border>
      <left style="thin"/>
      <right>
        <color indexed="63"/>
      </right>
      <top style="thin"/>
      <bottom style="hair">
        <color indexed="48"/>
      </bottom>
    </border>
    <border>
      <left>
        <color indexed="63"/>
      </left>
      <right>
        <color indexed="63"/>
      </right>
      <top style="thin"/>
      <bottom style="hair">
        <color indexed="48"/>
      </bottom>
    </border>
    <border>
      <left style="thin"/>
      <right>
        <color indexed="63"/>
      </right>
      <top style="hair">
        <color indexed="12"/>
      </top>
      <bottom style="hair">
        <color indexed="12"/>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hair">
        <color indexed="48"/>
      </bottom>
    </border>
    <border>
      <left style="thin"/>
      <right>
        <color indexed="63"/>
      </right>
      <top>
        <color indexed="63"/>
      </top>
      <bottom style="double"/>
    </border>
    <border>
      <left>
        <color indexed="63"/>
      </left>
      <right>
        <color indexed="63"/>
      </right>
      <top>
        <color indexed="63"/>
      </top>
      <bottom style="double"/>
    </border>
    <border>
      <left>
        <color indexed="63"/>
      </left>
      <right style="thin"/>
      <top style="double"/>
      <bottom>
        <color indexed="63"/>
      </bottom>
    </border>
    <border>
      <left style="hair">
        <color indexed="48"/>
      </left>
      <right>
        <color indexed="63"/>
      </right>
      <top style="hair">
        <color indexed="48"/>
      </top>
      <bottom style="hair">
        <color indexed="48"/>
      </bottom>
    </border>
    <border>
      <left>
        <color indexed="63"/>
      </left>
      <right style="hair">
        <color indexed="48"/>
      </right>
      <top style="hair">
        <color indexed="48"/>
      </top>
      <bottom style="hair">
        <color indexed="48"/>
      </bottom>
    </border>
    <border>
      <left>
        <color indexed="63"/>
      </left>
      <right>
        <color indexed="63"/>
      </right>
      <top style="hair">
        <color indexed="48"/>
      </top>
      <bottom style="double"/>
    </border>
    <border>
      <left>
        <color indexed="63"/>
      </left>
      <right style="hair">
        <color indexed="48"/>
      </right>
      <top style="hair">
        <color indexed="48"/>
      </top>
      <bottom style="double"/>
    </border>
    <border>
      <left style="medium">
        <color indexed="8"/>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border>
    <border>
      <left style="thin"/>
      <right style="thin"/>
      <top>
        <color indexed="63"/>
      </top>
      <bottom style="double"/>
    </border>
    <border>
      <left>
        <color indexed="63"/>
      </left>
      <right>
        <color indexed="63"/>
      </right>
      <top style="hair">
        <color indexed="12"/>
      </top>
      <bottom style="hair">
        <color indexed="12"/>
      </bottom>
    </border>
    <border>
      <left>
        <color indexed="63"/>
      </left>
      <right style="thin"/>
      <top style="hair">
        <color indexed="12"/>
      </top>
      <bottom style="hair">
        <color indexed="12"/>
      </bottom>
    </border>
    <border>
      <left>
        <color indexed="63"/>
      </left>
      <right style="thin"/>
      <top>
        <color indexed="63"/>
      </top>
      <bottom style="hair">
        <color indexed="12"/>
      </bottom>
    </border>
    <border>
      <left style="thin"/>
      <right>
        <color indexed="63"/>
      </right>
      <top style="hair">
        <color indexed="12"/>
      </top>
      <bottom style="hair">
        <color indexed="48"/>
      </bottom>
    </border>
    <border>
      <left>
        <color indexed="63"/>
      </left>
      <right>
        <color indexed="63"/>
      </right>
      <top style="hair">
        <color indexed="12"/>
      </top>
      <bottom style="hair">
        <color indexed="48"/>
      </bottom>
    </border>
    <border>
      <left style="thin"/>
      <right>
        <color indexed="63"/>
      </right>
      <top style="thin"/>
      <bottom style="hair">
        <color indexed="12"/>
      </bottom>
    </border>
    <border>
      <left>
        <color indexed="63"/>
      </left>
      <right>
        <color indexed="63"/>
      </right>
      <top style="thin"/>
      <bottom style="hair">
        <color indexed="12"/>
      </bottom>
    </border>
    <border>
      <left>
        <color indexed="63"/>
      </left>
      <right style="thin"/>
      <top style="thin"/>
      <bottom style="hair">
        <color indexed="12"/>
      </bottom>
    </border>
    <border>
      <left>
        <color indexed="63"/>
      </left>
      <right>
        <color indexed="63"/>
      </right>
      <top style="hair">
        <color indexed="12"/>
      </top>
      <bottom style="thin"/>
    </border>
    <border>
      <left>
        <color indexed="63"/>
      </left>
      <right style="thin"/>
      <top style="hair">
        <color indexed="12"/>
      </top>
      <bottom style="thin"/>
    </border>
    <border>
      <left style="thin"/>
      <right>
        <color indexed="63"/>
      </right>
      <top>
        <color indexed="63"/>
      </top>
      <bottom style="hair">
        <color indexed="12"/>
      </bottom>
    </border>
    <border>
      <left>
        <color indexed="63"/>
      </left>
      <right>
        <color indexed="63"/>
      </right>
      <top>
        <color indexed="63"/>
      </top>
      <bottom style="hair">
        <color indexed="12"/>
      </bottom>
    </border>
    <border>
      <left style="thin"/>
      <right>
        <color indexed="63"/>
      </right>
      <top style="hair">
        <color indexed="12"/>
      </top>
      <bottom style="thin"/>
    </border>
    <border>
      <left style="medium">
        <color indexed="8"/>
      </left>
      <right style="medium">
        <color indexed="8"/>
      </right>
      <top style="medium">
        <color indexed="8"/>
      </top>
      <bottom>
        <color indexed="63"/>
      </bottom>
    </border>
    <border>
      <left>
        <color indexed="63"/>
      </left>
      <right style="thin"/>
      <top>
        <color indexed="63"/>
      </top>
      <bottom style="double"/>
    </border>
    <border>
      <left style="hair">
        <color indexed="48"/>
      </left>
      <right>
        <color indexed="63"/>
      </right>
      <top>
        <color indexed="63"/>
      </top>
      <bottom>
        <color indexed="63"/>
      </bottom>
    </border>
    <border>
      <left style="thin"/>
      <right style="thin"/>
      <top style="hair">
        <color indexed="12"/>
      </top>
      <bottom>
        <color indexed="63"/>
      </bottom>
    </border>
    <border>
      <left style="hair">
        <color indexed="12"/>
      </left>
      <right style="thin"/>
      <top style="thin"/>
      <bottom style="hair">
        <color indexed="12"/>
      </bottom>
    </border>
    <border>
      <left style="hair">
        <color indexed="12"/>
      </left>
      <right style="thin"/>
      <top style="hair">
        <color indexed="12"/>
      </top>
      <bottom style="hair">
        <color indexed="12"/>
      </bottom>
    </border>
    <border>
      <left style="hair">
        <color indexed="12"/>
      </left>
      <right style="thin"/>
      <top style="hair">
        <color indexed="12"/>
      </top>
      <bottom style="thin"/>
    </border>
    <border>
      <left>
        <color indexed="63"/>
      </left>
      <right style="hair">
        <color indexed="12"/>
      </right>
      <top style="thin"/>
      <bottom style="hair">
        <color indexed="12"/>
      </bottom>
    </border>
    <border>
      <left>
        <color indexed="63"/>
      </left>
      <right style="hair">
        <color indexed="12"/>
      </right>
      <top style="hair">
        <color indexed="12"/>
      </top>
      <bottom style="hair">
        <color indexed="12"/>
      </bottom>
    </border>
    <border>
      <left>
        <color indexed="63"/>
      </left>
      <right style="hair">
        <color indexed="12"/>
      </right>
      <top style="hair">
        <color indexed="12"/>
      </top>
      <bottom style="thin"/>
    </border>
    <border>
      <left style="hair">
        <color indexed="12"/>
      </left>
      <right style="thin"/>
      <top style="hair">
        <color indexed="12"/>
      </top>
      <bottom>
        <color indexed="63"/>
      </bottom>
    </border>
    <border>
      <left style="thin"/>
      <right style="hair">
        <color indexed="12"/>
      </right>
      <top>
        <color indexed="63"/>
      </top>
      <bottom style="hair">
        <color indexed="12"/>
      </bottom>
    </border>
    <border>
      <left style="hair">
        <color indexed="12"/>
      </left>
      <right style="thin"/>
      <top>
        <color indexed="63"/>
      </top>
      <bottom style="hair">
        <color indexed="1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4" borderId="0" applyNumberFormat="0" applyBorder="0" applyAlignment="0" applyProtection="0"/>
    <xf numFmtId="0" fontId="58" fillId="6" borderId="0" applyNumberFormat="0" applyBorder="0" applyAlignment="0" applyProtection="0"/>
    <xf numFmtId="0" fontId="58" fillId="3"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6" borderId="0" applyNumberFormat="0" applyBorder="0" applyAlignment="0" applyProtection="0"/>
    <xf numFmtId="0" fontId="58" fillId="4" borderId="0" applyNumberFormat="0" applyBorder="0" applyAlignment="0" applyProtection="0"/>
    <xf numFmtId="0" fontId="59" fillId="6"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8" borderId="0" applyNumberFormat="0" applyBorder="0" applyAlignment="0" applyProtection="0"/>
    <xf numFmtId="0" fontId="59" fillId="6" borderId="0" applyNumberFormat="0" applyBorder="0" applyAlignment="0" applyProtection="0"/>
    <xf numFmtId="0" fontId="59" fillId="3" borderId="0" applyNumberFormat="0" applyBorder="0" applyAlignment="0" applyProtection="0"/>
    <xf numFmtId="0" fontId="59" fillId="11"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60" fillId="15" borderId="0" applyNumberFormat="0" applyBorder="0" applyAlignment="0" applyProtection="0"/>
    <xf numFmtId="0" fontId="32" fillId="16" borderId="1" applyNumberFormat="0" applyAlignment="0" applyProtection="0"/>
    <xf numFmtId="0" fontId="6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8" fillId="0" borderId="0" applyFont="0" applyFill="0" applyBorder="0" applyAlignment="0" applyProtection="0"/>
    <xf numFmtId="0" fontId="62" fillId="0" borderId="0" applyNumberFormat="0" applyFill="0" applyBorder="0" applyAlignment="0" applyProtection="0"/>
    <xf numFmtId="0" fontId="11" fillId="0" borderId="0" applyNumberFormat="0" applyFill="0" applyBorder="0" applyAlignment="0" applyProtection="0"/>
    <xf numFmtId="0" fontId="63" fillId="6"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10" fillId="0" borderId="0" applyNumberFormat="0" applyFill="0" applyBorder="0" applyAlignment="0" applyProtection="0"/>
    <xf numFmtId="0" fontId="57" fillId="0" borderId="0" applyNumberFormat="0" applyFill="0" applyBorder="0" applyAlignment="0" applyProtection="0"/>
    <xf numFmtId="0" fontId="67" fillId="7" borderId="1" applyNumberFormat="0" applyAlignment="0" applyProtection="0"/>
    <xf numFmtId="0" fontId="22" fillId="0" borderId="6" applyNumberFormat="0" applyFill="0" applyAlignment="0" applyProtection="0"/>
    <xf numFmtId="0" fontId="68" fillId="7" borderId="0" applyNumberFormat="0" applyBorder="0" applyAlignment="0" applyProtection="0"/>
    <xf numFmtId="190" fontId="5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4" borderId="7" applyNumberFormat="0" applyFont="0" applyAlignment="0" applyProtection="0"/>
    <xf numFmtId="0" fontId="69" fillId="1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22" fillId="0" borderId="0" applyNumberFormat="0" applyFill="0" applyBorder="0" applyAlignment="0" applyProtection="0"/>
  </cellStyleXfs>
  <cellXfs count="663">
    <xf numFmtId="0" fontId="0" fillId="0" borderId="0" xfId="0" applyAlignment="1">
      <alignment/>
    </xf>
    <xf numFmtId="0" fontId="0" fillId="0" borderId="0" xfId="0" applyAlignment="1">
      <alignment horizontal="center"/>
    </xf>
    <xf numFmtId="0" fontId="0" fillId="0" borderId="0" xfId="0" applyBorder="1" applyAlignment="1">
      <alignment/>
    </xf>
    <xf numFmtId="0" fontId="0" fillId="18" borderId="0" xfId="0" applyFill="1" applyAlignment="1">
      <alignment/>
    </xf>
    <xf numFmtId="0" fontId="0" fillId="0" borderId="10" xfId="0" applyBorder="1" applyAlignment="1">
      <alignment horizontal="center"/>
    </xf>
    <xf numFmtId="0" fontId="5" fillId="0" borderId="11" xfId="0" applyFont="1" applyFill="1" applyBorder="1" applyAlignment="1" applyProtection="1">
      <alignment horizontal="center"/>
      <protection locked="0"/>
    </xf>
    <xf numFmtId="0" fontId="5" fillId="18" borderId="0" xfId="0" applyFont="1" applyFill="1" applyAlignment="1" applyProtection="1">
      <alignment horizontal="center"/>
      <protection/>
    </xf>
    <xf numFmtId="3" fontId="5" fillId="18" borderId="0" xfId="0" applyNumberFormat="1" applyFont="1" applyFill="1" applyAlignment="1" applyProtection="1">
      <alignment horizontal="center"/>
      <protection/>
    </xf>
    <xf numFmtId="0" fontId="0" fillId="0" borderId="0" xfId="0" applyAlignment="1">
      <alignment horizontal="left"/>
    </xf>
    <xf numFmtId="0" fontId="0" fillId="0" borderId="0" xfId="0" applyAlignment="1">
      <alignment horizontal="right"/>
    </xf>
    <xf numFmtId="0" fontId="5" fillId="0" borderId="11" xfId="0" applyFont="1" applyFill="1" applyBorder="1" applyAlignment="1" applyProtection="1" quotePrefix="1">
      <alignment horizontal="center"/>
      <protection locked="0"/>
    </xf>
    <xf numFmtId="0" fontId="2" fillId="0" borderId="12" xfId="0" applyFont="1" applyBorder="1" applyAlignment="1" applyProtection="1">
      <alignment/>
      <protection locked="0"/>
    </xf>
    <xf numFmtId="0" fontId="2" fillId="0" borderId="13" xfId="0" applyFont="1" applyBorder="1" applyAlignment="1" applyProtection="1">
      <alignment/>
      <protection locked="0"/>
    </xf>
    <xf numFmtId="0" fontId="2" fillId="0" borderId="14" xfId="0" applyFont="1" applyBorder="1" applyAlignment="1" applyProtection="1">
      <alignment/>
      <protection locked="0"/>
    </xf>
    <xf numFmtId="2" fontId="0" fillId="0" borderId="0" xfId="0" applyNumberFormat="1" applyAlignment="1">
      <alignment horizontal="center"/>
    </xf>
    <xf numFmtId="0" fontId="2" fillId="0" borderId="15" xfId="0" applyFont="1" applyBorder="1" applyAlignment="1" applyProtection="1">
      <alignment/>
      <protection locked="0"/>
    </xf>
    <xf numFmtId="0" fontId="5" fillId="0" borderId="15" xfId="0" applyFont="1" applyBorder="1" applyAlignment="1" applyProtection="1">
      <alignment horizontal="center"/>
      <protection locked="0"/>
    </xf>
    <xf numFmtId="0" fontId="2" fillId="0" borderId="16" xfId="0" applyFont="1" applyBorder="1" applyAlignment="1" applyProtection="1">
      <alignment/>
      <protection locked="0"/>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2" fillId="0" borderId="15" xfId="0" applyFont="1" applyBorder="1" applyAlignment="1" applyProtection="1">
      <alignment horizontal="center"/>
      <protection locked="0"/>
    </xf>
    <xf numFmtId="168" fontId="0" fillId="0" borderId="0" xfId="0" applyNumberFormat="1" applyAlignment="1">
      <alignment horizontal="center"/>
    </xf>
    <xf numFmtId="0" fontId="2" fillId="0" borderId="16"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2" fillId="0" borderId="18" xfId="0" applyFont="1" applyBorder="1" applyAlignment="1" applyProtection="1">
      <alignment/>
      <protection locked="0"/>
    </xf>
    <xf numFmtId="0" fontId="2" fillId="0" borderId="19" xfId="0" applyFont="1" applyBorder="1" applyAlignment="1" applyProtection="1">
      <alignment/>
      <protection locked="0"/>
    </xf>
    <xf numFmtId="0" fontId="2" fillId="0" borderId="20" xfId="0" applyFont="1" applyBorder="1" applyAlignment="1" applyProtection="1">
      <alignment/>
      <protection locked="0"/>
    </xf>
    <xf numFmtId="0" fontId="2" fillId="0" borderId="21" xfId="0" applyFont="1" applyBorder="1" applyAlignment="1" applyProtection="1">
      <alignment/>
      <protection locked="0"/>
    </xf>
    <xf numFmtId="0" fontId="0" fillId="0" borderId="0" xfId="0" applyAlignment="1" applyProtection="1">
      <alignment/>
      <protection/>
    </xf>
    <xf numFmtId="0" fontId="0" fillId="18" borderId="0" xfId="0" applyFill="1" applyAlignment="1" applyProtection="1">
      <alignment horizontal="center"/>
      <protection/>
    </xf>
    <xf numFmtId="0" fontId="3" fillId="0" borderId="0" xfId="0" applyFont="1" applyBorder="1" applyAlignment="1" applyProtection="1">
      <alignment horizontal="left"/>
      <protection/>
    </xf>
    <xf numFmtId="0" fontId="3" fillId="0" borderId="0" xfId="0" applyFont="1" applyBorder="1" applyAlignment="1" applyProtection="1">
      <alignment horizontal="right"/>
      <protection/>
    </xf>
    <xf numFmtId="0" fontId="0" fillId="0" borderId="22" xfId="0" applyBorder="1" applyAlignment="1" applyProtection="1">
      <alignment/>
      <protection/>
    </xf>
    <xf numFmtId="0" fontId="0" fillId="0" borderId="10" xfId="0" applyBorder="1" applyAlignment="1" applyProtection="1">
      <alignment/>
      <protection/>
    </xf>
    <xf numFmtId="0" fontId="0" fillId="0" borderId="0" xfId="0" applyAlignment="1" applyProtection="1">
      <alignment horizontal="center"/>
      <protection/>
    </xf>
    <xf numFmtId="0" fontId="0" fillId="0" borderId="0" xfId="0" applyBorder="1" applyAlignment="1" applyProtection="1">
      <alignment horizontal="left"/>
      <protection/>
    </xf>
    <xf numFmtId="3" fontId="0" fillId="0" borderId="0" xfId="0" applyNumberFormat="1" applyBorder="1" applyAlignment="1" applyProtection="1">
      <alignment horizontal="center"/>
      <protection/>
    </xf>
    <xf numFmtId="0" fontId="0" fillId="0" borderId="0" xfId="0" applyBorder="1" applyAlignment="1" applyProtection="1">
      <alignment horizontal="center"/>
      <protection/>
    </xf>
    <xf numFmtId="0" fontId="0" fillId="0" borderId="0" xfId="0" applyAlignment="1" applyProtection="1">
      <alignment horizontal="left"/>
      <protection/>
    </xf>
    <xf numFmtId="0" fontId="2" fillId="0" borderId="0" xfId="0" applyFont="1" applyBorder="1" applyAlignment="1" applyProtection="1">
      <alignment horizontal="left"/>
      <protection/>
    </xf>
    <xf numFmtId="0" fontId="2" fillId="0" borderId="0" xfId="0" applyFont="1" applyBorder="1" applyAlignment="1" applyProtection="1">
      <alignment horizontal="center"/>
      <protection/>
    </xf>
    <xf numFmtId="0" fontId="1" fillId="0" borderId="0" xfId="0" applyFont="1" applyBorder="1" applyAlignment="1" applyProtection="1">
      <alignment/>
      <protection/>
    </xf>
    <xf numFmtId="0" fontId="0" fillId="0" borderId="0" xfId="0" applyBorder="1" applyAlignment="1" applyProtection="1">
      <alignment/>
      <protection/>
    </xf>
    <xf numFmtId="0" fontId="0" fillId="16" borderId="0" xfId="0" applyFill="1" applyAlignment="1" applyProtection="1">
      <alignment horizontal="left"/>
      <protection/>
    </xf>
    <xf numFmtId="0" fontId="0" fillId="16" borderId="0" xfId="0" applyFill="1" applyAlignment="1" applyProtection="1">
      <alignment/>
      <protection/>
    </xf>
    <xf numFmtId="0" fontId="0" fillId="0" borderId="0" xfId="0" applyFont="1" applyBorder="1" applyAlignment="1" applyProtection="1">
      <alignment/>
      <protection/>
    </xf>
    <xf numFmtId="0" fontId="0" fillId="18" borderId="0" xfId="0" applyFill="1" applyAlignment="1" applyProtection="1">
      <alignment/>
      <protection/>
    </xf>
    <xf numFmtId="0" fontId="1" fillId="0" borderId="23" xfId="0" applyFont="1" applyBorder="1" applyAlignment="1" applyProtection="1">
      <alignment horizontal="center"/>
      <protection/>
    </xf>
    <xf numFmtId="0" fontId="1" fillId="0" borderId="24" xfId="0" applyFont="1" applyBorder="1" applyAlignment="1" applyProtection="1">
      <alignment horizontal="center"/>
      <protection/>
    </xf>
    <xf numFmtId="0" fontId="0" fillId="0" borderId="0" xfId="0" applyBorder="1" applyAlignment="1" applyProtection="1">
      <alignment horizontal="right"/>
      <protection/>
    </xf>
    <xf numFmtId="0" fontId="2" fillId="0" borderId="0" xfId="0" applyFont="1" applyBorder="1" applyAlignment="1" applyProtection="1">
      <alignment/>
      <protection/>
    </xf>
    <xf numFmtId="164" fontId="0" fillId="19" borderId="0" xfId="0" applyNumberFormat="1" applyFont="1" applyFill="1" applyAlignment="1" applyProtection="1">
      <alignment/>
      <protection/>
    </xf>
    <xf numFmtId="0" fontId="0" fillId="19" borderId="0" xfId="0" applyFill="1" applyAlignment="1" applyProtection="1">
      <alignment horizontal="center"/>
      <protection/>
    </xf>
    <xf numFmtId="0" fontId="0" fillId="19" borderId="0" xfId="0" applyFill="1" applyAlignment="1" applyProtection="1">
      <alignment/>
      <protection/>
    </xf>
    <xf numFmtId="0" fontId="0" fillId="0" borderId="0" xfId="0" applyFont="1" applyAlignment="1" applyProtection="1">
      <alignment/>
      <protection/>
    </xf>
    <xf numFmtId="0" fontId="1" fillId="0" borderId="0" xfId="0" applyFont="1" applyBorder="1" applyAlignment="1" applyProtection="1">
      <alignment horizontal="left"/>
      <protection/>
    </xf>
    <xf numFmtId="164" fontId="0" fillId="0" borderId="22" xfId="0" applyNumberFormat="1" applyBorder="1" applyAlignment="1" applyProtection="1">
      <alignment/>
      <protection/>
    </xf>
    <xf numFmtId="165" fontId="0" fillId="20" borderId="0" xfId="0" applyNumberFormat="1" applyFill="1" applyBorder="1" applyAlignment="1" applyProtection="1">
      <alignment/>
      <protection/>
    </xf>
    <xf numFmtId="0" fontId="1" fillId="16" borderId="25" xfId="0" applyFont="1" applyFill="1" applyBorder="1" applyAlignment="1" applyProtection="1">
      <alignment horizontal="left"/>
      <protection/>
    </xf>
    <xf numFmtId="0" fontId="1" fillId="16" borderId="26" xfId="0" applyFont="1" applyFill="1" applyBorder="1" applyAlignment="1" applyProtection="1">
      <alignment horizontal="left"/>
      <protection/>
    </xf>
    <xf numFmtId="0" fontId="1" fillId="16" borderId="27" xfId="0" applyFont="1" applyFill="1" applyBorder="1" applyAlignment="1" applyProtection="1">
      <alignment horizontal="left"/>
      <protection/>
    </xf>
    <xf numFmtId="164" fontId="2" fillId="0" borderId="22" xfId="0" applyNumberFormat="1" applyFont="1" applyBorder="1" applyAlignment="1" applyProtection="1">
      <alignment/>
      <protection/>
    </xf>
    <xf numFmtId="3" fontId="2" fillId="16" borderId="0" xfId="0" applyNumberFormat="1" applyFont="1" applyFill="1" applyAlignment="1" applyProtection="1">
      <alignment/>
      <protection/>
    </xf>
    <xf numFmtId="0" fontId="2" fillId="18" borderId="0" xfId="0" applyFont="1" applyFill="1" applyAlignment="1" applyProtection="1">
      <alignment/>
      <protection/>
    </xf>
    <xf numFmtId="0" fontId="2" fillId="16" borderId="0" xfId="0" applyFont="1" applyFill="1" applyAlignment="1" applyProtection="1">
      <alignment/>
      <protection/>
    </xf>
    <xf numFmtId="0" fontId="0" fillId="18" borderId="0" xfId="0" applyFont="1" applyFill="1" applyBorder="1" applyAlignment="1" applyProtection="1">
      <alignment/>
      <protection/>
    </xf>
    <xf numFmtId="164" fontId="2" fillId="18" borderId="22" xfId="0" applyNumberFormat="1" applyFont="1" applyFill="1" applyBorder="1" applyAlignment="1" applyProtection="1">
      <alignment/>
      <protection/>
    </xf>
    <xf numFmtId="0" fontId="1" fillId="0" borderId="0" xfId="0" applyFont="1" applyAlignment="1" applyProtection="1">
      <alignment/>
      <protection/>
    </xf>
    <xf numFmtId="3" fontId="2" fillId="16" borderId="22" xfId="0" applyNumberFormat="1" applyFont="1" applyFill="1" applyBorder="1" applyAlignment="1" applyProtection="1">
      <alignment/>
      <protection/>
    </xf>
    <xf numFmtId="6" fontId="0" fillId="0" borderId="22" xfId="0" applyNumberFormat="1" applyFont="1" applyBorder="1" applyAlignment="1" applyProtection="1">
      <alignment/>
      <protection/>
    </xf>
    <xf numFmtId="3" fontId="2" fillId="0" borderId="28" xfId="0" applyNumberFormat="1" applyFont="1" applyBorder="1" applyAlignment="1" applyProtection="1">
      <alignment/>
      <protection/>
    </xf>
    <xf numFmtId="0" fontId="2" fillId="16" borderId="10" xfId="0" applyFont="1" applyFill="1" applyBorder="1" applyAlignment="1" applyProtection="1">
      <alignment/>
      <protection/>
    </xf>
    <xf numFmtId="0" fontId="2" fillId="0" borderId="0" xfId="0" applyFont="1" applyAlignment="1" applyProtection="1">
      <alignment/>
      <protection/>
    </xf>
    <xf numFmtId="164" fontId="2" fillId="0" borderId="0" xfId="0" applyNumberFormat="1" applyFont="1" applyBorder="1" applyAlignment="1" applyProtection="1">
      <alignment/>
      <protection/>
    </xf>
    <xf numFmtId="0" fontId="0" fillId="0" borderId="0" xfId="0" applyFont="1" applyBorder="1" applyAlignment="1" applyProtection="1">
      <alignment horizontal="center"/>
      <protection/>
    </xf>
    <xf numFmtId="0" fontId="0" fillId="0" borderId="10" xfId="0" applyBorder="1" applyAlignment="1" applyProtection="1">
      <alignment horizontal="center"/>
      <protection/>
    </xf>
    <xf numFmtId="0" fontId="0" fillId="0" borderId="22" xfId="0" applyFont="1" applyBorder="1" applyAlignment="1" applyProtection="1">
      <alignment horizontal="center"/>
      <protection/>
    </xf>
    <xf numFmtId="1" fontId="2" fillId="0" borderId="0" xfId="0" applyNumberFormat="1" applyFont="1" applyAlignment="1" applyProtection="1">
      <alignment/>
      <protection/>
    </xf>
    <xf numFmtId="3" fontId="2" fillId="0" borderId="0" xfId="0" applyNumberFormat="1" applyFont="1" applyAlignment="1" applyProtection="1">
      <alignment/>
      <protection/>
    </xf>
    <xf numFmtId="0" fontId="2" fillId="0" borderId="0" xfId="0" applyFont="1" applyAlignment="1" applyProtection="1">
      <alignment horizontal="center"/>
      <protection/>
    </xf>
    <xf numFmtId="38" fontId="0" fillId="18" borderId="0" xfId="0" applyNumberFormat="1" applyFont="1" applyFill="1" applyAlignment="1" applyProtection="1">
      <alignment horizontal="center"/>
      <protection/>
    </xf>
    <xf numFmtId="164" fontId="0" fillId="0" borderId="0" xfId="0" applyNumberFormat="1" applyBorder="1" applyAlignment="1" applyProtection="1">
      <alignment/>
      <protection/>
    </xf>
    <xf numFmtId="6" fontId="0" fillId="18" borderId="0" xfId="0" applyNumberFormat="1" applyFill="1" applyAlignment="1" applyProtection="1">
      <alignment horizontal="center"/>
      <protection/>
    </xf>
    <xf numFmtId="0" fontId="1" fillId="0" borderId="29" xfId="0" applyFont="1" applyBorder="1" applyAlignment="1" applyProtection="1">
      <alignment horizontal="center"/>
      <protection/>
    </xf>
    <xf numFmtId="0" fontId="1" fillId="0" borderId="30" xfId="0" applyFont="1" applyBorder="1" applyAlignment="1" applyProtection="1">
      <alignment horizontal="center"/>
      <protection/>
    </xf>
    <xf numFmtId="6" fontId="1" fillId="18" borderId="30" xfId="0" applyNumberFormat="1" applyFont="1" applyFill="1" applyBorder="1" applyAlignment="1" applyProtection="1">
      <alignment/>
      <protection/>
    </xf>
    <xf numFmtId="6" fontId="0" fillId="0" borderId="0" xfId="0" applyNumberFormat="1" applyAlignment="1" applyProtection="1">
      <alignment horizontal="center"/>
      <protection/>
    </xf>
    <xf numFmtId="0" fontId="1" fillId="0" borderId="30" xfId="0" applyFont="1" applyBorder="1" applyAlignment="1" applyProtection="1">
      <alignment/>
      <protection/>
    </xf>
    <xf numFmtId="6" fontId="1" fillId="18" borderId="31" xfId="0" applyNumberFormat="1" applyFont="1" applyFill="1" applyBorder="1" applyAlignment="1" applyProtection="1">
      <alignment/>
      <protection/>
    </xf>
    <xf numFmtId="0" fontId="2" fillId="0" borderId="32" xfId="0" applyFont="1" applyBorder="1" applyAlignment="1" applyProtection="1">
      <alignment/>
      <protection locked="0"/>
    </xf>
    <xf numFmtId="0" fontId="2" fillId="0" borderId="33" xfId="0" applyFont="1" applyBorder="1" applyAlignment="1" applyProtection="1">
      <alignment/>
      <protection locked="0"/>
    </xf>
    <xf numFmtId="0" fontId="2" fillId="0" borderId="34" xfId="0" applyFont="1" applyBorder="1" applyAlignment="1" applyProtection="1">
      <alignment/>
      <protection locked="0"/>
    </xf>
    <xf numFmtId="0" fontId="5" fillId="0" borderId="35" xfId="0" applyFont="1" applyBorder="1" applyAlignment="1" applyProtection="1">
      <alignment/>
      <protection locked="0"/>
    </xf>
    <xf numFmtId="0" fontId="5" fillId="0" borderId="36" xfId="0" applyFont="1" applyBorder="1" applyAlignment="1" applyProtection="1">
      <alignment/>
      <protection locked="0"/>
    </xf>
    <xf numFmtId="0" fontId="2" fillId="0" borderId="37" xfId="0" applyFont="1" applyBorder="1" applyAlignment="1" applyProtection="1">
      <alignment/>
      <protection locked="0"/>
    </xf>
    <xf numFmtId="0" fontId="15" fillId="0" borderId="0" xfId="64">
      <alignment/>
      <protection/>
    </xf>
    <xf numFmtId="0" fontId="16" fillId="0" borderId="0" xfId="0" applyFont="1" applyAlignment="1" applyProtection="1">
      <alignment horizontal="center"/>
      <protection locked="0"/>
    </xf>
    <xf numFmtId="0" fontId="0" fillId="0" borderId="11" xfId="0" applyBorder="1" applyAlignment="1">
      <alignment horizontal="center"/>
    </xf>
    <xf numFmtId="164" fontId="16" fillId="0" borderId="0" xfId="0" applyNumberFormat="1" applyFont="1" applyAlignment="1" applyProtection="1">
      <alignment horizontal="center"/>
      <protection locked="0"/>
    </xf>
    <xf numFmtId="164" fontId="0" fillId="0" borderId="0" xfId="0" applyNumberFormat="1" applyAlignment="1">
      <alignment horizontal="center"/>
    </xf>
    <xf numFmtId="165" fontId="0" fillId="0" borderId="0" xfId="0" applyNumberFormat="1" applyAlignment="1">
      <alignment horizontal="center"/>
    </xf>
    <xf numFmtId="165" fontId="16" fillId="0" borderId="0" xfId="0" applyNumberFormat="1" applyFont="1" applyAlignment="1" applyProtection="1">
      <alignment horizontal="center"/>
      <protection locked="0"/>
    </xf>
    <xf numFmtId="3" fontId="16" fillId="0" borderId="0" xfId="0" applyNumberFormat="1" applyFont="1" applyAlignment="1" applyProtection="1">
      <alignment horizontal="center"/>
      <protection locked="0"/>
    </xf>
    <xf numFmtId="164" fontId="16" fillId="0" borderId="10" xfId="0" applyNumberFormat="1" applyFont="1" applyBorder="1" applyAlignment="1" applyProtection="1">
      <alignment horizontal="center"/>
      <protection locked="0"/>
    </xf>
    <xf numFmtId="164" fontId="0" fillId="0" borderId="10" xfId="0" applyNumberFormat="1" applyBorder="1" applyAlignment="1">
      <alignment horizontal="center"/>
    </xf>
    <xf numFmtId="0" fontId="0" fillId="0" borderId="10" xfId="0" applyBorder="1" applyAlignment="1">
      <alignment/>
    </xf>
    <xf numFmtId="0" fontId="17" fillId="0" borderId="0" xfId="0" applyFont="1" applyAlignment="1">
      <alignment/>
    </xf>
    <xf numFmtId="0" fontId="18" fillId="0" borderId="0" xfId="0" applyFont="1" applyAlignment="1">
      <alignment horizontal="center"/>
    </xf>
    <xf numFmtId="0" fontId="19" fillId="0" borderId="0" xfId="0" applyFont="1" applyBorder="1" applyAlignment="1">
      <alignment horizontal="center"/>
    </xf>
    <xf numFmtId="10" fontId="16" fillId="0" borderId="11" xfId="67" applyNumberFormat="1" applyFont="1" applyBorder="1" applyAlignment="1" applyProtection="1">
      <alignment horizontal="center"/>
      <protection locked="0"/>
    </xf>
    <xf numFmtId="0" fontId="20" fillId="0" borderId="0" xfId="0" applyFont="1" applyAlignment="1">
      <alignment horizontal="center"/>
    </xf>
    <xf numFmtId="0" fontId="20" fillId="0" borderId="0" xfId="0" applyFont="1" applyFill="1" applyAlignment="1">
      <alignment horizontal="center"/>
    </xf>
    <xf numFmtId="0" fontId="0" fillId="0" borderId="0" xfId="0" applyFill="1" applyAlignment="1">
      <alignment horizontal="center"/>
    </xf>
    <xf numFmtId="0" fontId="16" fillId="0" borderId="11" xfId="0" applyFont="1" applyBorder="1" applyAlignment="1" applyProtection="1">
      <alignment horizontal="center"/>
      <protection locked="0"/>
    </xf>
    <xf numFmtId="0" fontId="20" fillId="0" borderId="0" xfId="0" applyFont="1" applyAlignment="1">
      <alignment horizontal="center"/>
    </xf>
    <xf numFmtId="0" fontId="18" fillId="0" borderId="0" xfId="0" applyFont="1" applyFill="1" applyAlignment="1">
      <alignment horizontal="center"/>
    </xf>
    <xf numFmtId="0" fontId="18" fillId="0" borderId="0" xfId="0" applyFont="1" applyBorder="1" applyAlignment="1">
      <alignment horizontal="center"/>
    </xf>
    <xf numFmtId="0" fontId="0" fillId="0" borderId="0" xfId="0" applyFill="1" applyAlignment="1">
      <alignment/>
    </xf>
    <xf numFmtId="0" fontId="18" fillId="0" borderId="10" xfId="0" applyFont="1" applyBorder="1" applyAlignment="1">
      <alignment horizontal="center"/>
    </xf>
    <xf numFmtId="0" fontId="24" fillId="0" borderId="10" xfId="0" applyFont="1" applyBorder="1" applyAlignment="1">
      <alignment horizontal="center"/>
    </xf>
    <xf numFmtId="0" fontId="0" fillId="0" borderId="10" xfId="0" applyFill="1" applyBorder="1" applyAlignment="1">
      <alignment horizontal="center"/>
    </xf>
    <xf numFmtId="0" fontId="16" fillId="18" borderId="0" xfId="0" applyFont="1" applyFill="1" applyAlignment="1">
      <alignment horizontal="center"/>
    </xf>
    <xf numFmtId="164" fontId="15" fillId="0" borderId="0" xfId="0" applyNumberFormat="1" applyFont="1" applyAlignment="1">
      <alignment horizontal="center"/>
    </xf>
    <xf numFmtId="164" fontId="16" fillId="0" borderId="0" xfId="0" applyNumberFormat="1" applyFont="1" applyFill="1" applyAlignment="1" applyProtection="1">
      <alignment horizontal="center"/>
      <protection locked="0"/>
    </xf>
    <xf numFmtId="165" fontId="0" fillId="0" borderId="0" xfId="0" applyNumberFormat="1" applyFill="1" applyAlignment="1">
      <alignment horizontal="center"/>
    </xf>
    <xf numFmtId="164" fontId="0" fillId="0" borderId="0" xfId="0" applyNumberFormat="1" applyFill="1" applyAlignment="1">
      <alignment horizontal="center"/>
    </xf>
    <xf numFmtId="0" fontId="0" fillId="18" borderId="0" xfId="0" applyFill="1" applyAlignment="1">
      <alignment horizontal="center"/>
    </xf>
    <xf numFmtId="164" fontId="16" fillId="18" borderId="0" xfId="0" applyNumberFormat="1" applyFont="1" applyFill="1" applyAlignment="1">
      <alignment horizontal="center"/>
    </xf>
    <xf numFmtId="164" fontId="16" fillId="0" borderId="0" xfId="0" applyNumberFormat="1" applyFont="1" applyFill="1" applyAlignment="1">
      <alignment horizontal="center"/>
    </xf>
    <xf numFmtId="0" fontId="0" fillId="0" borderId="0" xfId="0" applyFill="1" applyBorder="1" applyAlignment="1">
      <alignment/>
    </xf>
    <xf numFmtId="0" fontId="16" fillId="0" borderId="10" xfId="0" applyFont="1" applyBorder="1" applyAlignment="1" applyProtection="1">
      <alignment horizontal="center"/>
      <protection locked="0"/>
    </xf>
    <xf numFmtId="3" fontId="0" fillId="0" borderId="0" xfId="0" applyNumberFormat="1" applyAlignment="1">
      <alignment horizontal="center"/>
    </xf>
    <xf numFmtId="0" fontId="25" fillId="0" borderId="0" xfId="0" applyFont="1" applyAlignment="1">
      <alignment/>
    </xf>
    <xf numFmtId="0" fontId="19" fillId="0" borderId="10" xfId="0" applyFont="1" applyBorder="1" applyAlignment="1">
      <alignment/>
    </xf>
    <xf numFmtId="0" fontId="22" fillId="0" borderId="10" xfId="0" applyFont="1" applyBorder="1" applyAlignment="1">
      <alignment horizontal="center"/>
    </xf>
    <xf numFmtId="0" fontId="20" fillId="0" borderId="10" xfId="0" applyFont="1" applyFill="1" applyBorder="1" applyAlignment="1" quotePrefix="1">
      <alignment horizontal="center"/>
    </xf>
    <xf numFmtId="0" fontId="24" fillId="0" borderId="10" xfId="0" applyFont="1" applyFill="1" applyBorder="1" applyAlignment="1">
      <alignment horizontal="center"/>
    </xf>
    <xf numFmtId="0" fontId="16" fillId="0" borderId="0" xfId="0" applyFont="1" applyAlignment="1" applyProtection="1">
      <alignment/>
      <protection locked="0"/>
    </xf>
    <xf numFmtId="0" fontId="15" fillId="0" borderId="0" xfId="0" applyFont="1" applyAlignment="1">
      <alignment/>
    </xf>
    <xf numFmtId="0" fontId="0" fillId="0" borderId="0" xfId="0" applyBorder="1" applyAlignment="1">
      <alignment horizontal="left"/>
    </xf>
    <xf numFmtId="0" fontId="15" fillId="0" borderId="10" xfId="0" applyFont="1" applyBorder="1" applyAlignment="1">
      <alignment/>
    </xf>
    <xf numFmtId="0" fontId="0" fillId="0" borderId="0" xfId="0" applyAlignment="1" applyProtection="1">
      <alignment/>
      <protection locked="0"/>
    </xf>
    <xf numFmtId="165" fontId="16" fillId="0" borderId="10" xfId="0" applyNumberFormat="1" applyFont="1" applyBorder="1" applyAlignment="1" applyProtection="1">
      <alignment horizontal="center"/>
      <protection locked="0"/>
    </xf>
    <xf numFmtId="0" fontId="22" fillId="0" borderId="0" xfId="0" applyFont="1" applyAlignment="1">
      <alignment/>
    </xf>
    <xf numFmtId="0" fontId="22" fillId="0" borderId="0" xfId="0" applyFont="1" applyAlignment="1">
      <alignment horizontal="center"/>
    </xf>
    <xf numFmtId="0" fontId="0" fillId="0" borderId="0" xfId="0" applyFill="1" applyBorder="1" applyAlignment="1">
      <alignment horizontal="center"/>
    </xf>
    <xf numFmtId="0" fontId="15" fillId="0" borderId="0" xfId="0" applyFont="1" applyAlignment="1">
      <alignment horizontal="center"/>
    </xf>
    <xf numFmtId="0" fontId="15" fillId="0" borderId="10" xfId="0" applyFont="1" applyBorder="1" applyAlignment="1">
      <alignment horizontal="center"/>
    </xf>
    <xf numFmtId="0" fontId="0" fillId="0" borderId="0" xfId="0" applyBorder="1" applyAlignment="1">
      <alignment horizontal="right"/>
    </xf>
    <xf numFmtId="164" fontId="0" fillId="0" borderId="0" xfId="0" applyNumberFormat="1" applyAlignment="1">
      <alignment horizontal="right"/>
    </xf>
    <xf numFmtId="164" fontId="0" fillId="0" borderId="0" xfId="0" applyNumberFormat="1" applyBorder="1" applyAlignment="1">
      <alignment horizontal="center"/>
    </xf>
    <xf numFmtId="0" fontId="15" fillId="0" borderId="0" xfId="0" applyFont="1" applyBorder="1" applyAlignment="1">
      <alignment horizontal="center"/>
    </xf>
    <xf numFmtId="165" fontId="16" fillId="0" borderId="0" xfId="0" applyNumberFormat="1" applyFont="1" applyBorder="1" applyAlignment="1" applyProtection="1">
      <alignment horizontal="center"/>
      <protection locked="0"/>
    </xf>
    <xf numFmtId="0" fontId="0" fillId="0" borderId="0" xfId="0" applyBorder="1" applyAlignment="1">
      <alignment horizontal="center"/>
    </xf>
    <xf numFmtId="164" fontId="16" fillId="0" borderId="0" xfId="0" applyNumberFormat="1" applyFont="1" applyBorder="1" applyAlignment="1" applyProtection="1">
      <alignment horizontal="center"/>
      <protection locked="0"/>
    </xf>
    <xf numFmtId="164" fontId="0" fillId="0" borderId="0" xfId="0" applyNumberFormat="1" applyAlignment="1">
      <alignment/>
    </xf>
    <xf numFmtId="164" fontId="0" fillId="0" borderId="10" xfId="0" applyNumberFormat="1" applyBorder="1" applyAlignment="1">
      <alignment/>
    </xf>
    <xf numFmtId="0" fontId="28" fillId="0" borderId="10" xfId="0" applyFont="1" applyBorder="1" applyAlignment="1" applyProtection="1">
      <alignment horizontal="center"/>
      <protection locked="0"/>
    </xf>
    <xf numFmtId="0" fontId="24" fillId="0" borderId="0" xfId="0" applyFont="1" applyFill="1" applyBorder="1" applyAlignment="1">
      <alignment horizontal="center"/>
    </xf>
    <xf numFmtId="165" fontId="0" fillId="0" borderId="0" xfId="0" applyNumberFormat="1" applyBorder="1" applyAlignment="1">
      <alignment horizontal="center"/>
    </xf>
    <xf numFmtId="0" fontId="19" fillId="0" borderId="0" xfId="0" applyFont="1" applyAlignment="1">
      <alignment/>
    </xf>
    <xf numFmtId="0" fontId="18" fillId="0" borderId="24" xfId="0" applyFont="1" applyFill="1" applyBorder="1" applyAlignment="1">
      <alignment horizontal="center"/>
    </xf>
    <xf numFmtId="0" fontId="15" fillId="0" borderId="23" xfId="64" applyBorder="1">
      <alignment/>
      <protection/>
    </xf>
    <xf numFmtId="0" fontId="18" fillId="0" borderId="38" xfId="0" applyFont="1" applyFill="1" applyBorder="1" applyAlignment="1">
      <alignment horizontal="center"/>
    </xf>
    <xf numFmtId="0" fontId="23" fillId="0" borderId="24" xfId="0" applyFont="1" applyBorder="1" applyAlignment="1" applyProtection="1">
      <alignment horizontal="center"/>
      <protection locked="0"/>
    </xf>
    <xf numFmtId="0" fontId="28" fillId="0" borderId="24" xfId="0" applyFont="1" applyBorder="1" applyAlignment="1" applyProtection="1">
      <alignment horizontal="center"/>
      <protection locked="0"/>
    </xf>
    <xf numFmtId="0" fontId="28" fillId="0" borderId="39" xfId="0" applyFont="1" applyBorder="1" applyAlignment="1" applyProtection="1">
      <alignment horizontal="center"/>
      <protection locked="0"/>
    </xf>
    <xf numFmtId="0" fontId="15" fillId="0" borderId="40" xfId="64" applyBorder="1">
      <alignment/>
      <protection/>
    </xf>
    <xf numFmtId="0" fontId="28" fillId="0" borderId="28" xfId="0" applyFont="1" applyBorder="1" applyAlignment="1" applyProtection="1">
      <alignment horizontal="center"/>
      <protection locked="0"/>
    </xf>
    <xf numFmtId="0" fontId="18" fillId="0" borderId="0" xfId="0" applyFont="1" applyFill="1" applyBorder="1" applyAlignment="1">
      <alignment horizontal="center"/>
    </xf>
    <xf numFmtId="0" fontId="28" fillId="0" borderId="0" xfId="0" applyFont="1" applyBorder="1" applyAlignment="1" applyProtection="1">
      <alignment horizontal="center"/>
      <protection locked="0"/>
    </xf>
    <xf numFmtId="0" fontId="15" fillId="0" borderId="41" xfId="64" applyBorder="1">
      <alignment/>
      <protection/>
    </xf>
    <xf numFmtId="0" fontId="15" fillId="0" borderId="42" xfId="64" applyBorder="1">
      <alignment/>
      <protection/>
    </xf>
    <xf numFmtId="0" fontId="28" fillId="0" borderId="43" xfId="0" applyFont="1" applyBorder="1" applyAlignment="1" applyProtection="1">
      <alignment horizontal="center"/>
      <protection locked="0"/>
    </xf>
    <xf numFmtId="0" fontId="28" fillId="0" borderId="22" xfId="0" applyFont="1" applyBorder="1" applyAlignment="1" applyProtection="1">
      <alignment horizontal="center"/>
      <protection locked="0"/>
    </xf>
    <xf numFmtId="164" fontId="18" fillId="0" borderId="0" xfId="0" applyNumberFormat="1" applyFont="1" applyAlignment="1">
      <alignment horizontal="center"/>
    </xf>
    <xf numFmtId="0" fontId="16" fillId="0" borderId="0" xfId="0" applyFont="1" applyBorder="1" applyAlignment="1" applyProtection="1">
      <alignment horizontal="center"/>
      <protection locked="0"/>
    </xf>
    <xf numFmtId="164" fontId="15" fillId="0" borderId="0" xfId="0" applyNumberFormat="1" applyFont="1" applyBorder="1" applyAlignment="1">
      <alignment horizontal="center"/>
    </xf>
    <xf numFmtId="0" fontId="0" fillId="18" borderId="10" xfId="0" applyFill="1" applyBorder="1" applyAlignment="1">
      <alignment horizontal="center"/>
    </xf>
    <xf numFmtId="0" fontId="0" fillId="18" borderId="10" xfId="0" applyFill="1" applyBorder="1" applyAlignment="1">
      <alignment/>
    </xf>
    <xf numFmtId="164" fontId="16" fillId="18" borderId="10" xfId="0" applyNumberFormat="1" applyFont="1" applyFill="1" applyBorder="1" applyAlignment="1">
      <alignment horizontal="center"/>
    </xf>
    <xf numFmtId="0" fontId="19" fillId="18" borderId="0" xfId="0" applyFont="1" applyFill="1" applyAlignment="1">
      <alignment horizontal="right"/>
    </xf>
    <xf numFmtId="0" fontId="19" fillId="18" borderId="10" xfId="0" applyFont="1" applyFill="1" applyBorder="1" applyAlignment="1">
      <alignment horizontal="right"/>
    </xf>
    <xf numFmtId="0" fontId="5" fillId="0" borderId="42" xfId="0" applyFont="1" applyBorder="1" applyAlignment="1" applyProtection="1">
      <alignment/>
      <protection locked="0"/>
    </xf>
    <xf numFmtId="0" fontId="23" fillId="0" borderId="23" xfId="0" applyFont="1" applyBorder="1" applyAlignment="1" applyProtection="1">
      <alignment horizontal="center"/>
      <protection locked="0"/>
    </xf>
    <xf numFmtId="0" fontId="23" fillId="0" borderId="38" xfId="0" applyFont="1" applyBorder="1" applyAlignment="1" applyProtection="1">
      <alignment horizontal="center"/>
      <protection locked="0"/>
    </xf>
    <xf numFmtId="0" fontId="30" fillId="0" borderId="24" xfId="0" applyFont="1" applyBorder="1" applyAlignment="1" applyProtection="1">
      <alignment horizontal="center"/>
      <protection locked="0"/>
    </xf>
    <xf numFmtId="0" fontId="0" fillId="18" borderId="41" xfId="0" applyFill="1" applyBorder="1" applyAlignment="1">
      <alignment/>
    </xf>
    <xf numFmtId="0" fontId="0" fillId="18" borderId="42" xfId="0" applyFill="1" applyBorder="1" applyAlignment="1">
      <alignment/>
    </xf>
    <xf numFmtId="0" fontId="0" fillId="18" borderId="40" xfId="0" applyFill="1" applyBorder="1" applyAlignment="1">
      <alignment/>
    </xf>
    <xf numFmtId="164" fontId="16" fillId="0" borderId="43" xfId="0" applyNumberFormat="1" applyFont="1" applyBorder="1" applyAlignment="1" applyProtection="1">
      <alignment horizontal="center"/>
      <protection locked="0"/>
    </xf>
    <xf numFmtId="164" fontId="16" fillId="0" borderId="22" xfId="0" applyNumberFormat="1" applyFont="1" applyBorder="1" applyAlignment="1" applyProtection="1">
      <alignment horizontal="center"/>
      <protection locked="0"/>
    </xf>
    <xf numFmtId="164" fontId="16" fillId="18" borderId="43" xfId="0" applyNumberFormat="1" applyFont="1" applyFill="1" applyBorder="1" applyAlignment="1">
      <alignment horizontal="center"/>
    </xf>
    <xf numFmtId="164" fontId="16" fillId="18" borderId="0" xfId="0" applyNumberFormat="1" applyFont="1" applyFill="1" applyBorder="1" applyAlignment="1">
      <alignment horizontal="center"/>
    </xf>
    <xf numFmtId="164" fontId="16" fillId="18" borderId="22" xfId="0" applyNumberFormat="1" applyFont="1" applyFill="1" applyBorder="1" applyAlignment="1">
      <alignment horizontal="center"/>
    </xf>
    <xf numFmtId="0" fontId="0" fillId="18" borderId="39" xfId="0" applyFill="1" applyBorder="1" applyAlignment="1">
      <alignment/>
    </xf>
    <xf numFmtId="0" fontId="0" fillId="18" borderId="28" xfId="0" applyFill="1" applyBorder="1" applyAlignment="1">
      <alignment/>
    </xf>
    <xf numFmtId="0" fontId="29" fillId="18" borderId="0" xfId="0" applyFont="1" applyFill="1" applyAlignment="1" applyProtection="1">
      <alignment horizontal="left"/>
      <protection locked="0"/>
    </xf>
    <xf numFmtId="0" fontId="29" fillId="18" borderId="42" xfId="0" applyFont="1" applyFill="1" applyBorder="1" applyAlignment="1" applyProtection="1">
      <alignment horizontal="left"/>
      <protection locked="0"/>
    </xf>
    <xf numFmtId="0" fontId="28" fillId="0" borderId="0" xfId="0" applyFont="1" applyAlignment="1">
      <alignment horizontal="center"/>
    </xf>
    <xf numFmtId="0" fontId="28" fillId="0" borderId="10" xfId="0" applyFont="1" applyBorder="1" applyAlignment="1">
      <alignment horizontal="center"/>
    </xf>
    <xf numFmtId="0" fontId="9" fillId="0" borderId="0" xfId="0" applyFont="1" applyAlignment="1">
      <alignment horizontal="center"/>
    </xf>
    <xf numFmtId="0" fontId="16" fillId="0" borderId="24" xfId="64" applyFont="1" applyBorder="1" applyAlignment="1">
      <alignment horizontal="center"/>
      <protection/>
    </xf>
    <xf numFmtId="0" fontId="5" fillId="0" borderId="12" xfId="0" applyFont="1" applyBorder="1" applyAlignment="1" applyProtection="1">
      <alignment/>
      <protection locked="0"/>
    </xf>
    <xf numFmtId="0" fontId="15" fillId="0" borderId="0" xfId="64" applyFont="1" applyAlignment="1">
      <alignment horizontal="center"/>
      <protection/>
    </xf>
    <xf numFmtId="0" fontId="19" fillId="18" borderId="0" xfId="0" applyFont="1" applyFill="1" applyAlignment="1" applyProtection="1">
      <alignment horizontal="left"/>
      <protection locked="0"/>
    </xf>
    <xf numFmtId="1" fontId="15" fillId="0" borderId="0" xfId="0" applyNumberFormat="1" applyFont="1" applyAlignment="1" applyProtection="1">
      <alignment horizontal="center"/>
      <protection locked="0"/>
    </xf>
    <xf numFmtId="0" fontId="28" fillId="0" borderId="23" xfId="0" applyFont="1" applyBorder="1" applyAlignment="1" applyProtection="1">
      <alignment horizontal="center"/>
      <protection locked="0"/>
    </xf>
    <xf numFmtId="0" fontId="28" fillId="0" borderId="38" xfId="0" applyFont="1" applyBorder="1" applyAlignment="1" applyProtection="1">
      <alignment horizontal="center"/>
      <protection locked="0"/>
    </xf>
    <xf numFmtId="165" fontId="0" fillId="0" borderId="0" xfId="0" applyNumberFormat="1" applyFill="1" applyBorder="1" applyAlignment="1">
      <alignment horizontal="center"/>
    </xf>
    <xf numFmtId="0" fontId="19" fillId="0" borderId="0" xfId="0" applyFont="1" applyFill="1" applyBorder="1" applyAlignment="1">
      <alignment horizontal="center"/>
    </xf>
    <xf numFmtId="0" fontId="32" fillId="0" borderId="0" xfId="64" applyFont="1" applyFill="1" applyBorder="1" applyAlignment="1">
      <alignment horizontal="center"/>
      <protection/>
    </xf>
    <xf numFmtId="0" fontId="28" fillId="0" borderId="0" xfId="0" applyFont="1" applyFill="1" applyBorder="1" applyAlignment="1" applyProtection="1">
      <alignment horizontal="center"/>
      <protection locked="0"/>
    </xf>
    <xf numFmtId="164" fontId="16" fillId="0" borderId="0" xfId="0" applyNumberFormat="1" applyFont="1" applyFill="1" applyBorder="1" applyAlignment="1">
      <alignment horizontal="center"/>
    </xf>
    <xf numFmtId="0" fontId="18" fillId="0" borderId="23" xfId="0" applyFont="1" applyFill="1" applyBorder="1" applyAlignment="1">
      <alignment horizontal="center"/>
    </xf>
    <xf numFmtId="0" fontId="15" fillId="0" borderId="0" xfId="64" applyBorder="1">
      <alignment/>
      <protection/>
    </xf>
    <xf numFmtId="0" fontId="1" fillId="0" borderId="0" xfId="0" applyFont="1" applyFill="1" applyBorder="1" applyAlignment="1">
      <alignment horizontal="center"/>
    </xf>
    <xf numFmtId="0" fontId="15" fillId="0" borderId="0" xfId="64" applyFill="1" applyBorder="1">
      <alignment/>
      <protection/>
    </xf>
    <xf numFmtId="0" fontId="28" fillId="0" borderId="22" xfId="0" applyFont="1" applyFill="1" applyBorder="1" applyAlignment="1" applyProtection="1">
      <alignment horizontal="center"/>
      <protection locked="0"/>
    </xf>
    <xf numFmtId="164" fontId="16" fillId="0" borderId="0" xfId="0" applyNumberFormat="1" applyFont="1" applyFill="1" applyBorder="1" applyAlignment="1" applyProtection="1">
      <alignment horizontal="center"/>
      <protection locked="0"/>
    </xf>
    <xf numFmtId="0" fontId="20" fillId="0" borderId="22" xfId="0" applyFont="1" applyFill="1" applyBorder="1" applyAlignment="1">
      <alignment horizontal="center"/>
    </xf>
    <xf numFmtId="0" fontId="19" fillId="0" borderId="0" xfId="64" applyFont="1" applyFill="1" applyBorder="1" applyAlignment="1">
      <alignment horizontal="center"/>
      <protection/>
    </xf>
    <xf numFmtId="0" fontId="28" fillId="0" borderId="38" xfId="0" applyFont="1" applyFill="1" applyBorder="1" applyAlignment="1" applyProtection="1">
      <alignment horizontal="center"/>
      <protection locked="0"/>
    </xf>
    <xf numFmtId="164" fontId="0" fillId="18" borderId="10" xfId="0" applyNumberFormat="1" applyFill="1" applyBorder="1" applyAlignment="1">
      <alignment/>
    </xf>
    <xf numFmtId="0" fontId="29" fillId="0" borderId="0" xfId="0" applyFont="1" applyAlignment="1" applyProtection="1">
      <alignment horizontal="center"/>
      <protection locked="0"/>
    </xf>
    <xf numFmtId="0" fontId="16" fillId="0" borderId="15" xfId="0" applyFont="1" applyBorder="1" applyAlignment="1" applyProtection="1">
      <alignment horizontal="center"/>
      <protection locked="0"/>
    </xf>
    <xf numFmtId="0" fontId="16" fillId="0" borderId="16" xfId="0" applyFont="1" applyBorder="1" applyAlignment="1" applyProtection="1">
      <alignment horizontal="center"/>
      <protection locked="0"/>
    </xf>
    <xf numFmtId="165" fontId="16" fillId="0" borderId="16" xfId="0" applyNumberFormat="1" applyFont="1" applyBorder="1" applyAlignment="1" applyProtection="1">
      <alignment horizontal="center"/>
      <protection locked="0"/>
    </xf>
    <xf numFmtId="3" fontId="16" fillId="0" borderId="16" xfId="0" applyNumberFormat="1" applyFont="1" applyBorder="1" applyAlignment="1" applyProtection="1">
      <alignment horizontal="center"/>
      <protection locked="0"/>
    </xf>
    <xf numFmtId="9" fontId="16" fillId="0" borderId="17" xfId="67" applyNumberFormat="1" applyFont="1" applyBorder="1" applyAlignment="1" applyProtection="1">
      <alignment horizontal="center"/>
      <protection locked="0"/>
    </xf>
    <xf numFmtId="0" fontId="5" fillId="0" borderId="40" xfId="0" applyFont="1" applyBorder="1" applyAlignment="1" applyProtection="1">
      <alignment/>
      <protection locked="0"/>
    </xf>
    <xf numFmtId="0" fontId="2" fillId="0" borderId="44" xfId="0" applyFont="1" applyBorder="1" applyAlignment="1" applyProtection="1">
      <alignment/>
      <protection locked="0"/>
    </xf>
    <xf numFmtId="165" fontId="0" fillId="0" borderId="0" xfId="0" applyNumberFormat="1" applyFill="1" applyAlignment="1">
      <alignment horizontal="right"/>
    </xf>
    <xf numFmtId="164" fontId="0" fillId="0" borderId="0" xfId="0" applyNumberFormat="1" applyFill="1" applyBorder="1" applyAlignment="1">
      <alignment horizontal="center"/>
    </xf>
    <xf numFmtId="0" fontId="35" fillId="0" borderId="23" xfId="0" applyFont="1" applyBorder="1" applyAlignment="1" applyProtection="1">
      <alignment horizontal="center"/>
      <protection locked="0"/>
    </xf>
    <xf numFmtId="0" fontId="36" fillId="0" borderId="11" xfId="0" applyFont="1" applyBorder="1" applyAlignment="1" applyProtection="1">
      <alignment horizontal="center"/>
      <protection locked="0"/>
    </xf>
    <xf numFmtId="164" fontId="15" fillId="0" borderId="0" xfId="64" applyNumberFormat="1" applyAlignment="1">
      <alignment horizontal="center"/>
      <protection/>
    </xf>
    <xf numFmtId="0" fontId="37" fillId="0" borderId="32" xfId="0" applyFont="1" applyBorder="1" applyAlignment="1" applyProtection="1">
      <alignment/>
      <protection locked="0"/>
    </xf>
    <xf numFmtId="0" fontId="37" fillId="0" borderId="33" xfId="0" applyFont="1" applyBorder="1" applyAlignment="1" applyProtection="1">
      <alignment/>
      <protection locked="0"/>
    </xf>
    <xf numFmtId="0" fontId="37" fillId="0" borderId="34" xfId="0" applyFont="1" applyBorder="1" applyAlignment="1" applyProtection="1">
      <alignment/>
      <protection locked="0"/>
    </xf>
    <xf numFmtId="164" fontId="15" fillId="0" borderId="0" xfId="0" applyNumberFormat="1" applyFont="1" applyAlignment="1" applyProtection="1">
      <alignment horizontal="center"/>
      <protection locked="0"/>
    </xf>
    <xf numFmtId="164" fontId="15" fillId="18" borderId="0" xfId="0" applyNumberFormat="1" applyFont="1" applyFill="1" applyAlignment="1">
      <alignment horizontal="center"/>
    </xf>
    <xf numFmtId="1" fontId="15" fillId="20" borderId="0" xfId="0" applyNumberFormat="1" applyFont="1" applyFill="1" applyAlignment="1" applyProtection="1">
      <alignment horizontal="center"/>
      <protection locked="0"/>
    </xf>
    <xf numFmtId="0" fontId="29" fillId="18" borderId="0" xfId="0" applyFont="1" applyFill="1" applyBorder="1" applyAlignment="1" applyProtection="1">
      <alignment horizontal="left"/>
      <protection locked="0"/>
    </xf>
    <xf numFmtId="0" fontId="16" fillId="0" borderId="0" xfId="0" applyFont="1" applyBorder="1" applyAlignment="1" applyProtection="1">
      <alignment horizontal="center"/>
      <protection locked="0"/>
    </xf>
    <xf numFmtId="0" fontId="15" fillId="0" borderId="0" xfId="0" applyFont="1" applyAlignment="1" applyProtection="1">
      <alignment horizontal="center"/>
      <protection locked="0"/>
    </xf>
    <xf numFmtId="0" fontId="3" fillId="0" borderId="10" xfId="0" applyFont="1" applyBorder="1" applyAlignment="1" applyProtection="1">
      <alignment horizontal="center"/>
      <protection/>
    </xf>
    <xf numFmtId="0" fontId="3" fillId="0" borderId="28" xfId="0" applyFont="1" applyBorder="1" applyAlignment="1" applyProtection="1">
      <alignment horizontal="center"/>
      <protection/>
    </xf>
    <xf numFmtId="0" fontId="1" fillId="21" borderId="26" xfId="0" applyFont="1" applyFill="1" applyBorder="1" applyAlignment="1" applyProtection="1">
      <alignment horizontal="center"/>
      <protection/>
    </xf>
    <xf numFmtId="0" fontId="1" fillId="21" borderId="27" xfId="0" applyFont="1" applyFill="1" applyBorder="1" applyAlignment="1" applyProtection="1">
      <alignment horizontal="center"/>
      <protection/>
    </xf>
    <xf numFmtId="0" fontId="1" fillId="5" borderId="25" xfId="0" applyFont="1" applyFill="1" applyBorder="1" applyAlignment="1" applyProtection="1">
      <alignment/>
      <protection/>
    </xf>
    <xf numFmtId="0" fontId="1" fillId="5" borderId="26" xfId="0" applyFont="1" applyFill="1" applyBorder="1" applyAlignment="1" applyProtection="1">
      <alignment/>
      <protection/>
    </xf>
    <xf numFmtId="0" fontId="1" fillId="5" borderId="27" xfId="0" applyFont="1" applyFill="1" applyBorder="1" applyAlignment="1" applyProtection="1">
      <alignment/>
      <protection/>
    </xf>
    <xf numFmtId="0" fontId="3" fillId="18" borderId="0" xfId="0" applyFont="1" applyFill="1" applyBorder="1" applyAlignment="1" applyProtection="1">
      <alignment/>
      <protection/>
    </xf>
    <xf numFmtId="0" fontId="1" fillId="18" borderId="0" xfId="0" applyFont="1" applyFill="1" applyBorder="1" applyAlignment="1" applyProtection="1">
      <alignment horizontal="left"/>
      <protection/>
    </xf>
    <xf numFmtId="0" fontId="2" fillId="0" borderId="0" xfId="0" applyFont="1" applyBorder="1" applyAlignment="1" applyProtection="1">
      <alignment/>
      <protection locked="0"/>
    </xf>
    <xf numFmtId="0" fontId="2" fillId="0" borderId="0" xfId="0" applyFont="1" applyAlignment="1" applyProtection="1">
      <alignment/>
      <protection locked="0"/>
    </xf>
    <xf numFmtId="0" fontId="7" fillId="0" borderId="0" xfId="0" applyFont="1" applyAlignment="1" applyProtection="1">
      <alignment horizontal="right"/>
      <protection/>
    </xf>
    <xf numFmtId="0" fontId="7" fillId="0" borderId="0" xfId="0" applyFont="1" applyBorder="1" applyAlignment="1" applyProtection="1">
      <alignment horizontal="right"/>
      <protection/>
    </xf>
    <xf numFmtId="0" fontId="2" fillId="0" borderId="0" xfId="0" applyFont="1" applyBorder="1" applyAlignment="1" applyProtection="1">
      <alignment horizontal="center"/>
      <protection locked="0"/>
    </xf>
    <xf numFmtId="3" fontId="2" fillId="0" borderId="0" xfId="0" applyNumberFormat="1" applyFont="1" applyAlignment="1" applyProtection="1">
      <alignment horizontal="center"/>
      <protection locked="0"/>
    </xf>
    <xf numFmtId="171" fontId="2" fillId="0" borderId="0" xfId="67" applyNumberFormat="1" applyFont="1" applyAlignment="1" applyProtection="1">
      <alignment horizontal="center"/>
      <protection locked="0"/>
    </xf>
    <xf numFmtId="3" fontId="1" fillId="0" borderId="0" xfId="0" applyNumberFormat="1" applyFont="1" applyAlignment="1" applyProtection="1">
      <alignment horizontal="center"/>
      <protection/>
    </xf>
    <xf numFmtId="10" fontId="2" fillId="0" borderId="0" xfId="67" applyNumberFormat="1" applyFont="1" applyAlignment="1" applyProtection="1">
      <alignment horizontal="center"/>
      <protection locked="0"/>
    </xf>
    <xf numFmtId="0" fontId="1" fillId="0" borderId="0" xfId="0" applyFont="1" applyAlignment="1" applyProtection="1">
      <alignment horizontal="center"/>
      <protection/>
    </xf>
    <xf numFmtId="10" fontId="1" fillId="0" borderId="0" xfId="67" applyNumberFormat="1" applyFont="1" applyAlignment="1" applyProtection="1">
      <alignment horizontal="center"/>
      <protection/>
    </xf>
    <xf numFmtId="0" fontId="2" fillId="0" borderId="0" xfId="0" applyFont="1" applyAlignment="1" applyProtection="1">
      <alignment horizontal="center"/>
      <protection locked="0"/>
    </xf>
    <xf numFmtId="164" fontId="2" fillId="0" borderId="0" xfId="0" applyNumberFormat="1" applyFont="1" applyBorder="1" applyAlignment="1" applyProtection="1">
      <alignment horizontal="center"/>
      <protection locked="0"/>
    </xf>
    <xf numFmtId="3" fontId="5" fillId="0" borderId="0" xfId="0" applyNumberFormat="1" applyFont="1" applyAlignment="1" applyProtection="1">
      <alignment/>
      <protection/>
    </xf>
    <xf numFmtId="0" fontId="0" fillId="0" borderId="11" xfId="0" applyBorder="1" applyAlignment="1" applyProtection="1">
      <alignment horizontal="center"/>
      <protection/>
    </xf>
    <xf numFmtId="0" fontId="0" fillId="0" borderId="11" xfId="0" applyFill="1" applyBorder="1" applyAlignment="1" applyProtection="1">
      <alignment horizontal="center"/>
      <protection/>
    </xf>
    <xf numFmtId="165" fontId="2" fillId="0" borderId="0" xfId="0" applyNumberFormat="1" applyFont="1" applyBorder="1" applyAlignment="1" applyProtection="1">
      <alignment horizontal="center"/>
      <protection locked="0"/>
    </xf>
    <xf numFmtId="165" fontId="0" fillId="0" borderId="0" xfId="0" applyNumberFormat="1" applyBorder="1" applyAlignment="1" applyProtection="1">
      <alignment horizontal="center"/>
      <protection/>
    </xf>
    <xf numFmtId="164" fontId="0" fillId="0" borderId="45" xfId="0" applyNumberFormat="1" applyBorder="1" applyAlignment="1" applyProtection="1">
      <alignment/>
      <protection/>
    </xf>
    <xf numFmtId="0" fontId="1" fillId="0" borderId="0" xfId="0" applyFont="1" applyBorder="1" applyAlignment="1" applyProtection="1">
      <alignment horizontal="right"/>
      <protection/>
    </xf>
    <xf numFmtId="0" fontId="15" fillId="0" borderId="0" xfId="64" applyProtection="1">
      <alignment/>
      <protection locked="0"/>
    </xf>
    <xf numFmtId="3" fontId="2" fillId="0" borderId="22" xfId="0" applyNumberFormat="1" applyFont="1" applyBorder="1" applyAlignment="1" applyProtection="1">
      <alignment/>
      <protection locked="0"/>
    </xf>
    <xf numFmtId="3" fontId="1" fillId="0" borderId="22" xfId="0" applyNumberFormat="1" applyFont="1" applyBorder="1" applyAlignment="1" applyProtection="1">
      <alignment/>
      <protection/>
    </xf>
    <xf numFmtId="164" fontId="1" fillId="0" borderId="22" xfId="0" applyNumberFormat="1" applyFont="1" applyBorder="1" applyAlignment="1" applyProtection="1">
      <alignment/>
      <protection/>
    </xf>
    <xf numFmtId="0" fontId="0" fillId="0" borderId="0" xfId="0" applyAlignment="1" applyProtection="1" quotePrefix="1">
      <alignment/>
      <protection/>
    </xf>
    <xf numFmtId="0" fontId="2" fillId="0" borderId="46" xfId="0" applyFont="1" applyBorder="1" applyAlignment="1" applyProtection="1">
      <alignment/>
      <protection locked="0"/>
    </xf>
    <xf numFmtId="164" fontId="1" fillId="0" borderId="47" xfId="0" applyNumberFormat="1" applyFont="1" applyBorder="1" applyAlignment="1" applyProtection="1">
      <alignment/>
      <protection/>
    </xf>
    <xf numFmtId="165" fontId="1" fillId="0" borderId="22" xfId="0" applyNumberFormat="1" applyFont="1" applyBorder="1" applyAlignment="1" applyProtection="1">
      <alignment/>
      <protection/>
    </xf>
    <xf numFmtId="0" fontId="1" fillId="21" borderId="25" xfId="0" applyFont="1" applyFill="1" applyBorder="1" applyAlignment="1" applyProtection="1">
      <alignment horizontal="left"/>
      <protection/>
    </xf>
    <xf numFmtId="0" fontId="3" fillId="0" borderId="10" xfId="0" applyFont="1" applyBorder="1" applyAlignment="1" applyProtection="1">
      <alignment horizontal="left"/>
      <protection/>
    </xf>
    <xf numFmtId="0" fontId="7" fillId="0" borderId="0" xfId="0" applyFont="1" applyAlignment="1" applyProtection="1">
      <alignment horizontal="left"/>
      <protection/>
    </xf>
    <xf numFmtId="0" fontId="7" fillId="0" borderId="0" xfId="0" applyFont="1" applyBorder="1" applyAlignment="1" applyProtection="1">
      <alignment horizontal="left"/>
      <protection/>
    </xf>
    <xf numFmtId="3" fontId="1" fillId="0" borderId="0" xfId="0" applyNumberFormat="1" applyFont="1" applyFill="1" applyAlignment="1" applyProtection="1">
      <alignment horizontal="center"/>
      <protection/>
    </xf>
    <xf numFmtId="3" fontId="1" fillId="0" borderId="0" xfId="67" applyNumberFormat="1" applyFont="1" applyFill="1" applyAlignment="1" applyProtection="1">
      <alignment horizontal="center"/>
      <protection/>
    </xf>
    <xf numFmtId="0" fontId="2" fillId="0" borderId="48" xfId="0" applyFont="1" applyBorder="1" applyAlignment="1" applyProtection="1">
      <alignment/>
      <protection locked="0"/>
    </xf>
    <xf numFmtId="0" fontId="2" fillId="0" borderId="49" xfId="0" applyFont="1" applyBorder="1" applyAlignment="1" applyProtection="1">
      <alignment/>
      <protection locked="0"/>
    </xf>
    <xf numFmtId="0" fontId="2" fillId="0" borderId="50" xfId="0" applyFont="1" applyBorder="1" applyAlignment="1" applyProtection="1">
      <alignment/>
      <protection locked="0"/>
    </xf>
    <xf numFmtId="0" fontId="2" fillId="0" borderId="51" xfId="0" applyFont="1" applyBorder="1" applyAlignment="1" applyProtection="1">
      <alignment/>
      <protection locked="0"/>
    </xf>
    <xf numFmtId="165" fontId="0" fillId="0" borderId="0" xfId="0" applyNumberFormat="1" applyFill="1" applyBorder="1" applyAlignment="1" applyProtection="1">
      <alignment/>
      <protection/>
    </xf>
    <xf numFmtId="1" fontId="0" fillId="0" borderId="0" xfId="0" applyNumberFormat="1" applyBorder="1" applyAlignment="1" applyProtection="1">
      <alignment horizontal="center"/>
      <protection/>
    </xf>
    <xf numFmtId="3" fontId="2" fillId="0" borderId="0" xfId="0" applyNumberFormat="1" applyFont="1" applyFill="1" applyAlignment="1" applyProtection="1">
      <alignment horizontal="center"/>
      <protection locked="0"/>
    </xf>
    <xf numFmtId="3" fontId="2" fillId="16" borderId="0" xfId="0" applyNumberFormat="1" applyFont="1" applyFill="1" applyAlignment="1" applyProtection="1">
      <alignment horizontal="center"/>
      <protection locked="0"/>
    </xf>
    <xf numFmtId="0" fontId="0" fillId="0" borderId="10" xfId="0" applyFont="1" applyBorder="1" applyAlignment="1" applyProtection="1">
      <alignment horizontal="center"/>
      <protection/>
    </xf>
    <xf numFmtId="0" fontId="0" fillId="0" borderId="0" xfId="0" applyFont="1" applyAlignment="1" applyProtection="1">
      <alignment horizontal="center"/>
      <protection/>
    </xf>
    <xf numFmtId="0" fontId="0" fillId="0" borderId="11" xfId="0" applyFont="1" applyBorder="1" applyAlignment="1" applyProtection="1">
      <alignment horizontal="center" wrapText="1"/>
      <protection/>
    </xf>
    <xf numFmtId="6" fontId="0" fillId="0" borderId="0" xfId="0" applyNumberFormat="1" applyFont="1" applyFill="1" applyAlignment="1" applyProtection="1">
      <alignment horizontal="center"/>
      <protection/>
    </xf>
    <xf numFmtId="0" fontId="20" fillId="0" borderId="23" xfId="0" applyFont="1" applyBorder="1" applyAlignment="1">
      <alignment horizontal="center"/>
    </xf>
    <xf numFmtId="0" fontId="18" fillId="0" borderId="38" xfId="0" applyFont="1" applyBorder="1" applyAlignment="1">
      <alignment horizontal="center"/>
    </xf>
    <xf numFmtId="0" fontId="18" fillId="0" borderId="24" xfId="0" applyFont="1" applyBorder="1" applyAlignment="1">
      <alignment horizontal="center"/>
    </xf>
    <xf numFmtId="10" fontId="16" fillId="0" borderId="25" xfId="67" applyNumberFormat="1" applyFont="1" applyBorder="1" applyAlignment="1" applyProtection="1">
      <alignment horizontal="center"/>
      <protection locked="0"/>
    </xf>
    <xf numFmtId="0" fontId="18" fillId="0" borderId="23" xfId="0" applyFont="1" applyBorder="1" applyAlignment="1">
      <alignment horizontal="center"/>
    </xf>
    <xf numFmtId="0" fontId="20" fillId="0" borderId="38" xfId="0" applyFont="1" applyBorder="1" applyAlignment="1">
      <alignment horizontal="center"/>
    </xf>
    <xf numFmtId="0" fontId="20" fillId="0" borderId="38" xfId="0" applyFont="1" applyBorder="1" applyAlignment="1">
      <alignment horizontal="center"/>
    </xf>
    <xf numFmtId="0" fontId="18" fillId="0" borderId="24" xfId="0" applyFont="1" applyBorder="1" applyAlignment="1" quotePrefix="1">
      <alignment horizontal="center"/>
    </xf>
    <xf numFmtId="0" fontId="0" fillId="0" borderId="23" xfId="0" applyBorder="1" applyAlignment="1">
      <alignment horizontal="center"/>
    </xf>
    <xf numFmtId="39" fontId="41" fillId="0" borderId="0" xfId="0" applyNumberFormat="1" applyFont="1" applyAlignment="1" applyProtection="1">
      <alignment horizontal="left"/>
      <protection/>
    </xf>
    <xf numFmtId="10" fontId="42" fillId="0" borderId="52" xfId="0" applyNumberFormat="1" applyFont="1" applyBorder="1" applyAlignment="1" applyProtection="1">
      <alignment/>
      <protection locked="0"/>
    </xf>
    <xf numFmtId="166" fontId="42" fillId="0" borderId="52" xfId="0" applyNumberFormat="1" applyFont="1" applyBorder="1" applyAlignment="1" applyProtection="1">
      <alignment/>
      <protection locked="0"/>
    </xf>
    <xf numFmtId="39" fontId="42" fillId="22" borderId="52" xfId="0" applyNumberFormat="1" applyFont="1" applyFill="1" applyBorder="1" applyAlignment="1" applyProtection="1">
      <alignment/>
      <protection/>
    </xf>
    <xf numFmtId="39" fontId="0" fillId="0" borderId="53" xfId="0" applyNumberFormat="1" applyBorder="1" applyAlignment="1" applyProtection="1">
      <alignment horizontal="left"/>
      <protection/>
    </xf>
    <xf numFmtId="166" fontId="42" fillId="0" borderId="54" xfId="0" applyNumberFormat="1" applyFont="1" applyBorder="1" applyAlignment="1" applyProtection="1">
      <alignment/>
      <protection locked="0"/>
    </xf>
    <xf numFmtId="39" fontId="0" fillId="0" borderId="53" xfId="0" applyNumberFormat="1" applyBorder="1" applyAlignment="1" applyProtection="1">
      <alignment/>
      <protection/>
    </xf>
    <xf numFmtId="37" fontId="42" fillId="0" borderId="52" xfId="0" applyNumberFormat="1" applyFont="1" applyBorder="1" applyAlignment="1" applyProtection="1">
      <alignment/>
      <protection locked="0"/>
    </xf>
    <xf numFmtId="39" fontId="43" fillId="23" borderId="0" xfId="0" applyNumberFormat="1" applyFont="1" applyFill="1" applyAlignment="1" applyProtection="1">
      <alignment horizontal="left"/>
      <protection/>
    </xf>
    <xf numFmtId="39" fontId="41" fillId="23" borderId="0" xfId="0" applyNumberFormat="1" applyFont="1" applyFill="1" applyAlignment="1" applyProtection="1">
      <alignment/>
      <protection/>
    </xf>
    <xf numFmtId="39" fontId="41" fillId="18" borderId="25" xfId="0" applyNumberFormat="1" applyFont="1" applyFill="1" applyBorder="1" applyAlignment="1" applyProtection="1">
      <alignment horizontal="left"/>
      <protection/>
    </xf>
    <xf numFmtId="0" fontId="0" fillId="18" borderId="27" xfId="0" applyFill="1" applyBorder="1" applyAlignment="1" applyProtection="1">
      <alignment/>
      <protection/>
    </xf>
    <xf numFmtId="7" fontId="0" fillId="0" borderId="40" xfId="0" applyNumberFormat="1" applyBorder="1" applyAlignment="1" applyProtection="1">
      <alignment/>
      <protection/>
    </xf>
    <xf numFmtId="0" fontId="0" fillId="0" borderId="41" xfId="0" applyBorder="1" applyAlignment="1" applyProtection="1">
      <alignment horizontal="left"/>
      <protection/>
    </xf>
    <xf numFmtId="170" fontId="0" fillId="0" borderId="0" xfId="0" applyNumberFormat="1" applyAlignment="1" applyProtection="1">
      <alignment/>
      <protection/>
    </xf>
    <xf numFmtId="5" fontId="0" fillId="0" borderId="22" xfId="0" applyNumberFormat="1" applyBorder="1" applyAlignment="1" applyProtection="1">
      <alignment/>
      <protection/>
    </xf>
    <xf numFmtId="0" fontId="0" fillId="0" borderId="43" xfId="0" applyBorder="1" applyAlignment="1" applyProtection="1">
      <alignment horizontal="left"/>
      <protection/>
    </xf>
    <xf numFmtId="5" fontId="0" fillId="0" borderId="0" xfId="0" applyNumberFormat="1" applyAlignment="1" applyProtection="1">
      <alignment/>
      <protection/>
    </xf>
    <xf numFmtId="0" fontId="0" fillId="0" borderId="28" xfId="0" applyBorder="1" applyAlignment="1" applyProtection="1">
      <alignment/>
      <protection/>
    </xf>
    <xf numFmtId="0" fontId="0" fillId="0" borderId="39" xfId="0" applyBorder="1" applyAlignment="1" applyProtection="1">
      <alignment horizontal="left"/>
      <protection/>
    </xf>
    <xf numFmtId="5" fontId="0" fillId="0" borderId="10" xfId="0" applyNumberFormat="1" applyBorder="1" applyAlignment="1" applyProtection="1">
      <alignment/>
      <protection/>
    </xf>
    <xf numFmtId="5" fontId="0" fillId="0" borderId="42" xfId="0" applyNumberFormat="1" applyBorder="1" applyAlignment="1" applyProtection="1">
      <alignment/>
      <protection/>
    </xf>
    <xf numFmtId="0" fontId="0" fillId="0" borderId="42" xfId="0" applyBorder="1" applyAlignment="1" applyProtection="1">
      <alignment horizontal="right"/>
      <protection/>
    </xf>
    <xf numFmtId="7" fontId="0" fillId="0" borderId="42" xfId="0" applyNumberFormat="1" applyBorder="1" applyAlignment="1" applyProtection="1">
      <alignment/>
      <protection/>
    </xf>
    <xf numFmtId="166" fontId="0" fillId="0" borderId="42" xfId="0" applyNumberFormat="1" applyBorder="1" applyAlignment="1" applyProtection="1">
      <alignment/>
      <protection/>
    </xf>
    <xf numFmtId="0" fontId="0" fillId="0" borderId="40" xfId="0" applyBorder="1" applyAlignment="1" applyProtection="1">
      <alignment horizontal="left"/>
      <protection/>
    </xf>
    <xf numFmtId="10" fontId="0" fillId="0" borderId="0" xfId="0" applyNumberFormat="1" applyBorder="1" applyAlignment="1" applyProtection="1">
      <alignment/>
      <protection/>
    </xf>
    <xf numFmtId="5" fontId="0" fillId="0" borderId="0" xfId="0" applyNumberFormat="1" applyBorder="1" applyAlignment="1" applyProtection="1">
      <alignment/>
      <protection/>
    </xf>
    <xf numFmtId="166" fontId="0" fillId="0" borderId="0" xfId="0" applyNumberFormat="1" applyBorder="1" applyAlignment="1" applyProtection="1">
      <alignment/>
      <protection/>
    </xf>
    <xf numFmtId="0" fontId="0" fillId="0" borderId="22" xfId="0" applyBorder="1" applyAlignment="1" applyProtection="1">
      <alignment horizontal="left"/>
      <protection/>
    </xf>
    <xf numFmtId="0" fontId="0" fillId="0" borderId="39" xfId="0" applyBorder="1" applyAlignment="1" applyProtection="1">
      <alignment/>
      <protection/>
    </xf>
    <xf numFmtId="166" fontId="0" fillId="0" borderId="10" xfId="0" applyNumberFormat="1" applyBorder="1" applyAlignment="1" applyProtection="1">
      <alignment/>
      <protection/>
    </xf>
    <xf numFmtId="0" fontId="0" fillId="0" borderId="28" xfId="0" applyBorder="1" applyAlignment="1" applyProtection="1">
      <alignment horizontal="left"/>
      <protection/>
    </xf>
    <xf numFmtId="166" fontId="0" fillId="0" borderId="0" xfId="0" applyNumberFormat="1" applyBorder="1" applyAlignment="1" applyProtection="1">
      <alignment horizontal="center"/>
      <protection/>
    </xf>
    <xf numFmtId="0" fontId="0" fillId="0" borderId="55" xfId="0" applyBorder="1" applyAlignment="1" applyProtection="1">
      <alignment horizontal="center"/>
      <protection/>
    </xf>
    <xf numFmtId="0" fontId="0" fillId="0" borderId="55" xfId="0" applyFill="1" applyBorder="1" applyAlignment="1" applyProtection="1">
      <alignment horizontal="center"/>
      <protection/>
    </xf>
    <xf numFmtId="166" fontId="0" fillId="0" borderId="0" xfId="0" applyNumberFormat="1" applyAlignment="1" applyProtection="1">
      <alignment horizontal="center"/>
      <protection/>
    </xf>
    <xf numFmtId="165" fontId="0" fillId="0" borderId="0" xfId="0" applyNumberFormat="1" applyAlignment="1" applyProtection="1">
      <alignment horizontal="center"/>
      <protection/>
    </xf>
    <xf numFmtId="0" fontId="4" fillId="0" borderId="48" xfId="0" applyFont="1" applyBorder="1" applyAlignment="1" applyProtection="1">
      <alignment/>
      <protection locked="0"/>
    </xf>
    <xf numFmtId="0" fontId="4" fillId="0" borderId="12" xfId="0" applyFont="1" applyBorder="1" applyAlignment="1" applyProtection="1">
      <alignment/>
      <protection locked="0"/>
    </xf>
    <xf numFmtId="0" fontId="4" fillId="0" borderId="49" xfId="0" applyFont="1" applyBorder="1" applyAlignment="1" applyProtection="1">
      <alignment/>
      <protection locked="0"/>
    </xf>
    <xf numFmtId="164" fontId="2" fillId="0" borderId="12" xfId="0" applyNumberFormat="1" applyFont="1" applyBorder="1" applyAlignment="1" applyProtection="1">
      <alignment/>
      <protection locked="0"/>
    </xf>
    <xf numFmtId="2" fontId="46" fillId="0" borderId="0" xfId="0" applyNumberFormat="1" applyFont="1" applyAlignment="1" applyProtection="1">
      <alignment horizontal="center"/>
      <protection locked="0"/>
    </xf>
    <xf numFmtId="1" fontId="29" fillId="0" borderId="0" xfId="0" applyNumberFormat="1" applyFont="1" applyAlignment="1" applyProtection="1">
      <alignment horizontal="center"/>
      <protection locked="0"/>
    </xf>
    <xf numFmtId="1" fontId="15" fillId="0" borderId="0" xfId="0" applyNumberFormat="1" applyFont="1" applyAlignment="1" applyProtection="1">
      <alignment horizontal="center"/>
      <protection locked="0"/>
    </xf>
    <xf numFmtId="1" fontId="47" fillId="0" borderId="0" xfId="0" applyNumberFormat="1" applyFont="1" applyAlignment="1">
      <alignment horizontal="center"/>
    </xf>
    <xf numFmtId="3" fontId="3" fillId="18" borderId="0" xfId="0" applyNumberFormat="1" applyFont="1" applyFill="1" applyAlignment="1">
      <alignment horizontal="center"/>
    </xf>
    <xf numFmtId="1" fontId="47" fillId="0" borderId="0" xfId="0" applyNumberFormat="1" applyFont="1" applyBorder="1" applyAlignment="1">
      <alignment horizontal="center"/>
    </xf>
    <xf numFmtId="3" fontId="3" fillId="18" borderId="10" xfId="0" applyNumberFormat="1" applyFont="1" applyFill="1" applyBorder="1" applyAlignment="1">
      <alignment horizontal="center"/>
    </xf>
    <xf numFmtId="0" fontId="47" fillId="18" borderId="10" xfId="0" applyFont="1" applyFill="1" applyBorder="1" applyAlignment="1">
      <alignment horizontal="center"/>
    </xf>
    <xf numFmtId="0" fontId="0" fillId="0" borderId="0" xfId="0" applyAlignment="1" quotePrefix="1">
      <alignment/>
    </xf>
    <xf numFmtId="0" fontId="50" fillId="0" borderId="0" xfId="0" applyFont="1" applyAlignment="1">
      <alignment horizontal="left"/>
    </xf>
    <xf numFmtId="0" fontId="0" fillId="0" borderId="0" xfId="0" applyFill="1" applyBorder="1" applyAlignment="1">
      <alignment horizontal="right"/>
    </xf>
    <xf numFmtId="3" fontId="16"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164" fontId="15" fillId="0" borderId="0" xfId="0" applyNumberFormat="1" applyFont="1" applyFill="1" applyBorder="1" applyAlignment="1">
      <alignment horizontal="center"/>
    </xf>
    <xf numFmtId="164" fontId="9" fillId="0" borderId="23" xfId="0" applyNumberFormat="1" applyFont="1" applyFill="1" applyBorder="1" applyAlignment="1">
      <alignment horizontal="center"/>
    </xf>
    <xf numFmtId="164" fontId="9" fillId="0" borderId="38" xfId="0" applyNumberFormat="1" applyFont="1" applyFill="1" applyBorder="1" applyAlignment="1">
      <alignment horizontal="center"/>
    </xf>
    <xf numFmtId="0" fontId="33" fillId="0" borderId="56" xfId="64" applyFont="1" applyFill="1" applyBorder="1" applyAlignment="1">
      <alignment horizontal="center"/>
      <protection/>
    </xf>
    <xf numFmtId="0" fontId="2" fillId="0" borderId="57" xfId="0" applyFont="1" applyBorder="1" applyAlignment="1" applyProtection="1">
      <alignment/>
      <protection locked="0"/>
    </xf>
    <xf numFmtId="0" fontId="2" fillId="0" borderId="58" xfId="0" applyFont="1" applyBorder="1" applyAlignment="1" applyProtection="1">
      <alignment/>
      <protection locked="0"/>
    </xf>
    <xf numFmtId="0" fontId="5" fillId="0" borderId="14" xfId="0" applyFont="1" applyBorder="1" applyAlignment="1" applyProtection="1">
      <alignment/>
      <protection locked="0"/>
    </xf>
    <xf numFmtId="0" fontId="2" fillId="0" borderId="59" xfId="0" applyFont="1" applyBorder="1" applyAlignment="1" applyProtection="1">
      <alignment/>
      <protection locked="0"/>
    </xf>
    <xf numFmtId="0" fontId="31" fillId="18" borderId="0" xfId="0" applyFont="1" applyFill="1" applyAlignment="1" applyProtection="1">
      <alignment horizontal="center"/>
      <protection/>
    </xf>
    <xf numFmtId="0" fontId="2" fillId="0" borderId="60" xfId="0" applyFont="1" applyBorder="1" applyAlignment="1" applyProtection="1">
      <alignment/>
      <protection locked="0"/>
    </xf>
    <xf numFmtId="0" fontId="2" fillId="0" borderId="61" xfId="0" applyFont="1" applyBorder="1" applyAlignment="1" applyProtection="1">
      <alignment/>
      <protection locked="0"/>
    </xf>
    <xf numFmtId="0" fontId="0" fillId="0" borderId="0" xfId="0" applyAlignment="1">
      <alignment/>
    </xf>
    <xf numFmtId="0" fontId="0" fillId="0" borderId="0" xfId="0" applyAlignment="1" applyProtection="1">
      <alignment/>
      <protection/>
    </xf>
    <xf numFmtId="0" fontId="2" fillId="0" borderId="0" xfId="0" applyFont="1" applyBorder="1" applyAlignment="1" applyProtection="1">
      <alignment/>
      <protection locked="0"/>
    </xf>
    <xf numFmtId="0" fontId="15" fillId="0" borderId="0" xfId="64" applyAlignment="1" applyProtection="1">
      <alignment/>
      <protection locked="0"/>
    </xf>
    <xf numFmtId="0" fontId="1" fillId="0" borderId="0" xfId="0" applyFont="1" applyBorder="1" applyAlignment="1" applyProtection="1">
      <alignment/>
      <protection/>
    </xf>
    <xf numFmtId="0" fontId="2" fillId="0" borderId="0" xfId="0" applyFont="1" applyBorder="1" applyAlignment="1" applyProtection="1">
      <alignment/>
      <protection/>
    </xf>
    <xf numFmtId="0" fontId="2" fillId="0" borderId="62" xfId="0" applyFont="1" applyBorder="1" applyAlignment="1" applyProtection="1">
      <alignment/>
      <protection locked="0"/>
    </xf>
    <xf numFmtId="0" fontId="2" fillId="0" borderId="63" xfId="0" applyFont="1" applyBorder="1" applyAlignment="1" applyProtection="1">
      <alignment/>
      <protection locked="0"/>
    </xf>
    <xf numFmtId="0" fontId="2" fillId="0" borderId="64" xfId="0" applyFont="1" applyBorder="1" applyAlignment="1" applyProtection="1">
      <alignment/>
      <protection locked="0"/>
    </xf>
    <xf numFmtId="0" fontId="2" fillId="0" borderId="65" xfId="0" applyFont="1" applyBorder="1" applyAlignment="1" applyProtection="1">
      <alignment/>
      <protection locked="0"/>
    </xf>
    <xf numFmtId="0" fontId="2" fillId="0" borderId="66" xfId="0" applyFont="1" applyBorder="1" applyAlignment="1" applyProtection="1">
      <alignment/>
      <protection locked="0"/>
    </xf>
    <xf numFmtId="0" fontId="2" fillId="0" borderId="67" xfId="0" applyFont="1" applyBorder="1" applyAlignment="1" applyProtection="1">
      <alignment/>
      <protection locked="0"/>
    </xf>
    <xf numFmtId="0" fontId="2" fillId="0" borderId="68" xfId="0" applyFont="1" applyBorder="1" applyAlignment="1" applyProtection="1">
      <alignment/>
      <protection locked="0"/>
    </xf>
    <xf numFmtId="0" fontId="0" fillId="0" borderId="0" xfId="0" applyFill="1" applyBorder="1" applyAlignment="1" applyProtection="1">
      <alignment/>
      <protection/>
    </xf>
    <xf numFmtId="0" fontId="1" fillId="16" borderId="0" xfId="0" applyFont="1" applyFill="1" applyBorder="1" applyAlignment="1" applyProtection="1">
      <alignment horizontal="left"/>
      <protection/>
    </xf>
    <xf numFmtId="0" fontId="2" fillId="0" borderId="62" xfId="0" applyFont="1" applyBorder="1" applyAlignment="1" applyProtection="1">
      <alignment/>
      <protection locked="0"/>
    </xf>
    <xf numFmtId="0" fontId="2" fillId="0" borderId="37" xfId="0" applyFont="1" applyBorder="1" applyAlignment="1" applyProtection="1">
      <alignment/>
      <protection locked="0"/>
    </xf>
    <xf numFmtId="0" fontId="2" fillId="0" borderId="69" xfId="0" applyFont="1" applyBorder="1" applyAlignment="1" applyProtection="1">
      <alignment/>
      <protection locked="0"/>
    </xf>
    <xf numFmtId="3" fontId="0" fillId="0" borderId="0" xfId="0" applyNumberFormat="1" applyAlignment="1" applyProtection="1">
      <alignment/>
      <protection/>
    </xf>
    <xf numFmtId="0" fontId="0" fillId="0" borderId="10" xfId="0" applyFill="1" applyBorder="1" applyAlignment="1" applyProtection="1">
      <alignment/>
      <protection/>
    </xf>
    <xf numFmtId="3" fontId="0" fillId="0" borderId="10" xfId="0" applyNumberFormat="1" applyBorder="1" applyAlignment="1" applyProtection="1">
      <alignment/>
      <protection/>
    </xf>
    <xf numFmtId="4" fontId="0" fillId="16" borderId="0" xfId="0" applyNumberFormat="1" applyFill="1" applyAlignment="1" applyProtection="1">
      <alignment horizontal="center"/>
      <protection/>
    </xf>
    <xf numFmtId="4" fontId="0" fillId="16" borderId="45" xfId="0" applyNumberFormat="1" applyFill="1" applyBorder="1" applyAlignment="1" applyProtection="1">
      <alignment horizontal="center"/>
      <protection/>
    </xf>
    <xf numFmtId="3" fontId="7" fillId="16" borderId="0" xfId="0" applyNumberFormat="1" applyFont="1" applyFill="1" applyAlignment="1" applyProtection="1">
      <alignment horizontal="center"/>
      <protection/>
    </xf>
    <xf numFmtId="3" fontId="7" fillId="16" borderId="10" xfId="0" applyNumberFormat="1" applyFont="1" applyFill="1" applyBorder="1" applyAlignment="1" applyProtection="1">
      <alignment horizontal="center"/>
      <protection/>
    </xf>
    <xf numFmtId="0" fontId="4" fillId="0" borderId="0" xfId="0" applyFont="1" applyBorder="1" applyAlignment="1" applyProtection="1">
      <alignment/>
      <protection locked="0"/>
    </xf>
    <xf numFmtId="0" fontId="22" fillId="0" borderId="0" xfId="64" applyFont="1" applyAlignment="1" applyProtection="1">
      <alignment/>
      <protection locked="0"/>
    </xf>
    <xf numFmtId="5" fontId="42" fillId="0" borderId="70" xfId="0" applyNumberFormat="1" applyFont="1" applyBorder="1" applyAlignment="1" applyProtection="1">
      <alignment/>
      <protection locked="0"/>
    </xf>
    <xf numFmtId="0" fontId="3" fillId="0" borderId="0" xfId="0" applyFont="1" applyAlignment="1" applyProtection="1">
      <alignment/>
      <protection/>
    </xf>
    <xf numFmtId="0" fontId="5" fillId="0" borderId="37" xfId="0" applyFont="1" applyBorder="1" applyAlignment="1" applyProtection="1">
      <alignment/>
      <protection locked="0"/>
    </xf>
    <xf numFmtId="0" fontId="2" fillId="0" borderId="38"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0" fillId="0" borderId="41" xfId="0" applyBorder="1" applyAlignment="1" applyProtection="1">
      <alignment/>
      <protection/>
    </xf>
    <xf numFmtId="0" fontId="0" fillId="0" borderId="43" xfId="0" applyBorder="1" applyAlignment="1" applyProtection="1">
      <alignment/>
      <protection/>
    </xf>
    <xf numFmtId="0" fontId="0" fillId="0" borderId="43" xfId="0" applyFill="1" applyBorder="1" applyAlignment="1" applyProtection="1">
      <alignment/>
      <protection/>
    </xf>
    <xf numFmtId="0" fontId="0" fillId="0" borderId="39" xfId="0" applyFont="1" applyBorder="1" applyAlignment="1" applyProtection="1">
      <alignment/>
      <protection/>
    </xf>
    <xf numFmtId="0" fontId="31" fillId="0" borderId="0" xfId="0" applyFont="1" applyFill="1" applyAlignment="1" applyProtection="1">
      <alignment horizontal="center"/>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1" fillId="0" borderId="0" xfId="0" applyFont="1" applyBorder="1" applyAlignment="1" applyProtection="1">
      <alignment horizontal="center"/>
      <protection/>
    </xf>
    <xf numFmtId="0" fontId="0" fillId="0" borderId="0" xfId="0" applyFont="1" applyBorder="1" applyAlignment="1" applyProtection="1">
      <alignment/>
      <protection/>
    </xf>
    <xf numFmtId="3" fontId="1" fillId="0" borderId="0" xfId="0" applyNumberFormat="1" applyFont="1" applyBorder="1" applyAlignment="1" applyProtection="1">
      <alignment horizontal="center"/>
      <protection/>
    </xf>
    <xf numFmtId="0" fontId="0" fillId="0" borderId="0" xfId="0" applyFont="1" applyFill="1" applyBorder="1" applyAlignment="1" applyProtection="1">
      <alignment horizontal="right"/>
      <protection/>
    </xf>
    <xf numFmtId="0" fontId="0" fillId="0" borderId="0" xfId="0" applyFont="1" applyBorder="1" applyAlignment="1" applyProtection="1">
      <alignment horizontal="center"/>
      <protection/>
    </xf>
    <xf numFmtId="0" fontId="2" fillId="0" borderId="0" xfId="0" applyFont="1" applyBorder="1" applyAlignment="1" applyProtection="1">
      <alignment horizontal="center"/>
      <protection locked="0"/>
    </xf>
    <xf numFmtId="0" fontId="8" fillId="18" borderId="0" xfId="0" applyFont="1" applyFill="1" applyAlignment="1" applyProtection="1">
      <alignment/>
      <protection/>
    </xf>
    <xf numFmtId="0" fontId="1" fillId="2" borderId="0" xfId="0" applyFont="1" applyFill="1" applyAlignment="1" applyProtection="1">
      <alignment/>
      <protection/>
    </xf>
    <xf numFmtId="3" fontId="2" fillId="0" borderId="22" xfId="0" applyNumberFormat="1" applyFont="1" applyFill="1" applyBorder="1" applyAlignment="1" applyProtection="1">
      <alignment/>
      <protection locked="0"/>
    </xf>
    <xf numFmtId="3" fontId="2" fillId="0" borderId="71" xfId="0" applyNumberFormat="1" applyFont="1" applyBorder="1" applyAlignment="1" applyProtection="1">
      <alignment/>
      <protection locked="0"/>
    </xf>
    <xf numFmtId="0" fontId="5" fillId="0" borderId="57" xfId="0" applyFont="1" applyBorder="1" applyAlignment="1" applyProtection="1">
      <alignment/>
      <protection locked="0"/>
    </xf>
    <xf numFmtId="0" fontId="15" fillId="0" borderId="0" xfId="64" applyProtection="1">
      <alignment/>
      <protection/>
    </xf>
    <xf numFmtId="3" fontId="15" fillId="0" borderId="0" xfId="64" applyNumberFormat="1" applyBorder="1" applyProtection="1">
      <alignment/>
      <protection/>
    </xf>
    <xf numFmtId="3" fontId="0" fillId="0" borderId="0" xfId="0" applyNumberFormat="1" applyBorder="1" applyAlignment="1" applyProtection="1">
      <alignment/>
      <protection/>
    </xf>
    <xf numFmtId="10" fontId="0" fillId="0" borderId="0" xfId="0" applyNumberFormat="1" applyAlignment="1" applyProtection="1">
      <alignment/>
      <protection/>
    </xf>
    <xf numFmtId="0" fontId="0" fillId="0" borderId="0" xfId="0" applyFill="1" applyAlignment="1" applyProtection="1">
      <alignment/>
      <protection/>
    </xf>
    <xf numFmtId="0" fontId="15" fillId="0" borderId="0" xfId="64" applyAlignment="1" applyProtection="1">
      <alignment/>
      <protection/>
    </xf>
    <xf numFmtId="0" fontId="9" fillId="0" borderId="0" xfId="0" applyFont="1" applyFill="1" applyAlignment="1" applyProtection="1">
      <alignment horizontal="left" vertical="top"/>
      <protection/>
    </xf>
    <xf numFmtId="0" fontId="9" fillId="0" borderId="0" xfId="0" applyFont="1" applyFill="1" applyBorder="1" applyAlignment="1" applyProtection="1">
      <alignment horizontal="left" vertical="top"/>
      <protection/>
    </xf>
    <xf numFmtId="0" fontId="0" fillId="0" borderId="0" xfId="0" applyBorder="1" applyAlignment="1" applyProtection="1">
      <alignment/>
      <protection/>
    </xf>
    <xf numFmtId="0" fontId="15" fillId="18" borderId="22" xfId="64" applyFill="1" applyBorder="1" applyProtection="1">
      <alignment/>
      <protection/>
    </xf>
    <xf numFmtId="49" fontId="53" fillId="18" borderId="42" xfId="0" applyNumberFormat="1" applyFont="1" applyFill="1" applyBorder="1" applyAlignment="1" applyProtection="1">
      <alignment/>
      <protection/>
    </xf>
    <xf numFmtId="0" fontId="2" fillId="18" borderId="42" xfId="0" applyFont="1" applyFill="1" applyBorder="1" applyAlignment="1" applyProtection="1">
      <alignment/>
      <protection/>
    </xf>
    <xf numFmtId="49" fontId="39" fillId="0" borderId="0" xfId="0" applyNumberFormat="1" applyFont="1" applyAlignment="1" applyProtection="1">
      <alignment/>
      <protection/>
    </xf>
    <xf numFmtId="3" fontId="5" fillId="0" borderId="22" xfId="0" applyNumberFormat="1" applyFont="1" applyBorder="1" applyAlignment="1" applyProtection="1">
      <alignment/>
      <protection/>
    </xf>
    <xf numFmtId="0" fontId="2" fillId="0" borderId="48" xfId="0" applyFont="1" applyBorder="1" applyAlignment="1" applyProtection="1">
      <alignment/>
      <protection/>
    </xf>
    <xf numFmtId="0" fontId="2" fillId="0" borderId="12" xfId="0" applyFont="1" applyBorder="1" applyAlignment="1" applyProtection="1">
      <alignment/>
      <protection/>
    </xf>
    <xf numFmtId="0" fontId="2" fillId="0" borderId="49" xfId="0" applyFont="1" applyBorder="1" applyAlignment="1" applyProtection="1">
      <alignment/>
      <protection/>
    </xf>
    <xf numFmtId="49" fontId="45" fillId="0" borderId="0" xfId="0" applyNumberFormat="1" applyFont="1" applyAlignment="1" applyProtection="1">
      <alignment/>
      <protection/>
    </xf>
    <xf numFmtId="0" fontId="0" fillId="2" borderId="0" xfId="0" applyFill="1" applyAlignment="1" applyProtection="1">
      <alignment/>
      <protection/>
    </xf>
    <xf numFmtId="0" fontId="2" fillId="2" borderId="48" xfId="0" applyFont="1" applyFill="1" applyBorder="1" applyAlignment="1" applyProtection="1">
      <alignment/>
      <protection/>
    </xf>
    <xf numFmtId="0" fontId="2" fillId="2" borderId="12" xfId="0" applyFont="1" applyFill="1" applyBorder="1" applyAlignment="1" applyProtection="1">
      <alignment/>
      <protection/>
    </xf>
    <xf numFmtId="0" fontId="2" fillId="2" borderId="49" xfId="0" applyFont="1" applyFill="1" applyBorder="1" applyAlignment="1" applyProtection="1">
      <alignment/>
      <protection/>
    </xf>
    <xf numFmtId="0" fontId="2" fillId="2" borderId="72" xfId="0" applyFont="1" applyFill="1" applyBorder="1" applyAlignment="1" applyProtection="1">
      <alignment/>
      <protection/>
    </xf>
    <xf numFmtId="0" fontId="2" fillId="2" borderId="22" xfId="0" applyFont="1" applyFill="1" applyBorder="1" applyAlignment="1" applyProtection="1">
      <alignment/>
      <protection/>
    </xf>
    <xf numFmtId="3" fontId="2" fillId="16" borderId="0" xfId="0" applyNumberFormat="1" applyFont="1" applyFill="1" applyAlignment="1" applyProtection="1">
      <alignment horizontal="center"/>
      <protection/>
    </xf>
    <xf numFmtId="3" fontId="1" fillId="16" borderId="0" xfId="0" applyNumberFormat="1" applyFont="1" applyFill="1" applyAlignment="1" applyProtection="1">
      <alignment horizontal="center"/>
      <protection/>
    </xf>
    <xf numFmtId="9" fontId="2" fillId="0" borderId="42" xfId="0" applyNumberFormat="1" applyFont="1" applyBorder="1" applyAlignment="1" applyProtection="1">
      <alignment/>
      <protection/>
    </xf>
    <xf numFmtId="9" fontId="2" fillId="0" borderId="0" xfId="0" applyNumberFormat="1" applyFont="1" applyBorder="1" applyAlignment="1" applyProtection="1">
      <alignment/>
      <protection/>
    </xf>
    <xf numFmtId="0" fontId="1" fillId="0" borderId="0" xfId="0" applyFont="1" applyFill="1" applyAlignment="1" applyProtection="1">
      <alignment horizontal="center"/>
      <protection/>
    </xf>
    <xf numFmtId="0" fontId="0" fillId="0" borderId="63" xfId="0" applyBorder="1" applyAlignment="1" applyProtection="1">
      <alignment/>
      <protection locked="0"/>
    </xf>
    <xf numFmtId="0" fontId="0" fillId="0" borderId="57" xfId="0" applyBorder="1" applyAlignment="1" applyProtection="1">
      <alignment/>
      <protection locked="0"/>
    </xf>
    <xf numFmtId="0" fontId="0" fillId="0" borderId="65" xfId="0" applyBorder="1" applyAlignment="1" applyProtection="1">
      <alignment/>
      <protection locked="0"/>
    </xf>
    <xf numFmtId="49" fontId="39" fillId="0" borderId="0" xfId="0" applyNumberFormat="1" applyFont="1" applyAlignment="1" applyProtection="1">
      <alignment/>
      <protection locked="0"/>
    </xf>
    <xf numFmtId="49" fontId="39" fillId="0" borderId="0" xfId="0" applyNumberFormat="1" applyFont="1" applyAlignment="1" applyProtection="1">
      <alignment/>
      <protection locked="0"/>
    </xf>
    <xf numFmtId="49" fontId="45" fillId="0" borderId="0" xfId="0" applyNumberFormat="1" applyFont="1" applyAlignment="1" applyProtection="1">
      <alignment/>
      <protection locked="0"/>
    </xf>
    <xf numFmtId="0" fontId="2" fillId="0" borderId="0" xfId="0" applyFont="1" applyBorder="1" applyAlignment="1" applyProtection="1">
      <alignment/>
      <protection locked="0"/>
    </xf>
    <xf numFmtId="0" fontId="52" fillId="0" borderId="25" xfId="0" applyFont="1" applyBorder="1" applyAlignment="1" applyProtection="1">
      <alignment horizontal="left"/>
      <protection locked="0"/>
    </xf>
    <xf numFmtId="0" fontId="0" fillId="0" borderId="26" xfId="0" applyBorder="1" applyAlignment="1" applyProtection="1">
      <alignment/>
      <protection locked="0"/>
    </xf>
    <xf numFmtId="0" fontId="0" fillId="0" borderId="27" xfId="0" applyBorder="1" applyAlignment="1" applyProtection="1">
      <alignment/>
      <protection locked="0"/>
    </xf>
    <xf numFmtId="0" fontId="72" fillId="0" borderId="0" xfId="0" applyFont="1" applyAlignment="1" applyProtection="1">
      <alignment/>
      <protection/>
    </xf>
    <xf numFmtId="3" fontId="2" fillId="0" borderId="0" xfId="0" applyNumberFormat="1" applyFont="1" applyBorder="1" applyAlignment="1" applyProtection="1">
      <alignment/>
      <protection/>
    </xf>
    <xf numFmtId="0" fontId="2" fillId="16" borderId="0" xfId="0" applyFont="1" applyFill="1" applyBorder="1" applyAlignment="1" applyProtection="1">
      <alignment/>
      <protection/>
    </xf>
    <xf numFmtId="0" fontId="0" fillId="0" borderId="0" xfId="0" applyFont="1" applyBorder="1" applyAlignment="1" applyProtection="1">
      <alignment horizontal="right"/>
      <protection/>
    </xf>
    <xf numFmtId="164" fontId="2" fillId="0" borderId="71" xfId="0" applyNumberFormat="1" applyFont="1" applyBorder="1" applyAlignment="1" applyProtection="1">
      <alignment/>
      <protection locked="0"/>
    </xf>
    <xf numFmtId="0" fontId="0" fillId="0" borderId="0" xfId="0" applyFont="1" applyAlignment="1" applyProtection="1">
      <alignment horizontal="right"/>
      <protection/>
    </xf>
    <xf numFmtId="6" fontId="1" fillId="0" borderId="22" xfId="0" applyNumberFormat="1" applyFont="1" applyBorder="1" applyAlignment="1" applyProtection="1">
      <alignment/>
      <protection/>
    </xf>
    <xf numFmtId="6" fontId="1" fillId="0" borderId="71" xfId="0" applyNumberFormat="1" applyFont="1" applyBorder="1" applyAlignment="1" applyProtection="1">
      <alignment/>
      <protection/>
    </xf>
    <xf numFmtId="0" fontId="47" fillId="0" borderId="0" xfId="0" applyFont="1" applyAlignment="1" applyProtection="1">
      <alignment/>
      <protection/>
    </xf>
    <xf numFmtId="0" fontId="15" fillId="0" borderId="0" xfId="64" applyFont="1" applyProtection="1">
      <alignment/>
      <protection/>
    </xf>
    <xf numFmtId="170" fontId="5" fillId="0" borderId="15" xfId="0" applyNumberFormat="1" applyFont="1" applyBorder="1" applyAlignment="1" applyProtection="1">
      <alignment horizontal="center"/>
      <protection locked="0"/>
    </xf>
    <xf numFmtId="0" fontId="0" fillId="0" borderId="0" xfId="0" applyFill="1" applyAlignment="1" applyProtection="1">
      <alignment/>
      <protection/>
    </xf>
    <xf numFmtId="0" fontId="15" fillId="0" borderId="0" xfId="64" applyFill="1" applyProtection="1">
      <alignment/>
      <protection/>
    </xf>
    <xf numFmtId="170" fontId="5" fillId="0" borderId="16" xfId="0" applyNumberFormat="1" applyFont="1" applyBorder="1" applyAlignment="1" applyProtection="1">
      <alignment horizontal="center"/>
      <protection locked="0"/>
    </xf>
    <xf numFmtId="0" fontId="19" fillId="0" borderId="0" xfId="64" applyFont="1" applyFill="1" applyProtection="1">
      <alignment/>
      <protection/>
    </xf>
    <xf numFmtId="0" fontId="2" fillId="0" borderId="73" xfId="0" applyFont="1" applyBorder="1" applyAlignment="1" applyProtection="1">
      <alignment/>
      <protection locked="0"/>
    </xf>
    <xf numFmtId="0" fontId="19" fillId="20" borderId="0" xfId="64" applyFont="1" applyFill="1" applyProtection="1">
      <alignment/>
      <protection/>
    </xf>
    <xf numFmtId="0" fontId="1" fillId="0" borderId="16" xfId="0" applyFont="1" applyBorder="1" applyAlignment="1" applyProtection="1">
      <alignment/>
      <protection/>
    </xf>
    <xf numFmtId="170" fontId="5" fillId="0" borderId="73" xfId="0" applyNumberFormat="1" applyFont="1" applyBorder="1" applyAlignment="1" applyProtection="1">
      <alignment horizontal="center"/>
      <protection locked="0"/>
    </xf>
    <xf numFmtId="0" fontId="5" fillId="0" borderId="73" xfId="0" applyFont="1" applyBorder="1" applyAlignment="1" applyProtection="1">
      <alignment horizontal="center"/>
      <protection locked="0"/>
    </xf>
    <xf numFmtId="0" fontId="1" fillId="0" borderId="17" xfId="0" applyFont="1" applyBorder="1" applyAlignment="1" applyProtection="1">
      <alignment/>
      <protection/>
    </xf>
    <xf numFmtId="170" fontId="5" fillId="0" borderId="17" xfId="0" applyNumberFormat="1" applyFont="1" applyBorder="1" applyAlignment="1" applyProtection="1">
      <alignment horizontal="center"/>
      <protection locked="0"/>
    </xf>
    <xf numFmtId="0" fontId="5" fillId="0" borderId="0" xfId="0" applyFont="1" applyBorder="1" applyAlignment="1" applyProtection="1">
      <alignment horizontal="center"/>
      <protection/>
    </xf>
    <xf numFmtId="0" fontId="16" fillId="0" borderId="15" xfId="64" applyFont="1" applyBorder="1" applyAlignment="1" applyProtection="1">
      <alignment horizontal="center"/>
      <protection locked="0"/>
    </xf>
    <xf numFmtId="3" fontId="0" fillId="0" borderId="0" xfId="0" applyNumberFormat="1" applyAlignment="1" applyProtection="1">
      <alignment horizontal="center"/>
      <protection/>
    </xf>
    <xf numFmtId="4" fontId="0" fillId="0" borderId="0" xfId="0" applyNumberFormat="1" applyAlignment="1" applyProtection="1">
      <alignment horizontal="center"/>
      <protection/>
    </xf>
    <xf numFmtId="0" fontId="15" fillId="0" borderId="23" xfId="64" applyFont="1" applyBorder="1" applyAlignment="1" applyProtection="1">
      <alignment horizontal="center"/>
      <protection/>
    </xf>
    <xf numFmtId="0" fontId="15" fillId="0" borderId="40" xfId="64" applyFont="1" applyBorder="1" applyAlignment="1" applyProtection="1">
      <alignment horizontal="center"/>
      <protection/>
    </xf>
    <xf numFmtId="0" fontId="0" fillId="0" borderId="23" xfId="0" applyBorder="1" applyAlignment="1" applyProtection="1">
      <alignment horizontal="center"/>
      <protection/>
    </xf>
    <xf numFmtId="0" fontId="1" fillId="0" borderId="38" xfId="0" applyFont="1" applyBorder="1" applyAlignment="1" applyProtection="1">
      <alignment horizontal="center"/>
      <protection/>
    </xf>
    <xf numFmtId="0" fontId="15" fillId="0" borderId="22" xfId="64" applyFont="1" applyBorder="1" applyAlignment="1" applyProtection="1">
      <alignment horizontal="center"/>
      <protection/>
    </xf>
    <xf numFmtId="0" fontId="0" fillId="0" borderId="38" xfId="0" applyBorder="1" applyAlignment="1" applyProtection="1">
      <alignment horizontal="center"/>
      <protection/>
    </xf>
    <xf numFmtId="0" fontId="0" fillId="0" borderId="24" xfId="0" applyBorder="1" applyAlignment="1" applyProtection="1">
      <alignment horizontal="center"/>
      <protection/>
    </xf>
    <xf numFmtId="0" fontId="0" fillId="0" borderId="28" xfId="0" applyBorder="1" applyAlignment="1" applyProtection="1">
      <alignment horizontal="center"/>
      <protection/>
    </xf>
    <xf numFmtId="3" fontId="15" fillId="0" borderId="0" xfId="64" applyNumberFormat="1" applyFont="1" applyAlignment="1" applyProtection="1">
      <alignment horizontal="center"/>
      <protection/>
    </xf>
    <xf numFmtId="0" fontId="0" fillId="0" borderId="40" xfId="0" applyBorder="1" applyAlignment="1" applyProtection="1">
      <alignment/>
      <protection/>
    </xf>
    <xf numFmtId="0" fontId="6" fillId="0" borderId="42"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10" xfId="0" applyFont="1" applyBorder="1" applyAlignment="1" applyProtection="1">
      <alignment horizontal="center"/>
      <protection/>
    </xf>
    <xf numFmtId="0" fontId="4" fillId="0" borderId="0" xfId="0" applyFont="1" applyAlignment="1" applyProtection="1">
      <alignment horizontal="center"/>
      <protection/>
    </xf>
    <xf numFmtId="0" fontId="1" fillId="18" borderId="11" xfId="0" applyFont="1" applyFill="1" applyBorder="1" applyAlignment="1" applyProtection="1">
      <alignment horizontal="center"/>
      <protection/>
    </xf>
    <xf numFmtId="0" fontId="0" fillId="0" borderId="22" xfId="0" applyFill="1" applyBorder="1" applyAlignment="1" applyProtection="1">
      <alignment/>
      <protection/>
    </xf>
    <xf numFmtId="192" fontId="2" fillId="0" borderId="18" xfId="0" applyNumberFormat="1" applyFont="1" applyBorder="1" applyAlignment="1" applyProtection="1">
      <alignment horizontal="center"/>
      <protection locked="0"/>
    </xf>
    <xf numFmtId="192" fontId="2" fillId="0" borderId="74" xfId="0" applyNumberFormat="1" applyFont="1" applyBorder="1" applyAlignment="1" applyProtection="1">
      <alignment horizontal="center"/>
      <protection locked="0"/>
    </xf>
    <xf numFmtId="1" fontId="0" fillId="0" borderId="0" xfId="0" applyNumberFormat="1" applyAlignment="1" applyProtection="1">
      <alignment horizontal="center"/>
      <protection/>
    </xf>
    <xf numFmtId="168" fontId="0" fillId="0" borderId="0" xfId="0" applyNumberFormat="1" applyAlignment="1" applyProtection="1">
      <alignment horizontal="center"/>
      <protection/>
    </xf>
    <xf numFmtId="192" fontId="2" fillId="0" borderId="19" xfId="0" applyNumberFormat="1" applyFont="1" applyBorder="1" applyAlignment="1" applyProtection="1">
      <alignment horizontal="center"/>
      <protection locked="0"/>
    </xf>
    <xf numFmtId="192" fontId="2" fillId="0" borderId="75" xfId="0" applyNumberFormat="1" applyFont="1" applyBorder="1" applyAlignment="1" applyProtection="1">
      <alignment horizontal="center"/>
      <protection locked="0"/>
    </xf>
    <xf numFmtId="192" fontId="2" fillId="0" borderId="21" xfId="0" applyNumberFormat="1" applyFont="1" applyBorder="1" applyAlignment="1" applyProtection="1">
      <alignment horizontal="center"/>
      <protection locked="0"/>
    </xf>
    <xf numFmtId="192" fontId="2" fillId="0" borderId="76" xfId="0" applyNumberFormat="1" applyFont="1" applyBorder="1" applyAlignment="1" applyProtection="1">
      <alignment horizontal="center"/>
      <protection locked="0"/>
    </xf>
    <xf numFmtId="168" fontId="0" fillId="0" borderId="46" xfId="0" applyNumberFormat="1" applyBorder="1" applyAlignment="1" applyProtection="1">
      <alignment horizontal="center"/>
      <protection/>
    </xf>
    <xf numFmtId="0" fontId="0" fillId="0" borderId="0" xfId="0" applyAlignment="1" applyProtection="1">
      <alignment horizontal="right"/>
      <protection/>
    </xf>
    <xf numFmtId="16" fontId="2" fillId="0" borderId="0" xfId="0" applyNumberFormat="1" applyFont="1" applyFill="1" applyAlignment="1" applyProtection="1">
      <alignment horizontal="center"/>
      <protection/>
    </xf>
    <xf numFmtId="0" fontId="0" fillId="0" borderId="0" xfId="0" applyFont="1" applyFill="1" applyAlignment="1" applyProtection="1">
      <alignment horizontal="right"/>
      <protection/>
    </xf>
    <xf numFmtId="168" fontId="0" fillId="0" borderId="0" xfId="0" applyNumberFormat="1" applyFill="1" applyAlignment="1" applyProtection="1">
      <alignment horizontal="center"/>
      <protection/>
    </xf>
    <xf numFmtId="0" fontId="0" fillId="0" borderId="0" xfId="0" applyFill="1" applyAlignment="1" applyProtection="1">
      <alignment horizontal="right"/>
      <protection/>
    </xf>
    <xf numFmtId="1" fontId="0" fillId="0" borderId="0" xfId="0" applyNumberFormat="1" applyFill="1" applyAlignment="1" applyProtection="1">
      <alignment horizontal="center"/>
      <protection/>
    </xf>
    <xf numFmtId="0" fontId="4" fillId="18" borderId="0" xfId="0" applyFont="1" applyFill="1" applyAlignment="1" applyProtection="1">
      <alignment horizontal="center"/>
      <protection/>
    </xf>
    <xf numFmtId="0" fontId="2" fillId="0" borderId="15" xfId="0" applyFont="1" applyFill="1" applyBorder="1" applyAlignment="1" applyProtection="1">
      <alignment horizontal="center"/>
      <protection locked="0"/>
    </xf>
    <xf numFmtId="0" fontId="2" fillId="0" borderId="16" xfId="0" applyFont="1" applyFill="1" applyBorder="1" applyAlignment="1" applyProtection="1">
      <alignment horizontal="center"/>
      <protection locked="0"/>
    </xf>
    <xf numFmtId="0" fontId="2" fillId="0" borderId="17" xfId="0" applyFont="1" applyFill="1" applyBorder="1" applyAlignment="1" applyProtection="1">
      <alignment horizontal="center"/>
      <protection locked="0"/>
    </xf>
    <xf numFmtId="168" fontId="0" fillId="0" borderId="46" xfId="0" applyNumberFormat="1" applyFill="1" applyBorder="1" applyAlignment="1" applyProtection="1">
      <alignment horizontal="center"/>
      <protection/>
    </xf>
    <xf numFmtId="0" fontId="0" fillId="0" borderId="0" xfId="0" applyFont="1" applyFill="1" applyAlignment="1" applyProtection="1">
      <alignment horizontal="left"/>
      <protection/>
    </xf>
    <xf numFmtId="0" fontId="0" fillId="0" borderId="0" xfId="0" applyFill="1" applyAlignment="1" applyProtection="1">
      <alignment horizontal="left"/>
      <protection/>
    </xf>
    <xf numFmtId="192" fontId="2" fillId="0" borderId="18" xfId="0" applyNumberFormat="1" applyFont="1" applyFill="1" applyBorder="1" applyAlignment="1" applyProtection="1">
      <alignment horizontal="center"/>
      <protection locked="0"/>
    </xf>
    <xf numFmtId="192" fontId="2" fillId="0" borderId="74" xfId="0" applyNumberFormat="1" applyFont="1" applyFill="1" applyBorder="1" applyAlignment="1" applyProtection="1">
      <alignment horizontal="center"/>
      <protection locked="0"/>
    </xf>
    <xf numFmtId="192" fontId="2" fillId="0" borderId="77" xfId="0" applyNumberFormat="1" applyFont="1" applyFill="1" applyBorder="1" applyAlignment="1" applyProtection="1">
      <alignment horizontal="center"/>
      <protection locked="0"/>
    </xf>
    <xf numFmtId="192" fontId="2" fillId="0" borderId="19" xfId="0" applyNumberFormat="1" applyFont="1" applyFill="1" applyBorder="1" applyAlignment="1" applyProtection="1">
      <alignment horizontal="center"/>
      <protection locked="0"/>
    </xf>
    <xf numFmtId="192" fontId="2" fillId="0" borderId="75" xfId="0" applyNumberFormat="1" applyFont="1" applyFill="1" applyBorder="1" applyAlignment="1" applyProtection="1">
      <alignment horizontal="center"/>
      <protection locked="0"/>
    </xf>
    <xf numFmtId="192" fontId="2" fillId="0" borderId="78" xfId="0" applyNumberFormat="1" applyFont="1" applyFill="1" applyBorder="1" applyAlignment="1" applyProtection="1">
      <alignment horizontal="center"/>
      <protection locked="0"/>
    </xf>
    <xf numFmtId="192" fontId="2" fillId="0" borderId="21" xfId="0" applyNumberFormat="1" applyFont="1" applyFill="1" applyBorder="1" applyAlignment="1" applyProtection="1">
      <alignment horizontal="center"/>
      <protection locked="0"/>
    </xf>
    <xf numFmtId="192" fontId="2" fillId="0" borderId="76" xfId="0" applyNumberFormat="1" applyFont="1" applyFill="1" applyBorder="1" applyAlignment="1" applyProtection="1">
      <alignment horizontal="center"/>
      <protection locked="0"/>
    </xf>
    <xf numFmtId="192" fontId="2" fillId="0" borderId="79" xfId="0" applyNumberFormat="1" applyFont="1" applyFill="1" applyBorder="1" applyAlignment="1" applyProtection="1">
      <alignment horizontal="center"/>
      <protection locked="0"/>
    </xf>
    <xf numFmtId="0" fontId="0" fillId="0" borderId="42" xfId="0" applyFont="1" applyFill="1" applyBorder="1" applyAlignment="1" applyProtection="1">
      <alignment horizontal="left"/>
      <protection/>
    </xf>
    <xf numFmtId="0" fontId="0" fillId="0" borderId="0" xfId="0" applyFont="1" applyFill="1" applyBorder="1" applyAlignment="1" applyProtection="1">
      <alignment horizontal="right"/>
      <protection/>
    </xf>
    <xf numFmtId="16" fontId="0" fillId="0" borderId="42" xfId="0" applyNumberFormat="1" applyFont="1" applyFill="1" applyBorder="1" applyAlignment="1" applyProtection="1">
      <alignment horizontal="center"/>
      <protection/>
    </xf>
    <xf numFmtId="16" fontId="0" fillId="0" borderId="10" xfId="0" applyNumberFormat="1" applyFont="1" applyFill="1" applyBorder="1" applyAlignment="1" applyProtection="1">
      <alignment horizontal="center"/>
      <protection/>
    </xf>
    <xf numFmtId="0" fontId="2" fillId="0" borderId="0" xfId="0" applyFont="1" applyFill="1" applyAlignment="1" applyProtection="1">
      <alignment horizontal="center"/>
      <protection/>
    </xf>
    <xf numFmtId="1" fontId="1" fillId="0" borderId="0" xfId="0" applyNumberFormat="1" applyFont="1" applyAlignment="1" applyProtection="1">
      <alignment horizontal="center"/>
      <protection/>
    </xf>
    <xf numFmtId="0" fontId="1" fillId="0" borderId="0" xfId="0" applyFont="1" applyAlignment="1" applyProtection="1">
      <alignment horizontal="right"/>
      <protection/>
    </xf>
    <xf numFmtId="168" fontId="1" fillId="0" borderId="0" xfId="0" applyNumberFormat="1" applyFont="1" applyAlignment="1" applyProtection="1">
      <alignment horizontal="center"/>
      <protection/>
    </xf>
    <xf numFmtId="2" fontId="0" fillId="0" borderId="0" xfId="0" applyNumberFormat="1" applyAlignment="1" applyProtection="1">
      <alignment horizontal="center"/>
      <protection/>
    </xf>
    <xf numFmtId="0" fontId="19" fillId="20" borderId="0" xfId="64" applyFont="1" applyFill="1" applyAlignment="1" applyProtection="1">
      <alignment horizontal="center"/>
      <protection/>
    </xf>
    <xf numFmtId="0" fontId="0" fillId="0" borderId="74" xfId="0" applyFont="1" applyBorder="1" applyAlignment="1" applyProtection="1">
      <alignment horizontal="center"/>
      <protection/>
    </xf>
    <xf numFmtId="170" fontId="0" fillId="0" borderId="0" xfId="0" applyNumberFormat="1" applyAlignment="1" applyProtection="1">
      <alignment horizontal="center"/>
      <protection/>
    </xf>
    <xf numFmtId="0" fontId="0" fillId="0" borderId="75" xfId="0" applyFont="1" applyBorder="1" applyAlignment="1" applyProtection="1">
      <alignment horizontal="center"/>
      <protection/>
    </xf>
    <xf numFmtId="0" fontId="0" fillId="0" borderId="80" xfId="0" applyFont="1" applyBorder="1" applyAlignment="1" applyProtection="1">
      <alignment horizontal="center"/>
      <protection/>
    </xf>
    <xf numFmtId="192" fontId="2" fillId="0" borderId="20" xfId="0" applyNumberFormat="1" applyFont="1" applyBorder="1" applyAlignment="1" applyProtection="1">
      <alignment horizontal="center"/>
      <protection locked="0"/>
    </xf>
    <xf numFmtId="192" fontId="2" fillId="0" borderId="80" xfId="0" applyNumberFormat="1" applyFont="1" applyBorder="1" applyAlignment="1" applyProtection="1">
      <alignment horizontal="center"/>
      <protection locked="0"/>
    </xf>
    <xf numFmtId="1" fontId="0" fillId="0" borderId="45" xfId="0" applyNumberFormat="1" applyBorder="1" applyAlignment="1" applyProtection="1">
      <alignment horizontal="center"/>
      <protection/>
    </xf>
    <xf numFmtId="170" fontId="0" fillId="0" borderId="45" xfId="0" applyNumberFormat="1" applyBorder="1" applyAlignment="1" applyProtection="1">
      <alignment horizontal="center"/>
      <protection/>
    </xf>
    <xf numFmtId="0" fontId="2" fillId="0" borderId="42" xfId="0" applyFont="1" applyBorder="1" applyAlignment="1" applyProtection="1">
      <alignment/>
      <protection/>
    </xf>
    <xf numFmtId="0" fontId="0" fillId="0" borderId="42" xfId="0" applyFont="1" applyBorder="1" applyAlignment="1" applyProtection="1">
      <alignment horizontal="center"/>
      <protection/>
    </xf>
    <xf numFmtId="15" fontId="2" fillId="0" borderId="42" xfId="0" applyNumberFormat="1" applyFont="1" applyBorder="1" applyAlignment="1" applyProtection="1">
      <alignment horizontal="center"/>
      <protection/>
    </xf>
    <xf numFmtId="15" fontId="0" fillId="0" borderId="42" xfId="0" applyNumberFormat="1" applyFont="1" applyBorder="1" applyAlignment="1" applyProtection="1">
      <alignment horizontal="right"/>
      <protection/>
    </xf>
    <xf numFmtId="15" fontId="2" fillId="0" borderId="0" xfId="0" applyNumberFormat="1" applyFont="1" applyBorder="1" applyAlignment="1" applyProtection="1">
      <alignment horizontal="center"/>
      <protection/>
    </xf>
    <xf numFmtId="192" fontId="2" fillId="0" borderId="81" xfId="0" applyNumberFormat="1" applyFont="1" applyBorder="1" applyAlignment="1" applyProtection="1">
      <alignment horizontal="center"/>
      <protection locked="0"/>
    </xf>
    <xf numFmtId="192" fontId="2" fillId="0" borderId="82" xfId="0" applyNumberFormat="1" applyFont="1" applyBorder="1" applyAlignment="1" applyProtection="1">
      <alignment horizontal="center"/>
      <protection locked="0"/>
    </xf>
    <xf numFmtId="15" fontId="0" fillId="0" borderId="0" xfId="0" applyNumberFormat="1" applyFont="1" applyBorder="1" applyAlignment="1" applyProtection="1">
      <alignment horizontal="right"/>
      <protection/>
    </xf>
    <xf numFmtId="0" fontId="0" fillId="0" borderId="76" xfId="0" applyFont="1" applyBorder="1" applyAlignment="1" applyProtection="1">
      <alignment horizontal="center"/>
      <protection/>
    </xf>
    <xf numFmtId="0" fontId="0" fillId="0" borderId="24" xfId="0" applyBorder="1" applyAlignment="1" applyProtection="1">
      <alignment/>
      <protection/>
    </xf>
    <xf numFmtId="168" fontId="0" fillId="0" borderId="0" xfId="0" applyNumberFormat="1" applyAlignment="1" applyProtection="1">
      <alignment/>
      <protection/>
    </xf>
    <xf numFmtId="168" fontId="0" fillId="0" borderId="46" xfId="0" applyNumberFormat="1" applyBorder="1" applyAlignment="1" applyProtection="1">
      <alignment/>
      <protection/>
    </xf>
    <xf numFmtId="0" fontId="15" fillId="0" borderId="0" xfId="64" applyFont="1">
      <alignment/>
      <protection/>
    </xf>
    <xf numFmtId="0" fontId="1" fillId="0" borderId="0" xfId="0" applyFont="1" applyAlignment="1">
      <alignment/>
    </xf>
    <xf numFmtId="0" fontId="0" fillId="0" borderId="0" xfId="0" applyFont="1" applyAlignment="1">
      <alignment horizontal="center"/>
    </xf>
    <xf numFmtId="0" fontId="0" fillId="0" borderId="10" xfId="0" applyFont="1" applyBorder="1" applyAlignment="1">
      <alignment horizontal="center"/>
    </xf>
    <xf numFmtId="0" fontId="1" fillId="0" borderId="0" xfId="0" applyFont="1" applyBorder="1" applyAlignment="1">
      <alignment horizontal="left"/>
    </xf>
    <xf numFmtId="0" fontId="1" fillId="0" borderId="10" xfId="0" applyFont="1" applyBorder="1" applyAlignment="1">
      <alignment horizontal="left"/>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Border="1" applyAlignment="1">
      <alignment horizontal="center" vertical="center" wrapText="1"/>
    </xf>
    <xf numFmtId="0" fontId="0" fillId="0" borderId="0" xfId="0" applyBorder="1" applyAlignment="1">
      <alignment vertical="center"/>
    </xf>
    <xf numFmtId="2" fontId="0" fillId="0" borderId="0" xfId="0" applyNumberFormat="1" applyBorder="1" applyAlignment="1">
      <alignment horizontal="center" vertical="center"/>
    </xf>
    <xf numFmtId="170" fontId="0" fillId="0" borderId="0" xfId="0" applyNumberFormat="1" applyBorder="1" applyAlignment="1">
      <alignment horizontal="center" vertical="center"/>
    </xf>
    <xf numFmtId="172" fontId="0" fillId="0" borderId="0" xfId="0" applyNumberFormat="1" applyBorder="1" applyAlignment="1">
      <alignment horizontal="center" vertical="center"/>
    </xf>
    <xf numFmtId="1" fontId="0" fillId="0" borderId="0" xfId="0" applyNumberFormat="1" applyBorder="1" applyAlignment="1">
      <alignment horizontal="center" vertical="center"/>
    </xf>
    <xf numFmtId="0" fontId="1" fillId="18" borderId="41" xfId="0" applyFont="1" applyFill="1" applyBorder="1" applyAlignment="1">
      <alignment horizontal="center" vertical="center" wrapText="1"/>
    </xf>
    <xf numFmtId="0" fontId="1" fillId="18" borderId="42" xfId="0" applyFont="1" applyFill="1" applyBorder="1" applyAlignment="1">
      <alignment horizontal="center" vertical="center" wrapText="1"/>
    </xf>
    <xf numFmtId="0" fontId="1" fillId="18" borderId="40" xfId="0" applyFont="1" applyFill="1" applyBorder="1" applyAlignment="1">
      <alignment horizontal="center" vertical="center" wrapText="1"/>
    </xf>
    <xf numFmtId="0" fontId="1" fillId="18" borderId="39" xfId="0" applyFont="1" applyFill="1" applyBorder="1" applyAlignment="1">
      <alignment horizontal="center" vertical="center" wrapText="1"/>
    </xf>
    <xf numFmtId="0" fontId="1" fillId="18" borderId="10" xfId="0" applyFont="1" applyFill="1" applyBorder="1" applyAlignment="1">
      <alignment horizontal="center" vertical="center" wrapText="1"/>
    </xf>
    <xf numFmtId="0" fontId="1" fillId="18" borderId="28" xfId="0" applyFont="1" applyFill="1" applyBorder="1" applyAlignment="1">
      <alignment horizontal="center" vertical="center" wrapText="1"/>
    </xf>
    <xf numFmtId="0" fontId="7" fillId="7" borderId="25" xfId="0" applyFont="1" applyFill="1" applyBorder="1" applyAlignment="1">
      <alignment horizontal="left" wrapText="1"/>
    </xf>
    <xf numFmtId="0" fontId="7" fillId="7" borderId="26" xfId="0" applyFont="1" applyFill="1" applyBorder="1" applyAlignment="1">
      <alignment horizontal="left" wrapText="1"/>
    </xf>
    <xf numFmtId="0" fontId="7" fillId="7" borderId="27" xfId="0" applyFont="1" applyFill="1" applyBorder="1" applyAlignment="1">
      <alignment horizontal="left" wrapText="1"/>
    </xf>
    <xf numFmtId="0" fontId="15" fillId="0" borderId="0" xfId="0" applyNumberFormat="1" applyFont="1" applyAlignment="1">
      <alignment/>
    </xf>
    <xf numFmtId="0" fontId="1" fillId="0" borderId="25"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28" fillId="0" borderId="25" xfId="0" applyFont="1" applyBorder="1" applyAlignment="1" applyProtection="1">
      <alignment horizontal="center"/>
      <protection locked="0"/>
    </xf>
    <xf numFmtId="0" fontId="19" fillId="18" borderId="25" xfId="0" applyFont="1" applyFill="1" applyBorder="1" applyAlignment="1">
      <alignment horizontal="center"/>
    </xf>
    <xf numFmtId="0" fontId="19" fillId="18" borderId="26" xfId="0" applyFont="1" applyFill="1" applyBorder="1" applyAlignment="1">
      <alignment horizontal="center"/>
    </xf>
    <xf numFmtId="0" fontId="19" fillId="18" borderId="27" xfId="0" applyFont="1" applyFill="1" applyBorder="1" applyAlignment="1">
      <alignment horizontal="center"/>
    </xf>
    <xf numFmtId="0" fontId="28" fillId="0" borderId="26" xfId="0" applyFont="1" applyBorder="1" applyAlignment="1" applyProtection="1">
      <alignment horizontal="center"/>
      <protection locked="0"/>
    </xf>
    <xf numFmtId="0" fontId="28" fillId="0" borderId="27" xfId="0" applyFont="1" applyBorder="1" applyAlignment="1" applyProtection="1">
      <alignment horizontal="center"/>
      <protection locked="0"/>
    </xf>
    <xf numFmtId="0" fontId="0" fillId="0" borderId="10" xfId="0" applyBorder="1" applyAlignment="1">
      <alignment/>
    </xf>
    <xf numFmtId="0" fontId="23" fillId="0" borderId="0" xfId="0" applyFont="1" applyAlignment="1" applyProtection="1">
      <alignment horizontal="left"/>
      <protection locked="0"/>
    </xf>
    <xf numFmtId="0" fontId="0" fillId="0" borderId="0" xfId="0" applyAlignment="1">
      <alignment/>
    </xf>
    <xf numFmtId="0" fontId="0" fillId="0" borderId="0" xfId="0" applyBorder="1" applyAlignment="1">
      <alignment/>
    </xf>
    <xf numFmtId="0" fontId="16" fillId="0" borderId="42" xfId="0" applyFont="1" applyBorder="1" applyAlignment="1" applyProtection="1">
      <alignment/>
      <protection locked="0"/>
    </xf>
    <xf numFmtId="0" fontId="16" fillId="0" borderId="0" xfId="0" applyFont="1" applyAlignment="1" applyProtection="1">
      <alignment/>
      <protection locked="0"/>
    </xf>
    <xf numFmtId="0" fontId="16" fillId="0" borderId="10" xfId="0" applyFont="1" applyBorder="1" applyAlignment="1" applyProtection="1">
      <alignment/>
      <protection locked="0"/>
    </xf>
    <xf numFmtId="0" fontId="28" fillId="0" borderId="0" xfId="0" applyFont="1" applyAlignment="1" applyProtection="1">
      <alignment horizontal="left"/>
      <protection locked="0"/>
    </xf>
    <xf numFmtId="0" fontId="0" fillId="0" borderId="25" xfId="0" applyBorder="1" applyAlignment="1">
      <alignment horizontal="center"/>
    </xf>
    <xf numFmtId="0" fontId="0" fillId="0" borderId="27" xfId="0" applyBorder="1" applyAlignment="1">
      <alignment horizontal="center"/>
    </xf>
    <xf numFmtId="0" fontId="18" fillId="0" borderId="10" xfId="0" applyFont="1" applyBorder="1" applyAlignment="1">
      <alignment horizontal="left"/>
    </xf>
    <xf numFmtId="0" fontId="18" fillId="0" borderId="25" xfId="0" applyFont="1" applyFill="1" applyBorder="1" applyAlignment="1">
      <alignment horizontal="center"/>
    </xf>
    <xf numFmtId="0" fontId="18" fillId="0" borderId="27" xfId="0" applyFont="1" applyFill="1" applyBorder="1" applyAlignment="1">
      <alignment horizontal="center"/>
    </xf>
    <xf numFmtId="0" fontId="20" fillId="0" borderId="25" xfId="0" applyFont="1" applyFill="1" applyBorder="1" applyAlignment="1">
      <alignment horizontal="center"/>
    </xf>
    <xf numFmtId="0" fontId="20" fillId="0" borderId="27" xfId="0" applyFont="1" applyFill="1" applyBorder="1" applyAlignment="1">
      <alignment horizontal="center"/>
    </xf>
    <xf numFmtId="0" fontId="31" fillId="0" borderId="25" xfId="64" applyFont="1" applyBorder="1" applyAlignment="1">
      <alignment horizontal="left"/>
      <protection/>
    </xf>
    <xf numFmtId="0" fontId="31" fillId="0" borderId="26" xfId="64" applyFont="1" applyBorder="1" applyAlignment="1">
      <alignment horizontal="left"/>
      <protection/>
    </xf>
    <xf numFmtId="0" fontId="31" fillId="0" borderId="27" xfId="64" applyFont="1" applyBorder="1" applyAlignment="1">
      <alignment horizontal="left"/>
      <protection/>
    </xf>
    <xf numFmtId="0" fontId="15" fillId="0" borderId="10" xfId="0" applyFont="1" applyBorder="1" applyAlignment="1">
      <alignment horizontal="center"/>
    </xf>
    <xf numFmtId="0" fontId="0" fillId="0" borderId="10" xfId="0" applyBorder="1" applyAlignment="1">
      <alignment horizontal="center"/>
    </xf>
    <xf numFmtId="0" fontId="19" fillId="0" borderId="25" xfId="0" applyFont="1" applyBorder="1" applyAlignment="1">
      <alignment horizontal="center"/>
    </xf>
    <xf numFmtId="0" fontId="19" fillId="0" borderId="26" xfId="0" applyFont="1" applyBorder="1" applyAlignment="1">
      <alignment horizontal="center"/>
    </xf>
    <xf numFmtId="0" fontId="19" fillId="0" borderId="27" xfId="0" applyFont="1" applyBorder="1" applyAlignment="1">
      <alignment horizontal="center"/>
    </xf>
    <xf numFmtId="0" fontId="32" fillId="0" borderId="25" xfId="64" applyFont="1" applyBorder="1" applyAlignment="1">
      <alignment horizontal="center"/>
      <protection/>
    </xf>
    <xf numFmtId="0" fontId="32" fillId="0" borderId="26" xfId="64" applyFont="1" applyBorder="1" applyAlignment="1">
      <alignment horizontal="center"/>
      <protection/>
    </xf>
    <xf numFmtId="0" fontId="32" fillId="0" borderId="27" xfId="64" applyFont="1" applyBorder="1" applyAlignment="1">
      <alignment horizontal="center"/>
      <protection/>
    </xf>
    <xf numFmtId="0" fontId="19" fillId="0" borderId="25" xfId="64" applyFont="1" applyBorder="1" applyAlignment="1">
      <alignment horizontal="center"/>
      <protection/>
    </xf>
    <xf numFmtId="0" fontId="19" fillId="0" borderId="26" xfId="64" applyFont="1" applyBorder="1" applyAlignment="1">
      <alignment horizontal="center"/>
      <protection/>
    </xf>
    <xf numFmtId="0" fontId="19" fillId="0" borderId="27" xfId="64" applyFont="1" applyBorder="1" applyAlignment="1">
      <alignment horizontal="center"/>
      <protection/>
    </xf>
    <xf numFmtId="0" fontId="86" fillId="0" borderId="0" xfId="55" applyNumberFormat="1" applyFont="1" applyAlignment="1" applyProtection="1">
      <alignment/>
      <protection/>
    </xf>
    <xf numFmtId="0" fontId="1" fillId="18" borderId="0" xfId="0" applyFont="1" applyFill="1" applyAlignment="1" applyProtection="1">
      <alignment horizontal="center"/>
      <protection/>
    </xf>
    <xf numFmtId="0" fontId="0" fillId="0" borderId="23" xfId="0" applyFont="1" applyBorder="1" applyAlignment="1" applyProtection="1">
      <alignment horizontal="center" wrapText="1"/>
      <protection/>
    </xf>
    <xf numFmtId="0" fontId="0" fillId="0" borderId="24" xfId="0" applyFont="1" applyBorder="1" applyAlignment="1" applyProtection="1">
      <alignment horizontal="center" wrapText="1"/>
      <protection/>
    </xf>
    <xf numFmtId="0" fontId="9" fillId="0" borderId="23" xfId="0" applyFont="1" applyBorder="1" applyAlignment="1" applyProtection="1">
      <alignment horizontal="center" wrapText="1"/>
      <protection/>
    </xf>
    <xf numFmtId="0" fontId="9" fillId="0" borderId="24" xfId="0" applyFont="1" applyBorder="1" applyAlignment="1" applyProtection="1">
      <alignment horizontal="center" wrapText="1"/>
      <protection/>
    </xf>
    <xf numFmtId="0" fontId="1" fillId="18" borderId="25" xfId="0" applyFont="1" applyFill="1" applyBorder="1" applyAlignment="1" applyProtection="1">
      <alignment horizontal="center"/>
      <protection/>
    </xf>
    <xf numFmtId="0" fontId="1" fillId="18" borderId="26" xfId="0" applyFont="1" applyFill="1" applyBorder="1" applyAlignment="1" applyProtection="1">
      <alignment horizontal="center"/>
      <protection/>
    </xf>
    <xf numFmtId="0" fontId="1" fillId="18" borderId="27" xfId="0" applyFont="1" applyFill="1" applyBorder="1" applyAlignment="1" applyProtection="1">
      <alignment horizontal="center"/>
      <protection/>
    </xf>
    <xf numFmtId="0" fontId="1" fillId="0" borderId="25" xfId="0" applyFont="1" applyBorder="1" applyAlignment="1" applyProtection="1">
      <alignment horizontal="center"/>
      <protection/>
    </xf>
    <xf numFmtId="0" fontId="1" fillId="0" borderId="26" xfId="0" applyFont="1" applyBorder="1" applyAlignment="1" applyProtection="1">
      <alignment horizontal="center"/>
      <protection/>
    </xf>
    <xf numFmtId="0" fontId="1" fillId="0" borderId="27" xfId="0" applyFont="1" applyBorder="1" applyAlignment="1" applyProtection="1">
      <alignment horizontal="center"/>
      <protection/>
    </xf>
    <xf numFmtId="0" fontId="2" fillId="0" borderId="23" xfId="0" applyFont="1" applyBorder="1" applyAlignment="1" applyProtection="1">
      <alignment horizontal="center" wrapText="1"/>
      <protection locked="0"/>
    </xf>
    <xf numFmtId="0" fontId="2" fillId="0" borderId="24" xfId="0" applyFont="1" applyBorder="1" applyAlignment="1" applyProtection="1">
      <alignment horizontal="center" wrapText="1"/>
      <protection locked="0"/>
    </xf>
    <xf numFmtId="39" fontId="41" fillId="2" borderId="25" xfId="0" applyNumberFormat="1" applyFont="1" applyFill="1" applyBorder="1" applyAlignment="1" applyProtection="1">
      <alignment horizontal="left"/>
      <protection/>
    </xf>
    <xf numFmtId="39" fontId="41" fillId="2" borderId="26" xfId="0" applyNumberFormat="1" applyFont="1" applyFill="1" applyBorder="1" applyAlignment="1" applyProtection="1">
      <alignment horizontal="left"/>
      <protection/>
    </xf>
    <xf numFmtId="39" fontId="41" fillId="2" borderId="27" xfId="0" applyNumberFormat="1" applyFont="1" applyFill="1" applyBorder="1" applyAlignment="1" applyProtection="1">
      <alignment horizontal="left"/>
      <protection/>
    </xf>
    <xf numFmtId="16" fontId="0" fillId="0" borderId="10" xfId="0" applyNumberFormat="1" applyFont="1" applyFill="1" applyBorder="1" applyAlignment="1" applyProtection="1">
      <alignment horizontal="center"/>
      <protection/>
    </xf>
    <xf numFmtId="0" fontId="7" fillId="0" borderId="83" xfId="0" applyFont="1" applyBorder="1" applyAlignment="1" applyProtection="1">
      <alignment/>
      <protection/>
    </xf>
    <xf numFmtId="0" fontId="7" fillId="0" borderId="84" xfId="0" applyFont="1" applyBorder="1" applyAlignment="1" applyProtection="1">
      <alignment/>
      <protection/>
    </xf>
    <xf numFmtId="0" fontId="7" fillId="0" borderId="85" xfId="0" applyFont="1" applyBorder="1" applyAlignment="1" applyProtection="1">
      <alignment/>
      <protection/>
    </xf>
    <xf numFmtId="0" fontId="55" fillId="18" borderId="0" xfId="0" applyFont="1" applyFill="1" applyBorder="1" applyAlignment="1" applyProtection="1">
      <alignment horizontal="center"/>
      <protection/>
    </xf>
    <xf numFmtId="0" fontId="3" fillId="18" borderId="0" xfId="0" applyFont="1" applyFill="1" applyBorder="1" applyAlignment="1" applyProtection="1">
      <alignment horizontal="center"/>
      <protection/>
    </xf>
    <xf numFmtId="0" fontId="79" fillId="18" borderId="0" xfId="0" applyFont="1" applyFill="1" applyAlignment="1" applyProtection="1">
      <alignment horizontal="center"/>
      <protection/>
    </xf>
    <xf numFmtId="0" fontId="14" fillId="18" borderId="0" xfId="0" applyFont="1" applyFill="1" applyAlignment="1" applyProtection="1">
      <alignment horizontal="center"/>
      <protection/>
    </xf>
    <xf numFmtId="0" fontId="7" fillId="0" borderId="25" xfId="0" applyFont="1" applyBorder="1" applyAlignment="1" applyProtection="1">
      <alignment horizontal="center"/>
      <protection/>
    </xf>
    <xf numFmtId="0" fontId="7" fillId="0" borderId="26" xfId="0" applyFont="1" applyBorder="1" applyAlignment="1" applyProtection="1">
      <alignment horizontal="center"/>
      <protection/>
    </xf>
    <xf numFmtId="0" fontId="7" fillId="0" borderId="27" xfId="0" applyFont="1" applyBorder="1" applyAlignment="1" applyProtection="1">
      <alignment horizontal="center"/>
      <protection/>
    </xf>
    <xf numFmtId="0" fontId="6" fillId="0" borderId="25" xfId="0" applyFont="1" applyBorder="1" applyAlignment="1" applyProtection="1">
      <alignment horizontal="center"/>
      <protection/>
    </xf>
    <xf numFmtId="0" fontId="6" fillId="0" borderId="26" xfId="0" applyFont="1" applyBorder="1" applyAlignment="1" applyProtection="1">
      <alignment horizontal="center"/>
      <protection/>
    </xf>
    <xf numFmtId="0" fontId="6" fillId="0" borderId="27" xfId="0" applyFont="1" applyBorder="1" applyAlignment="1" applyProtection="1">
      <alignment horizontal="center"/>
      <protection/>
    </xf>
    <xf numFmtId="0" fontId="72" fillId="0" borderId="0" xfId="0" applyFont="1" applyAlignment="1" applyProtection="1">
      <alignment horizontal="center"/>
      <protection/>
    </xf>
    <xf numFmtId="0" fontId="72" fillId="0" borderId="0" xfId="0" applyFont="1" applyAlignment="1" applyProtection="1">
      <alignment horizontal="lef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5" xfId="62"/>
    <cellStyle name="Normal 6" xfId="63"/>
    <cellStyle name="Normal_Sheet" xfId="64"/>
    <cellStyle name="Note" xfId="65"/>
    <cellStyle name="Output" xfId="66"/>
    <cellStyle name="Percent" xfId="67"/>
    <cellStyle name="Percent 2" xfId="68"/>
    <cellStyle name="Title" xfId="69"/>
    <cellStyle name="Total" xfId="70"/>
    <cellStyle name="Warning Text" xfId="71"/>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666750</xdr:colOff>
      <xdr:row>0</xdr:row>
      <xdr:rowOff>57150</xdr:rowOff>
    </xdr:from>
    <xdr:to>
      <xdr:col>44</xdr:col>
      <xdr:colOff>123825</xdr:colOff>
      <xdr:row>11</xdr:row>
      <xdr:rowOff>104775</xdr:rowOff>
    </xdr:to>
    <xdr:sp>
      <xdr:nvSpPr>
        <xdr:cNvPr id="1" name="Text Box 10"/>
        <xdr:cNvSpPr txBox="1">
          <a:spLocks noChangeArrowheads="1"/>
        </xdr:cNvSpPr>
      </xdr:nvSpPr>
      <xdr:spPr>
        <a:xfrm>
          <a:off x="27432000" y="57150"/>
          <a:ext cx="6829425" cy="22479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I have used information provided about other production expenses, listed at left, to make some allocations to individual fields based on average costs per acre.  These </a:t>
          </a:r>
          <a:r>
            <a:rPr lang="en-US" cap="none" sz="1200" b="0" i="0" u="none" baseline="0">
              <a:solidFill>
                <a:srgbClr val="FF0000"/>
              </a:solidFill>
              <a:latin typeface="Times New Roman"/>
              <a:ea typeface="Times New Roman"/>
              <a:cs typeface="Times New Roman"/>
            </a:rPr>
            <a:t>allocations are for demonstration purposes only</a:t>
          </a:r>
          <a:r>
            <a:rPr lang="en-US" cap="none" sz="1200" b="0" i="0" u="none" baseline="0">
              <a:solidFill>
                <a:srgbClr val="000000"/>
              </a:solidFill>
              <a:latin typeface="Times New Roman"/>
              <a:ea typeface="Times New Roman"/>
              <a:cs typeface="Times New Roman"/>
            </a:rPr>
            <a:t> and should be adjusted using your knowledge about production inputs and practices on individual fields. I have not made allocations for expenses (maintenance and utilities) that, based on my knowledge, are included in costs estimates of the pivot system for that field.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Estimated costs that are based on a per ton yield estimate (per ton haying costs) should be reflected below. My allocations include subtracting out custom haying expense @ $32/ton from the Custom Hire listed at left and allocating the remainder on a per acre basis and then including a separate column for custom haying based on the new expected yields, @ $32/ton. </a:t>
          </a:r>
        </a:p>
      </xdr:txBody>
    </xdr:sp>
    <xdr:clientData/>
  </xdr:twoCellAnchor>
  <xdr:twoCellAnchor>
    <xdr:from>
      <xdr:col>0</xdr:col>
      <xdr:colOff>266700</xdr:colOff>
      <xdr:row>1</xdr:row>
      <xdr:rowOff>47625</xdr:rowOff>
    </xdr:from>
    <xdr:to>
      <xdr:col>8</xdr:col>
      <xdr:colOff>657225</xdr:colOff>
      <xdr:row>13</xdr:row>
      <xdr:rowOff>123825</xdr:rowOff>
    </xdr:to>
    <xdr:sp>
      <xdr:nvSpPr>
        <xdr:cNvPr id="2" name="Text Box 11"/>
        <xdr:cNvSpPr txBox="1">
          <a:spLocks noChangeArrowheads="1"/>
        </xdr:cNvSpPr>
      </xdr:nvSpPr>
      <xdr:spPr>
        <a:xfrm>
          <a:off x="266700" y="247650"/>
          <a:ext cx="6200775" cy="25336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0" i="0" u="none" baseline="0">
              <a:solidFill>
                <a:srgbClr val="000000"/>
              </a:solidFill>
              <a:latin typeface="Times New Roman"/>
              <a:ea typeface="Times New Roman"/>
              <a:cs typeface="Times New Roman"/>
            </a:rPr>
            <a:t>This template is a before and after comparison of installing pivots and/or moving towards an in house farming operation.  The transition will likely take several years to accomplish, if stand establishment occurs at 200 acres per year.  The transition period is not analyzed in this template.  This template also does not consider any tax consequences of equipment purchases.  Benefits of tax deductions against other revenue may lower costs estimated here.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FF0000"/>
              </a:solidFill>
              <a:latin typeface="Times New Roman"/>
              <a:ea typeface="Times New Roman"/>
              <a:cs typeface="Times New Roman"/>
            </a:rPr>
            <a:t>Note:</a:t>
          </a:r>
          <a:r>
            <a:rPr lang="en-US" cap="none" sz="1200" b="0" i="0" u="none" baseline="0">
              <a:solidFill>
                <a:srgbClr val="000000"/>
              </a:solidFill>
              <a:latin typeface="Times New Roman"/>
              <a:ea typeface="Times New Roman"/>
              <a:cs typeface="Times New Roman"/>
            </a:rPr>
            <a:t> This spreadsheet uses the</a:t>
          </a:r>
          <a:r>
            <a:rPr lang="en-US" cap="none" sz="1200" b="0" i="0" u="none" baseline="0">
              <a:solidFill>
                <a:srgbClr val="FF0000"/>
              </a:solidFill>
              <a:latin typeface="Times New Roman"/>
              <a:ea typeface="Times New Roman"/>
              <a:cs typeface="Times New Roman"/>
            </a:rPr>
            <a:t> </a:t>
          </a:r>
          <a:r>
            <a:rPr lang="en-US" cap="none" sz="1200" b="1" i="0" u="none" baseline="0">
              <a:solidFill>
                <a:srgbClr val="FF0000"/>
              </a:solidFill>
              <a:latin typeface="Times New Roman"/>
              <a:ea typeface="Times New Roman"/>
              <a:cs typeface="Times New Roman"/>
            </a:rPr>
            <a:t>Outlining Feature</a:t>
          </a:r>
          <a:r>
            <a:rPr lang="en-US" cap="none" sz="1200" b="0" i="0" u="none" baseline="0">
              <a:solidFill>
                <a:srgbClr val="000000"/>
              </a:solidFill>
              <a:latin typeface="Times New Roman"/>
              <a:ea typeface="Times New Roman"/>
              <a:cs typeface="Times New Roman"/>
            </a:rPr>
            <a:t> in Excel. (See Top Edge) Click the number rows or the + or - signs in the Outlining Bar (top edge) to expand/contract sections of this spreadsheet. This sheet is not protected as the Outlining feature will not work, if the worksheet is protected.  Be careful not to overwrite a formula during data entry. </a:t>
          </a:r>
        </a:p>
      </xdr:txBody>
    </xdr:sp>
    <xdr:clientData/>
  </xdr:twoCellAnchor>
  <xdr:twoCellAnchor>
    <xdr:from>
      <xdr:col>0</xdr:col>
      <xdr:colOff>76200</xdr:colOff>
      <xdr:row>23</xdr:row>
      <xdr:rowOff>66675</xdr:rowOff>
    </xdr:from>
    <xdr:to>
      <xdr:col>0</xdr:col>
      <xdr:colOff>781050</xdr:colOff>
      <xdr:row>34</xdr:row>
      <xdr:rowOff>38100</xdr:rowOff>
    </xdr:to>
    <xdr:sp>
      <xdr:nvSpPr>
        <xdr:cNvPr id="3" name="Text Box 12"/>
        <xdr:cNvSpPr txBox="1">
          <a:spLocks noChangeArrowheads="1"/>
        </xdr:cNvSpPr>
      </xdr:nvSpPr>
      <xdr:spPr>
        <a:xfrm>
          <a:off x="76200" y="4876800"/>
          <a:ext cx="704850" cy="21717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Entering an N in any row will zero out that row.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Y or N are not case sensative entries.</a:t>
          </a:r>
        </a:p>
      </xdr:txBody>
    </xdr:sp>
    <xdr:clientData/>
  </xdr:twoCellAnchor>
  <xdr:twoCellAnchor>
    <xdr:from>
      <xdr:col>36</xdr:col>
      <xdr:colOff>9525</xdr:colOff>
      <xdr:row>58</xdr:row>
      <xdr:rowOff>95250</xdr:rowOff>
    </xdr:from>
    <xdr:to>
      <xdr:col>41</xdr:col>
      <xdr:colOff>142875</xdr:colOff>
      <xdr:row>66</xdr:row>
      <xdr:rowOff>190500</xdr:rowOff>
    </xdr:to>
    <xdr:sp>
      <xdr:nvSpPr>
        <xdr:cNvPr id="4" name="Text Box 24"/>
        <xdr:cNvSpPr txBox="1">
          <a:spLocks noChangeArrowheads="1"/>
        </xdr:cNvSpPr>
      </xdr:nvSpPr>
      <xdr:spPr>
        <a:xfrm>
          <a:off x="27593925" y="11906250"/>
          <a:ext cx="4229100" cy="1714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 This table compares the allocations I have made for the operating expenses provided by Todd in a summary format to specific fields. These allocations were, for the most part based on per acre average costs.  Allocating costs based on average costs per acre does not account for the variation in fields and hence is inherently wrong. With detailed information, it is the best I can do.  Note that two expenses, Seed and Utilities were not allocated across all fields. These were allocated to the Marcot fields. My allocation, based on averages is $15,282 higher than the average expenses reported for 2003 and 2004.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46</xdr:row>
      <xdr:rowOff>19050</xdr:rowOff>
    </xdr:from>
    <xdr:to>
      <xdr:col>13</xdr:col>
      <xdr:colOff>1047750</xdr:colOff>
      <xdr:row>52</xdr:row>
      <xdr:rowOff>28575</xdr:rowOff>
    </xdr:to>
    <xdr:sp>
      <xdr:nvSpPr>
        <xdr:cNvPr id="1" name="Text Box 1"/>
        <xdr:cNvSpPr txBox="1">
          <a:spLocks noChangeArrowheads="1"/>
        </xdr:cNvSpPr>
      </xdr:nvSpPr>
      <xdr:spPr>
        <a:xfrm>
          <a:off x="7981950" y="8791575"/>
          <a:ext cx="6229350" cy="981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Enter changes to </a:t>
          </a:r>
          <a:r>
            <a:rPr lang="en-US" cap="none" sz="1100" b="0" i="0" u="none" baseline="0">
              <a:solidFill>
                <a:srgbClr val="FF0000"/>
              </a:solidFill>
              <a:latin typeface="Arial"/>
              <a:ea typeface="Arial"/>
              <a:cs typeface="Arial"/>
            </a:rPr>
            <a:t>income and expenses,</a:t>
          </a:r>
          <a:r>
            <a:rPr lang="en-US" cap="none" sz="1100" b="0" i="0" u="none" baseline="0">
              <a:solidFill>
                <a:srgbClr val="000000"/>
              </a:solidFill>
              <a:latin typeface="Arial"/>
              <a:ea typeface="Arial"/>
              <a:cs typeface="Arial"/>
            </a:rPr>
            <a:t> relative to the base, in rows 182
</a:t>
          </a:r>
          <a:r>
            <a:rPr lang="en-US" cap="none" sz="1100" b="0" i="0" u="none" baseline="0">
              <a:solidFill>
                <a:srgbClr val="000000"/>
              </a:solidFill>
              <a:latin typeface="Arial"/>
              <a:ea typeface="Arial"/>
              <a:cs typeface="Arial"/>
            </a:rPr>
            <a:t> and below.</a:t>
          </a:r>
        </a:p>
      </xdr:txBody>
    </xdr:sp>
    <xdr:clientData/>
  </xdr:twoCellAnchor>
  <xdr:twoCellAnchor>
    <xdr:from>
      <xdr:col>8</xdr:col>
      <xdr:colOff>133350</xdr:colOff>
      <xdr:row>33</xdr:row>
      <xdr:rowOff>57150</xdr:rowOff>
    </xdr:from>
    <xdr:to>
      <xdr:col>13</xdr:col>
      <xdr:colOff>942975</xdr:colOff>
      <xdr:row>37</xdr:row>
      <xdr:rowOff>47625</xdr:rowOff>
    </xdr:to>
    <xdr:sp>
      <xdr:nvSpPr>
        <xdr:cNvPr id="2" name="Text Box 2"/>
        <xdr:cNvSpPr txBox="1">
          <a:spLocks noChangeArrowheads="1"/>
        </xdr:cNvSpPr>
      </xdr:nvSpPr>
      <xdr:spPr>
        <a:xfrm>
          <a:off x="8010525" y="6372225"/>
          <a:ext cx="6096000" cy="638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100" b="0" i="0" u="none" baseline="0">
              <a:solidFill>
                <a:srgbClr val="000000"/>
              </a:solidFill>
              <a:latin typeface="Arial"/>
              <a:ea typeface="Arial"/>
              <a:cs typeface="Arial"/>
            </a:rPr>
            <a:t>Enter a number for each alternative used directly below in this analysis.  </a:t>
          </a:r>
          <a:r>
            <a:rPr lang="en-US" cap="none" sz="1100" b="0" i="0" u="none" baseline="0">
              <a:solidFill>
                <a:srgbClr val="FF0000"/>
              </a:solidFill>
              <a:latin typeface="Arial"/>
              <a:ea typeface="Arial"/>
              <a:cs typeface="Arial"/>
            </a:rPr>
            <a:t>If it is not used, enter a zero for the Alt. #.</a:t>
          </a:r>
          <a:r>
            <a:rPr lang="en-US" cap="none" sz="1100" b="0" i="0" u="none" baseline="0">
              <a:solidFill>
                <a:srgbClr val="000000"/>
              </a:solidFill>
              <a:latin typeface="Arial"/>
              <a:ea typeface="Arial"/>
              <a:cs typeface="Arial"/>
            </a:rPr>
            <a:t>  </a:t>
          </a:r>
          <a:r>
            <a:rPr lang="en-US" cap="none" sz="1100" b="1" i="0" u="none" baseline="0">
              <a:solidFill>
                <a:srgbClr val="FF0000"/>
              </a:solidFill>
              <a:latin typeface="Arial"/>
              <a:ea typeface="Arial"/>
              <a:cs typeface="Arial"/>
            </a:rPr>
            <a:t>You must enter a number</a:t>
          </a:r>
          <a:r>
            <a:rPr lang="en-US" cap="none" sz="1100" b="0" i="0" u="none" baseline="0">
              <a:solidFill>
                <a:srgbClr val="000000"/>
              </a:solidFill>
              <a:latin typeface="Arial"/>
              <a:ea typeface="Arial"/>
              <a:cs typeface="Arial"/>
            </a:rPr>
            <a:t>  for each alternative for which you wish to display results. </a:t>
          </a:r>
        </a:p>
      </xdr:txBody>
    </xdr:sp>
    <xdr:clientData/>
  </xdr:twoCellAnchor>
  <xdr:twoCellAnchor>
    <xdr:from>
      <xdr:col>8</xdr:col>
      <xdr:colOff>76200</xdr:colOff>
      <xdr:row>402</xdr:row>
      <xdr:rowOff>76200</xdr:rowOff>
    </xdr:from>
    <xdr:to>
      <xdr:col>13</xdr:col>
      <xdr:colOff>828675</xdr:colOff>
      <xdr:row>403</xdr:row>
      <xdr:rowOff>123825</xdr:rowOff>
    </xdr:to>
    <xdr:sp>
      <xdr:nvSpPr>
        <xdr:cNvPr id="3" name="Text Box 3"/>
        <xdr:cNvSpPr txBox="1">
          <a:spLocks noChangeArrowheads="1"/>
        </xdr:cNvSpPr>
      </xdr:nvSpPr>
      <xdr:spPr>
        <a:xfrm>
          <a:off x="7953375" y="69503925"/>
          <a:ext cx="6038850" cy="2095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The results for the alternatives show the effects of all changes relative to the base operation.</a:t>
          </a:r>
        </a:p>
      </xdr:txBody>
    </xdr:sp>
    <xdr:clientData/>
  </xdr:twoCellAnchor>
  <xdr:twoCellAnchor>
    <xdr:from>
      <xdr:col>1</xdr:col>
      <xdr:colOff>95250</xdr:colOff>
      <xdr:row>211</xdr:row>
      <xdr:rowOff>114300</xdr:rowOff>
    </xdr:from>
    <xdr:to>
      <xdr:col>7</xdr:col>
      <xdr:colOff>781050</xdr:colOff>
      <xdr:row>214</xdr:row>
      <xdr:rowOff>85725</xdr:rowOff>
    </xdr:to>
    <xdr:sp>
      <xdr:nvSpPr>
        <xdr:cNvPr id="4" name="Text Box 4"/>
        <xdr:cNvSpPr txBox="1">
          <a:spLocks noChangeArrowheads="1"/>
        </xdr:cNvSpPr>
      </xdr:nvSpPr>
      <xdr:spPr>
        <a:xfrm>
          <a:off x="790575" y="36252150"/>
          <a:ext cx="6810375" cy="638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Enter only income &amp; expense in the sections below, i.e. not cash inflows/outflows that are not an income or expense.  Those are entered elsewhere.  For each alternative, enter the </a:t>
          </a:r>
          <a:r>
            <a:rPr lang="en-US" cap="none" sz="1000" b="0" i="0" u="none" baseline="0">
              <a:solidFill>
                <a:srgbClr val="FF0000"/>
              </a:solidFill>
              <a:latin typeface="Arial"/>
              <a:ea typeface="Arial"/>
              <a:cs typeface="Arial"/>
            </a:rPr>
            <a:t>"changes relative to the base operation entered, not the total for the new alternative."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29</xdr:row>
      <xdr:rowOff>28575</xdr:rowOff>
    </xdr:from>
    <xdr:to>
      <xdr:col>12</xdr:col>
      <xdr:colOff>771525</xdr:colOff>
      <xdr:row>43</xdr:row>
      <xdr:rowOff>114300</xdr:rowOff>
    </xdr:to>
    <xdr:sp>
      <xdr:nvSpPr>
        <xdr:cNvPr id="1" name="Text Box 9"/>
        <xdr:cNvSpPr txBox="1">
          <a:spLocks noChangeArrowheads="1"/>
        </xdr:cNvSpPr>
      </xdr:nvSpPr>
      <xdr:spPr>
        <a:xfrm>
          <a:off x="6724650" y="5857875"/>
          <a:ext cx="3943350" cy="28860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The tables at left calculate the AUMs required based on the "metabolic requirement ratio" for </a:t>
          </a:r>
          <a:r>
            <a:rPr lang="en-US" cap="none" sz="1200" b="1" i="0" u="none" baseline="0">
              <a:solidFill>
                <a:srgbClr val="000000"/>
              </a:solidFill>
              <a:latin typeface="Arial"/>
              <a:ea typeface="Arial"/>
              <a:cs typeface="Arial"/>
            </a:rPr>
            <a:t>beef </a:t>
          </a:r>
          <a:r>
            <a:rPr lang="en-US" cap="none" sz="1200" b="0" i="0" u="none" baseline="0">
              <a:solidFill>
                <a:srgbClr val="000000"/>
              </a:solidFill>
              <a:latin typeface="Arial"/>
              <a:ea typeface="Arial"/>
              <a:cs typeface="Arial"/>
            </a:rPr>
            <a:t>livestock.  This ratio is calculated 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sng" baseline="0">
              <a:solidFill>
                <a:srgbClr val="000000"/>
              </a:solidFill>
              <a:latin typeface="Arial"/>
              <a:ea typeface="Arial"/>
              <a:cs typeface="Arial"/>
            </a:rPr>
            <a:t>  (Weight of animal)</a:t>
          </a:r>
          <a:r>
            <a:rPr lang="en-US" cap="none" sz="1100" b="0" i="0" u="sng" baseline="30000">
              <a:solidFill>
                <a:srgbClr val="000000"/>
              </a:solidFill>
              <a:latin typeface="Arial"/>
              <a:ea typeface="Arial"/>
              <a:cs typeface="Arial"/>
            </a:rPr>
            <a:t>.75</a:t>
          </a:r>
          <a:r>
            <a:rPr lang="en-US" cap="none" sz="1100" b="0" i="0" u="none" baseline="30000">
              <a:solidFill>
                <a:srgbClr val="000000"/>
              </a:solidFill>
              <a:latin typeface="Arial"/>
              <a:ea typeface="Arial"/>
              <a:cs typeface="Arial"/>
            </a:rPr>
            <a:t>
</a:t>
          </a:r>
          <a:r>
            <a:rPr lang="en-US" cap="none" sz="1100" b="0" i="0" u="none" baseline="30000">
              <a:solidFill>
                <a:srgbClr val="000000"/>
              </a:solidFill>
              <a:latin typeface="Arial"/>
              <a:ea typeface="Arial"/>
              <a:cs typeface="Arial"/>
            </a:rPr>
            <a:t>                                     </a:t>
          </a:r>
          <a:r>
            <a:rPr lang="en-US" cap="none" sz="1100" b="0" i="0" u="none" baseline="0">
              <a:solidFill>
                <a:srgbClr val="000000"/>
              </a:solidFill>
              <a:latin typeface="Arial"/>
              <a:ea typeface="Arial"/>
              <a:cs typeface="Arial"/>
            </a:rPr>
            <a:t> (1000)</a:t>
          </a:r>
          <a:r>
            <a:rPr lang="en-US" cap="none" sz="1100" b="0" i="0" u="none" baseline="30000">
              <a:solidFill>
                <a:srgbClr val="000000"/>
              </a:solidFill>
              <a:latin typeface="Arial"/>
              <a:ea typeface="Arial"/>
              <a:cs typeface="Arial"/>
            </a:rPr>
            <a:t>.75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Example:    </a:t>
          </a:r>
          <a:r>
            <a:rPr lang="en-US" cap="none" sz="1100" b="0" i="0" u="sng" baseline="0">
              <a:solidFill>
                <a:srgbClr val="000000"/>
              </a:solidFill>
              <a:latin typeface="Arial"/>
              <a:ea typeface="Arial"/>
              <a:cs typeface="Arial"/>
            </a:rPr>
            <a:t> (1000 lb cow)</a:t>
          </a:r>
          <a:r>
            <a:rPr lang="en-US" cap="none" sz="1100" b="0" i="0" u="sng" baseline="30000">
              <a:solidFill>
                <a:srgbClr val="000000"/>
              </a:solidFill>
              <a:latin typeface="Arial"/>
              <a:ea typeface="Arial"/>
              <a:cs typeface="Arial"/>
            </a:rPr>
            <a:t>.75</a:t>
          </a:r>
          <a:r>
            <a:rPr lang="en-US" cap="none" sz="1100" b="0" i="0" u="none" baseline="0">
              <a:solidFill>
                <a:srgbClr val="000000"/>
              </a:solidFill>
              <a:latin typeface="Arial"/>
              <a:ea typeface="Arial"/>
              <a:cs typeface="Arial"/>
            </a:rPr>
            <a:t>          = 1.0  AUM
</a:t>
          </a:r>
          <a:r>
            <a:rPr lang="en-US" cap="none" sz="1100" b="0" i="0" u="none" baseline="0">
              <a:solidFill>
                <a:srgbClr val="000000"/>
              </a:solidFill>
              <a:latin typeface="Arial"/>
              <a:ea typeface="Arial"/>
              <a:cs typeface="Arial"/>
            </a:rPr>
            <a:t>                            (1000)</a:t>
          </a:r>
          <a:r>
            <a:rPr lang="en-US" cap="none" sz="1100" b="0" i="0" u="none" baseline="30000">
              <a:solidFill>
                <a:srgbClr val="000000"/>
              </a:solidFill>
              <a:latin typeface="Arial"/>
              <a:ea typeface="Arial"/>
              <a:cs typeface="Arial"/>
            </a:rPr>
            <a:t>.75
</a:t>
          </a:r>
          <a:r>
            <a:rPr lang="en-US" cap="none" sz="1100" b="0" i="0" u="none" baseline="30000">
              <a:solidFill>
                <a:srgbClr val="000000"/>
              </a:solidFill>
              <a:latin typeface="Arial"/>
              <a:ea typeface="Arial"/>
              <a:cs typeface="Arial"/>
            </a:rPr>
            <a:t>
</a:t>
          </a:r>
          <a:r>
            <a:rPr lang="en-US" cap="none" sz="1100" b="0" i="0" u="none" baseline="0">
              <a:solidFill>
                <a:srgbClr val="000000"/>
              </a:solidFill>
              <a:latin typeface="Arial"/>
              <a:ea typeface="Arial"/>
              <a:cs typeface="Arial"/>
            </a:rPr>
            <a:t>See Extension Bulletin EB 101, </a:t>
          </a:r>
          <a:r>
            <a:rPr lang="en-US" cap="none" sz="1100" b="0" i="1" u="none" baseline="0">
              <a:solidFill>
                <a:srgbClr val="000000"/>
              </a:solidFill>
              <a:latin typeface="Arial"/>
              <a:ea typeface="Arial"/>
              <a:cs typeface="Arial"/>
            </a:rPr>
            <a:t>A Guide for Planning, Analyzing and Balancing Livestock Forage Supplies with Livstock Demand </a:t>
          </a:r>
          <a:r>
            <a:rPr lang="en-US" cap="none" sz="1100" b="1" i="0" u="none" baseline="0">
              <a:solidFill>
                <a:srgbClr val="000000"/>
              </a:solidFill>
              <a:latin typeface="Arial"/>
              <a:ea typeface="Arial"/>
              <a:cs typeface="Arial"/>
            </a:rPr>
            <a:t>and the AUMFactors tab in this worksheet.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montana.edu/extensionecon/softwaredownloads.html"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2"/>
  <dimension ref="A1:A1"/>
  <sheetViews>
    <sheetView showGridLines="0" zoomScale="80" zoomScaleNormal="80" zoomScalePageLayoutView="0" workbookViewId="0" topLeftCell="A1">
      <selection activeCell="B16" sqref="B16"/>
    </sheetView>
  </sheetViews>
  <sheetFormatPr defaultColWidth="10.28125" defaultRowHeight="12.75"/>
  <cols>
    <col min="2" max="2" width="42.140625" style="0" customWidth="1"/>
    <col min="4" max="4" width="11.28125" style="0" bestFit="1" customWidth="1"/>
    <col min="5" max="5" width="12.140625" style="0" customWidth="1"/>
    <col min="6" max="6" width="11.421875" style="0" bestFit="1" customWidth="1"/>
    <col min="7" max="7" width="11.28125" style="0" bestFit="1" customWidth="1"/>
    <col min="8" max="8" width="12.00390625" style="0" customWidth="1"/>
  </cols>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dimension ref="A1:CA197"/>
  <sheetViews>
    <sheetView showGridLines="0" zoomScale="75" zoomScaleNormal="75" zoomScalePageLayoutView="0" workbookViewId="0" topLeftCell="A1">
      <selection activeCell="A1" sqref="A1"/>
    </sheetView>
  </sheetViews>
  <sheetFormatPr defaultColWidth="10.28125" defaultRowHeight="12.75" outlineLevelCol="1"/>
  <cols>
    <col min="1" max="1" width="11.8515625" style="95" customWidth="1"/>
    <col min="2" max="2" width="8.421875" style="95" customWidth="1"/>
    <col min="3" max="3" width="4.140625" style="95" customWidth="1"/>
    <col min="4" max="4" width="15.421875" style="95" customWidth="1"/>
    <col min="5" max="5" width="8.00390625" style="95" customWidth="1"/>
    <col min="6" max="6" width="13.7109375" style="95" customWidth="1"/>
    <col min="7" max="7" width="12.421875" style="95" customWidth="1"/>
    <col min="8" max="8" width="13.140625" style="95" customWidth="1"/>
    <col min="9" max="9" width="11.421875" style="95" customWidth="1"/>
    <col min="10" max="10" width="12.140625" style="95" customWidth="1"/>
    <col min="11" max="12" width="11.8515625" style="95" customWidth="1"/>
    <col min="13" max="13" width="12.00390625" style="95" customWidth="1"/>
    <col min="14" max="14" width="10.28125" style="95" customWidth="1"/>
    <col min="15" max="15" width="12.7109375" style="95" customWidth="1" outlineLevel="1"/>
    <col min="16" max="16" width="10.28125" style="95" customWidth="1" outlineLevel="1"/>
    <col min="17" max="17" width="13.57421875" style="95" customWidth="1" outlineLevel="1"/>
    <col min="18" max="20" width="11.421875" style="95" customWidth="1" outlineLevel="1"/>
    <col min="21" max="21" width="13.421875" style="95" customWidth="1" outlineLevel="1"/>
    <col min="22" max="22" width="12.421875" style="95" customWidth="1" outlineLevel="1"/>
    <col min="23" max="23" width="10.28125" style="95" customWidth="1" outlineLevel="1"/>
    <col min="24" max="24" width="12.57421875" style="95" customWidth="1" outlineLevel="1"/>
    <col min="25" max="25" width="12.00390625" style="95" customWidth="1" outlineLevel="1"/>
    <col min="26" max="26" width="10.8515625" style="95" customWidth="1" outlineLevel="1"/>
    <col min="27" max="27" width="12.28125" style="95" customWidth="1" outlineLevel="1"/>
    <col min="28" max="28" width="4.00390625" style="95" customWidth="1"/>
    <col min="29" max="46" width="12.28125" style="95" customWidth="1" outlineLevel="1"/>
    <col min="47" max="47" width="4.421875" style="217" customWidth="1" outlineLevel="1"/>
    <col min="48" max="51" width="12.28125" style="95" customWidth="1"/>
    <col min="52" max="52" width="3.57421875" style="215" customWidth="1"/>
    <col min="53" max="59" width="12.28125" style="95" customWidth="1" outlineLevel="1"/>
    <col min="60" max="60" width="13.7109375" style="95" customWidth="1" outlineLevel="1"/>
    <col min="61" max="61" width="12.28125" style="95" customWidth="1" outlineLevel="1"/>
    <col min="62" max="62" width="13.57421875" style="95" customWidth="1" outlineLevel="1"/>
    <col min="63" max="63" width="12.28125" style="95" customWidth="1" outlineLevel="1"/>
    <col min="64" max="64" width="13.421875" style="95" customWidth="1" outlineLevel="1"/>
    <col min="65" max="65" width="3.7109375" style="95" customWidth="1" outlineLevel="1"/>
    <col min="66" max="66" width="11.57421875" style="95" customWidth="1"/>
    <col min="67" max="67" width="12.57421875" style="95" customWidth="1"/>
    <col min="68" max="68" width="12.8515625" style="95" customWidth="1"/>
    <col min="69" max="69" width="13.7109375" style="95" customWidth="1"/>
    <col min="70" max="16384" width="10.28125" style="95" customWidth="1"/>
  </cols>
  <sheetData>
    <row r="1" spans="1:79" ht="15.75">
      <c r="A1"/>
      <c r="B1"/>
      <c r="C1"/>
      <c r="D1"/>
      <c r="E1"/>
      <c r="F1"/>
      <c r="G1"/>
      <c r="H1"/>
      <c r="I1"/>
      <c r="J1"/>
      <c r="K1"/>
      <c r="L1"/>
      <c r="M1"/>
      <c r="N1"/>
      <c r="O1"/>
      <c r="P1"/>
      <c r="Q1"/>
      <c r="R1"/>
      <c r="S1"/>
      <c r="T1"/>
      <c r="U1"/>
      <c r="V1"/>
      <c r="W1"/>
      <c r="X1"/>
      <c r="Y1"/>
      <c r="Z1"/>
      <c r="AA1"/>
      <c r="AB1"/>
      <c r="AC1"/>
      <c r="AD1"/>
      <c r="AE1"/>
      <c r="AF1"/>
      <c r="AG1"/>
      <c r="AH1"/>
      <c r="AI1" t="s">
        <v>140</v>
      </c>
      <c r="AJ1"/>
      <c r="AK1"/>
      <c r="AL1"/>
      <c r="AM1"/>
      <c r="AN1"/>
      <c r="AO1"/>
      <c r="AP1"/>
      <c r="AQ1"/>
      <c r="AR1"/>
      <c r="AS1"/>
      <c r="AT1"/>
      <c r="AU1" s="129"/>
      <c r="AV1"/>
      <c r="AW1"/>
      <c r="AX1"/>
      <c r="AY1"/>
      <c r="AZ1" s="2"/>
      <c r="BA1"/>
      <c r="BB1"/>
      <c r="BC1"/>
      <c r="BD1"/>
      <c r="BE1"/>
      <c r="BF1"/>
      <c r="BG1"/>
      <c r="BH1"/>
      <c r="BI1"/>
      <c r="BJ1"/>
      <c r="BK1"/>
      <c r="BL1"/>
      <c r="BM1"/>
      <c r="BN1"/>
      <c r="BO1"/>
      <c r="BP1"/>
      <c r="BQ1"/>
      <c r="BR1"/>
      <c r="BS1"/>
      <c r="BT1"/>
      <c r="BU1"/>
      <c r="BV1"/>
      <c r="BW1"/>
      <c r="BX1"/>
      <c r="BY1"/>
      <c r="BZ1"/>
      <c r="CA1"/>
    </row>
    <row r="2" spans="1:79" ht="15.75">
      <c r="A2"/>
      <c r="B2"/>
      <c r="C2"/>
      <c r="D2"/>
      <c r="E2"/>
      <c r="F2"/>
      <c r="G2"/>
      <c r="H2"/>
      <c r="I2"/>
      <c r="J2" t="s">
        <v>141</v>
      </c>
      <c r="M2"/>
      <c r="N2"/>
      <c r="O2" s="225">
        <v>0</v>
      </c>
      <c r="P2"/>
      <c r="Q2"/>
      <c r="R2"/>
      <c r="S2"/>
      <c r="T2"/>
      <c r="U2"/>
      <c r="V2"/>
      <c r="W2"/>
      <c r="X2"/>
      <c r="Y2"/>
      <c r="Z2"/>
      <c r="AA2"/>
      <c r="AB2"/>
      <c r="AC2"/>
      <c r="AD2"/>
      <c r="AE2"/>
      <c r="AF2" s="97">
        <v>2003</v>
      </c>
      <c r="AG2" s="97">
        <v>2004</v>
      </c>
      <c r="AH2" t="s">
        <v>142</v>
      </c>
      <c r="AI2" t="s">
        <v>143</v>
      </c>
      <c r="AJ2"/>
      <c r="AK2"/>
      <c r="AL2"/>
      <c r="AM2"/>
      <c r="AN2"/>
      <c r="AO2"/>
      <c r="AP2"/>
      <c r="AQ2"/>
      <c r="AR2"/>
      <c r="AS2"/>
      <c r="AT2"/>
      <c r="AU2" s="129"/>
      <c r="AV2"/>
      <c r="AW2"/>
      <c r="AX2"/>
      <c r="AY2"/>
      <c r="AZ2" s="2"/>
      <c r="BA2"/>
      <c r="BB2"/>
      <c r="BC2"/>
      <c r="BD2"/>
      <c r="BE2"/>
      <c r="BF2"/>
      <c r="BG2"/>
      <c r="BH2"/>
      <c r="BI2"/>
      <c r="BJ2"/>
      <c r="BK2"/>
      <c r="BL2"/>
      <c r="BM2"/>
      <c r="BN2"/>
      <c r="BO2"/>
      <c r="BP2"/>
      <c r="BQ2"/>
      <c r="BR2"/>
      <c r="BS2"/>
      <c r="BT2"/>
      <c r="BU2"/>
      <c r="BV2"/>
      <c r="BW2"/>
      <c r="BX2"/>
      <c r="BY2"/>
      <c r="BZ2"/>
      <c r="CA2"/>
    </row>
    <row r="3" spans="1:79" ht="15.75">
      <c r="A3"/>
      <c r="B3"/>
      <c r="C3"/>
      <c r="D3"/>
      <c r="E3"/>
      <c r="F3"/>
      <c r="G3"/>
      <c r="H3"/>
      <c r="I3"/>
      <c r="J3" t="s">
        <v>144</v>
      </c>
      <c r="M3"/>
      <c r="N3"/>
      <c r="O3" s="226">
        <v>0</v>
      </c>
      <c r="P3"/>
      <c r="Q3"/>
      <c r="R3"/>
      <c r="S3"/>
      <c r="T3"/>
      <c r="U3"/>
      <c r="V3"/>
      <c r="W3"/>
      <c r="X3"/>
      <c r="Y3"/>
      <c r="Z3"/>
      <c r="AA3"/>
      <c r="AB3"/>
      <c r="AC3"/>
      <c r="AD3" t="s">
        <v>145</v>
      </c>
      <c r="AE3"/>
      <c r="AF3" s="98"/>
      <c r="AG3" s="98"/>
      <c r="AH3" s="99">
        <f>(AF3+AG3)/2</f>
        <v>0</v>
      </c>
      <c r="AI3" s="100">
        <f aca="true" t="shared" si="0" ref="AI3:AI11">AH3/$O$6</f>
        <v>0</v>
      </c>
      <c r="AJ3"/>
      <c r="AK3"/>
      <c r="AL3"/>
      <c r="AM3"/>
      <c r="AN3"/>
      <c r="AO3"/>
      <c r="AP3"/>
      <c r="AQ3"/>
      <c r="AR3"/>
      <c r="AS3"/>
      <c r="AT3"/>
      <c r="AU3" s="129"/>
      <c r="AV3"/>
      <c r="AW3"/>
      <c r="AX3"/>
      <c r="AY3"/>
      <c r="AZ3" s="2"/>
      <c r="BA3"/>
      <c r="BB3"/>
      <c r="BC3"/>
      <c r="BD3"/>
      <c r="BE3"/>
      <c r="BF3"/>
      <c r="BG3"/>
      <c r="BH3"/>
      <c r="BI3"/>
      <c r="BJ3"/>
      <c r="BK3"/>
      <c r="BL3"/>
      <c r="BM3"/>
      <c r="BN3"/>
      <c r="BO3"/>
      <c r="BP3"/>
      <c r="BQ3"/>
      <c r="BR3"/>
      <c r="BS3"/>
      <c r="BT3"/>
      <c r="BU3"/>
      <c r="BV3"/>
      <c r="BW3"/>
      <c r="BX3"/>
      <c r="BY3"/>
      <c r="BZ3"/>
      <c r="CA3"/>
    </row>
    <row r="4" spans="1:79" ht="15.75">
      <c r="A4"/>
      <c r="B4"/>
      <c r="C4"/>
      <c r="D4"/>
      <c r="E4"/>
      <c r="F4"/>
      <c r="G4"/>
      <c r="H4"/>
      <c r="I4"/>
      <c r="J4" t="s">
        <v>146</v>
      </c>
      <c r="M4"/>
      <c r="N4"/>
      <c r="O4" s="227">
        <v>0.3</v>
      </c>
      <c r="P4"/>
      <c r="Q4"/>
      <c r="R4"/>
      <c r="S4"/>
      <c r="T4"/>
      <c r="U4"/>
      <c r="V4"/>
      <c r="W4"/>
      <c r="X4"/>
      <c r="Y4"/>
      <c r="Z4"/>
      <c r="AA4"/>
      <c r="AB4"/>
      <c r="AC4"/>
      <c r="AD4" t="s">
        <v>147</v>
      </c>
      <c r="AE4"/>
      <c r="AF4" s="98"/>
      <c r="AG4" s="98"/>
      <c r="AH4" s="99">
        <f aca="true" t="shared" si="1" ref="AH4:AH11">(AF4+AG4)/2</f>
        <v>0</v>
      </c>
      <c r="AI4" s="100">
        <f t="shared" si="0"/>
        <v>0</v>
      </c>
      <c r="AJ4"/>
      <c r="AK4"/>
      <c r="AL4"/>
      <c r="AM4"/>
      <c r="AN4"/>
      <c r="AO4"/>
      <c r="AP4"/>
      <c r="AQ4"/>
      <c r="AR4"/>
      <c r="AS4"/>
      <c r="AT4"/>
      <c r="AU4" s="129"/>
      <c r="AV4"/>
      <c r="AW4"/>
      <c r="AX4"/>
      <c r="AY4"/>
      <c r="AZ4" s="2"/>
      <c r="BA4"/>
      <c r="BB4"/>
      <c r="BC4"/>
      <c r="BD4"/>
      <c r="BE4"/>
      <c r="BF4"/>
      <c r="BG4"/>
      <c r="BH4"/>
      <c r="BI4"/>
      <c r="BJ4"/>
      <c r="BK4"/>
      <c r="BL4"/>
      <c r="BM4"/>
      <c r="BN4"/>
      <c r="BO4"/>
      <c r="BP4"/>
      <c r="BQ4"/>
      <c r="BR4"/>
      <c r="BS4"/>
      <c r="BT4"/>
      <c r="BU4"/>
      <c r="BV4"/>
      <c r="BW4"/>
      <c r="BX4"/>
      <c r="BY4"/>
      <c r="BZ4"/>
      <c r="CA4"/>
    </row>
    <row r="5" spans="1:79" ht="15.75">
      <c r="A5"/>
      <c r="B5"/>
      <c r="C5"/>
      <c r="D5"/>
      <c r="E5"/>
      <c r="F5"/>
      <c r="G5"/>
      <c r="H5"/>
      <c r="I5"/>
      <c r="J5" t="s">
        <v>148</v>
      </c>
      <c r="M5" s="1"/>
      <c r="N5" s="1"/>
      <c r="O5" s="227">
        <v>2.25</v>
      </c>
      <c r="P5"/>
      <c r="Q5"/>
      <c r="R5"/>
      <c r="S5"/>
      <c r="T5"/>
      <c r="U5"/>
      <c r="V5"/>
      <c r="W5"/>
      <c r="X5"/>
      <c r="Y5"/>
      <c r="Z5"/>
      <c r="AA5"/>
      <c r="AB5"/>
      <c r="AC5"/>
      <c r="AD5" t="s">
        <v>149</v>
      </c>
      <c r="AE5"/>
      <c r="AF5" s="98"/>
      <c r="AG5" s="98"/>
      <c r="AH5" s="99">
        <f t="shared" si="1"/>
        <v>0</v>
      </c>
      <c r="AI5" s="100">
        <f t="shared" si="0"/>
        <v>0</v>
      </c>
      <c r="AJ5"/>
      <c r="AK5"/>
      <c r="AL5"/>
      <c r="AM5"/>
      <c r="AN5"/>
      <c r="AO5"/>
      <c r="AP5"/>
      <c r="AQ5"/>
      <c r="AR5"/>
      <c r="AS5"/>
      <c r="AT5"/>
      <c r="AU5" s="129"/>
      <c r="AV5"/>
      <c r="AW5"/>
      <c r="AX5"/>
      <c r="AY5"/>
      <c r="AZ5" s="2"/>
      <c r="BA5"/>
      <c r="BB5"/>
      <c r="BC5"/>
      <c r="BD5"/>
      <c r="BE5"/>
      <c r="BF5"/>
      <c r="BG5"/>
      <c r="BH5"/>
      <c r="BI5"/>
      <c r="BJ5"/>
      <c r="BK5"/>
      <c r="BL5"/>
      <c r="BM5"/>
      <c r="BN5"/>
      <c r="BO5"/>
      <c r="BP5"/>
      <c r="BQ5"/>
      <c r="BR5"/>
      <c r="BS5"/>
      <c r="BT5"/>
      <c r="BU5"/>
      <c r="BV5"/>
      <c r="BW5"/>
      <c r="BX5"/>
      <c r="BY5"/>
      <c r="BZ5"/>
      <c r="CA5"/>
    </row>
    <row r="6" spans="1:79" ht="15.75">
      <c r="A6"/>
      <c r="B6"/>
      <c r="C6"/>
      <c r="D6"/>
      <c r="E6"/>
      <c r="F6"/>
      <c r="G6"/>
      <c r="H6"/>
      <c r="I6"/>
      <c r="J6" t="s">
        <v>150</v>
      </c>
      <c r="M6"/>
      <c r="N6"/>
      <c r="O6" s="228">
        <v>1400</v>
      </c>
      <c r="P6"/>
      <c r="Q6"/>
      <c r="R6"/>
      <c r="S6"/>
      <c r="T6"/>
      <c r="U6"/>
      <c r="V6"/>
      <c r="W6"/>
      <c r="X6"/>
      <c r="Y6"/>
      <c r="Z6"/>
      <c r="AA6"/>
      <c r="AB6"/>
      <c r="AC6"/>
      <c r="AD6" t="s">
        <v>151</v>
      </c>
      <c r="AE6"/>
      <c r="AF6" s="98"/>
      <c r="AG6" s="98"/>
      <c r="AH6" s="99">
        <f t="shared" si="1"/>
        <v>0</v>
      </c>
      <c r="AI6" s="100">
        <f t="shared" si="0"/>
        <v>0</v>
      </c>
      <c r="AJ6"/>
      <c r="AK6"/>
      <c r="AL6"/>
      <c r="AM6"/>
      <c r="AN6"/>
      <c r="AO6"/>
      <c r="AP6"/>
      <c r="AQ6"/>
      <c r="AR6"/>
      <c r="AS6"/>
      <c r="AT6"/>
      <c r="AU6" s="129"/>
      <c r="AV6"/>
      <c r="AW6"/>
      <c r="AX6"/>
      <c r="AY6"/>
      <c r="AZ6" s="2"/>
      <c r="BA6"/>
      <c r="BB6"/>
      <c r="BC6"/>
      <c r="BD6"/>
      <c r="BE6"/>
      <c r="BF6"/>
      <c r="BG6"/>
      <c r="BH6"/>
      <c r="BI6"/>
      <c r="BJ6"/>
      <c r="BK6"/>
      <c r="BL6"/>
      <c r="BM6"/>
      <c r="BN6"/>
      <c r="BO6"/>
      <c r="BP6"/>
      <c r="BQ6"/>
      <c r="BR6"/>
      <c r="BS6"/>
      <c r="BT6"/>
      <c r="BU6"/>
      <c r="BV6"/>
      <c r="BW6"/>
      <c r="BX6"/>
      <c r="BY6"/>
      <c r="BZ6"/>
      <c r="CA6"/>
    </row>
    <row r="7" spans="1:79" ht="15.75">
      <c r="A7"/>
      <c r="B7"/>
      <c r="C7"/>
      <c r="D7"/>
      <c r="E7"/>
      <c r="F7"/>
      <c r="G7"/>
      <c r="H7"/>
      <c r="I7"/>
      <c r="J7" t="s">
        <v>364</v>
      </c>
      <c r="M7"/>
      <c r="N7"/>
      <c r="O7" s="227">
        <v>25</v>
      </c>
      <c r="P7"/>
      <c r="Q7"/>
      <c r="R7"/>
      <c r="S7"/>
      <c r="T7"/>
      <c r="U7"/>
      <c r="V7"/>
      <c r="W7"/>
      <c r="X7"/>
      <c r="Y7"/>
      <c r="Z7"/>
      <c r="AA7"/>
      <c r="AB7"/>
      <c r="AC7"/>
      <c r="AD7" t="s">
        <v>152</v>
      </c>
      <c r="AE7"/>
      <c r="AF7" s="98"/>
      <c r="AG7" s="98"/>
      <c r="AH7" s="99">
        <f t="shared" si="1"/>
        <v>0</v>
      </c>
      <c r="AI7" s="100">
        <f t="shared" si="0"/>
        <v>0</v>
      </c>
      <c r="AJ7"/>
      <c r="AK7"/>
      <c r="AL7"/>
      <c r="AM7"/>
      <c r="AN7"/>
      <c r="AO7"/>
      <c r="AP7"/>
      <c r="AQ7"/>
      <c r="AR7"/>
      <c r="AS7"/>
      <c r="AT7"/>
      <c r="AU7" s="129"/>
      <c r="AV7"/>
      <c r="AW7"/>
      <c r="AX7"/>
      <c r="AY7"/>
      <c r="AZ7" s="2"/>
      <c r="BA7"/>
      <c r="BB7"/>
      <c r="BC7"/>
      <c r="BD7"/>
      <c r="BE7"/>
      <c r="BF7"/>
      <c r="BG7"/>
      <c r="BH7"/>
      <c r="BI7"/>
      <c r="BJ7"/>
      <c r="BK7"/>
      <c r="BL7"/>
      <c r="BM7"/>
      <c r="BN7"/>
      <c r="BO7"/>
      <c r="BP7"/>
      <c r="BQ7"/>
      <c r="BR7"/>
      <c r="BS7"/>
      <c r="BT7"/>
      <c r="BU7"/>
      <c r="BV7"/>
      <c r="BW7"/>
      <c r="BX7"/>
      <c r="BY7"/>
      <c r="BZ7"/>
      <c r="CA7"/>
    </row>
    <row r="8" spans="1:79" ht="15.75">
      <c r="A8"/>
      <c r="B8"/>
      <c r="C8"/>
      <c r="D8"/>
      <c r="E8"/>
      <c r="F8"/>
      <c r="G8"/>
      <c r="H8"/>
      <c r="I8"/>
      <c r="J8" t="s">
        <v>331</v>
      </c>
      <c r="K8"/>
      <c r="L8"/>
      <c r="M8"/>
      <c r="N8"/>
      <c r="O8" s="229">
        <v>0.2</v>
      </c>
      <c r="P8"/>
      <c r="Q8"/>
      <c r="R8"/>
      <c r="S8"/>
      <c r="T8"/>
      <c r="U8"/>
      <c r="V8"/>
      <c r="W8"/>
      <c r="X8"/>
      <c r="Y8"/>
      <c r="Z8"/>
      <c r="AA8"/>
      <c r="AB8"/>
      <c r="AC8"/>
      <c r="AD8" t="s">
        <v>76</v>
      </c>
      <c r="AE8"/>
      <c r="AF8" s="98"/>
      <c r="AG8" s="98"/>
      <c r="AH8" s="99">
        <f t="shared" si="1"/>
        <v>0</v>
      </c>
      <c r="AI8" s="100">
        <f t="shared" si="0"/>
        <v>0</v>
      </c>
      <c r="AJ8"/>
      <c r="AK8"/>
      <c r="AL8"/>
      <c r="AM8"/>
      <c r="AN8"/>
      <c r="AO8"/>
      <c r="AP8"/>
      <c r="AQ8"/>
      <c r="AR8"/>
      <c r="AS8"/>
      <c r="AT8"/>
      <c r="AU8" s="129"/>
      <c r="AV8"/>
      <c r="AW8"/>
      <c r="AX8"/>
      <c r="AY8"/>
      <c r="AZ8" s="2"/>
      <c r="BA8"/>
      <c r="BB8"/>
      <c r="BC8"/>
      <c r="BD8"/>
      <c r="BE8"/>
      <c r="BF8"/>
      <c r="BG8"/>
      <c r="BH8"/>
      <c r="BI8"/>
      <c r="BJ8"/>
      <c r="BK8"/>
      <c r="BL8"/>
      <c r="BM8"/>
      <c r="BN8"/>
      <c r="BO8"/>
      <c r="BP8"/>
      <c r="BQ8"/>
      <c r="BR8"/>
      <c r="BS8"/>
      <c r="BT8"/>
      <c r="BU8"/>
      <c r="BV8"/>
      <c r="BW8"/>
      <c r="BX8"/>
      <c r="BY8"/>
      <c r="BZ8"/>
      <c r="CA8"/>
    </row>
    <row r="9" spans="1:79" ht="15.75">
      <c r="A9"/>
      <c r="B9"/>
      <c r="C9"/>
      <c r="D9"/>
      <c r="E9"/>
      <c r="F9"/>
      <c r="G9"/>
      <c r="H9"/>
      <c r="I9"/>
      <c r="J9"/>
      <c r="K9"/>
      <c r="L9"/>
      <c r="M9"/>
      <c r="N9"/>
      <c r="O9"/>
      <c r="P9"/>
      <c r="Q9"/>
      <c r="R9"/>
      <c r="S9"/>
      <c r="T9"/>
      <c r="U9"/>
      <c r="V9"/>
      <c r="W9"/>
      <c r="X9"/>
      <c r="Y9"/>
      <c r="Z9"/>
      <c r="AA9"/>
      <c r="AB9"/>
      <c r="AC9"/>
      <c r="AD9" t="s">
        <v>75</v>
      </c>
      <c r="AE9"/>
      <c r="AF9" s="98"/>
      <c r="AG9" s="98"/>
      <c r="AH9" s="99">
        <f t="shared" si="1"/>
        <v>0</v>
      </c>
      <c r="AI9" s="100">
        <f t="shared" si="0"/>
        <v>0</v>
      </c>
      <c r="AJ9"/>
      <c r="AK9"/>
      <c r="AL9"/>
      <c r="AM9"/>
      <c r="AN9"/>
      <c r="AO9"/>
      <c r="AP9"/>
      <c r="AQ9"/>
      <c r="AR9"/>
      <c r="AS9"/>
      <c r="AT9"/>
      <c r="AU9" s="129"/>
      <c r="AV9"/>
      <c r="AW9"/>
      <c r="AX9"/>
      <c r="AY9"/>
      <c r="AZ9" s="2"/>
      <c r="BA9"/>
      <c r="BB9"/>
      <c r="BC9"/>
      <c r="BD9"/>
      <c r="BE9"/>
      <c r="BF9"/>
      <c r="BG9"/>
      <c r="BH9"/>
      <c r="BI9"/>
      <c r="BJ9"/>
      <c r="BK9"/>
      <c r="BL9"/>
      <c r="BM9"/>
      <c r="BN9"/>
      <c r="BO9"/>
      <c r="BP9"/>
      <c r="BQ9"/>
      <c r="BR9"/>
      <c r="BS9"/>
      <c r="BT9"/>
      <c r="BU9"/>
      <c r="BV9"/>
      <c r="BW9"/>
      <c r="BX9"/>
      <c r="BY9"/>
      <c r="BZ9"/>
      <c r="CA9"/>
    </row>
    <row r="10" spans="1:79" ht="15.75">
      <c r="A10"/>
      <c r="B10"/>
      <c r="C10"/>
      <c r="D10"/>
      <c r="E10"/>
      <c r="F10"/>
      <c r="G10"/>
      <c r="H10"/>
      <c r="I10"/>
      <c r="J10"/>
      <c r="K10"/>
      <c r="L10"/>
      <c r="M10"/>
      <c r="N10"/>
      <c r="O10"/>
      <c r="P10"/>
      <c r="Q10"/>
      <c r="R10"/>
      <c r="S10"/>
      <c r="T10"/>
      <c r="U10"/>
      <c r="V10"/>
      <c r="W10"/>
      <c r="X10"/>
      <c r="Y10"/>
      <c r="Z10"/>
      <c r="AA10"/>
      <c r="AB10"/>
      <c r="AC10"/>
      <c r="AD10" t="s">
        <v>153</v>
      </c>
      <c r="AE10"/>
      <c r="AF10" s="98"/>
      <c r="AG10" s="98"/>
      <c r="AH10" s="99">
        <f t="shared" si="1"/>
        <v>0</v>
      </c>
      <c r="AI10" s="100">
        <f t="shared" si="0"/>
        <v>0</v>
      </c>
      <c r="AJ10"/>
      <c r="AK10"/>
      <c r="AL10"/>
      <c r="AM10"/>
      <c r="AN10"/>
      <c r="AO10"/>
      <c r="AP10"/>
      <c r="AQ10"/>
      <c r="AR10"/>
      <c r="AS10"/>
      <c r="AT10"/>
      <c r="AU10" s="129"/>
      <c r="AV10"/>
      <c r="AW10"/>
      <c r="AX10"/>
      <c r="AY10"/>
      <c r="AZ10" s="2"/>
      <c r="BA10"/>
      <c r="BB10"/>
      <c r="BC10"/>
      <c r="BD10"/>
      <c r="BE10"/>
      <c r="BF10"/>
      <c r="BG10"/>
      <c r="BH10"/>
      <c r="BI10"/>
      <c r="BJ10"/>
      <c r="BK10"/>
      <c r="BL10"/>
      <c r="BM10"/>
      <c r="BN10"/>
      <c r="BO10"/>
      <c r="BP10"/>
      <c r="BQ10"/>
      <c r="BR10"/>
      <c r="BS10"/>
      <c r="BT10"/>
      <c r="BU10"/>
      <c r="BV10"/>
      <c r="BW10"/>
      <c r="BX10"/>
      <c r="BY10"/>
      <c r="BZ10"/>
      <c r="CA10"/>
    </row>
    <row r="11" spans="1:79" ht="15.75">
      <c r="A11"/>
      <c r="B11"/>
      <c r="C11"/>
      <c r="D11"/>
      <c r="E11"/>
      <c r="F11"/>
      <c r="G11"/>
      <c r="H11"/>
      <c r="I11"/>
      <c r="J11"/>
      <c r="K11"/>
      <c r="L11"/>
      <c r="M11"/>
      <c r="N11"/>
      <c r="O11"/>
      <c r="P11"/>
      <c r="Q11"/>
      <c r="R11"/>
      <c r="S11"/>
      <c r="T11"/>
      <c r="U11"/>
      <c r="V11"/>
      <c r="W11"/>
      <c r="X11"/>
      <c r="Y11"/>
      <c r="Z11"/>
      <c r="AA11"/>
      <c r="AB11"/>
      <c r="AC11"/>
      <c r="AD11" t="s">
        <v>139</v>
      </c>
      <c r="AE11"/>
      <c r="AF11" s="103"/>
      <c r="AG11" s="103"/>
      <c r="AH11" s="104">
        <f t="shared" si="1"/>
        <v>0</v>
      </c>
      <c r="AI11" s="100">
        <f t="shared" si="0"/>
        <v>0</v>
      </c>
      <c r="AJ11"/>
      <c r="AK11"/>
      <c r="AL11"/>
      <c r="AM11"/>
      <c r="AN11"/>
      <c r="AO11"/>
      <c r="AP11"/>
      <c r="AQ11"/>
      <c r="AR11"/>
      <c r="AS11"/>
      <c r="AT11"/>
      <c r="AU11" s="129"/>
      <c r="AV11"/>
      <c r="AW11"/>
      <c r="AX11"/>
      <c r="AY11"/>
      <c r="AZ11" s="2"/>
      <c r="BA11"/>
      <c r="BB11"/>
      <c r="BC11"/>
      <c r="BD11"/>
      <c r="BE11"/>
      <c r="BF11"/>
      <c r="BG11"/>
      <c r="BH11"/>
      <c r="BI11"/>
      <c r="BJ11"/>
      <c r="BK11"/>
      <c r="BL11"/>
      <c r="BM11"/>
      <c r="BN11"/>
      <c r="BO11"/>
      <c r="BP11"/>
      <c r="BQ11"/>
      <c r="BR11"/>
      <c r="BS11"/>
      <c r="BT11"/>
      <c r="BU11"/>
      <c r="BV11"/>
      <c r="BW11"/>
      <c r="BX11"/>
      <c r="BY11"/>
      <c r="BZ11"/>
      <c r="CA11"/>
    </row>
    <row r="12" spans="1:79" ht="15.75">
      <c r="A12"/>
      <c r="B12"/>
      <c r="C12"/>
      <c r="E12"/>
      <c r="F12"/>
      <c r="G12"/>
      <c r="H12"/>
      <c r="I12"/>
      <c r="J12"/>
      <c r="K12"/>
      <c r="L12"/>
      <c r="M12"/>
      <c r="N12"/>
      <c r="O12"/>
      <c r="P12"/>
      <c r="Q12"/>
      <c r="R12"/>
      <c r="S12"/>
      <c r="T12"/>
      <c r="U12"/>
      <c r="V12"/>
      <c r="W12"/>
      <c r="X12"/>
      <c r="Y12"/>
      <c r="Z12"/>
      <c r="AA12"/>
      <c r="AB12"/>
      <c r="AC12"/>
      <c r="AD12"/>
      <c r="AE12"/>
      <c r="AF12" s="99">
        <f>SUM(AF3:AF11)</f>
        <v>0</v>
      </c>
      <c r="AG12" s="99">
        <f>SUM(AG3:AG11)</f>
        <v>0</v>
      </c>
      <c r="AH12" s="99">
        <f>SUM(AH3:AH11)</f>
        <v>0</v>
      </c>
      <c r="AI12" s="100"/>
      <c r="AJ12"/>
      <c r="AK12"/>
      <c r="AL12"/>
      <c r="AM12"/>
      <c r="AN12"/>
      <c r="AO12"/>
      <c r="AP12"/>
      <c r="AQ12"/>
      <c r="AR12"/>
      <c r="AS12"/>
      <c r="AT12"/>
      <c r="AU12" s="129"/>
      <c r="AV12"/>
      <c r="AW12"/>
      <c r="AX12"/>
      <c r="AY12"/>
      <c r="AZ12" s="2"/>
      <c r="BL12"/>
      <c r="BM12"/>
      <c r="BN12"/>
      <c r="BO12"/>
      <c r="BP12"/>
      <c r="BQ12"/>
      <c r="BR12"/>
      <c r="BS12"/>
      <c r="BT12"/>
      <c r="BU12"/>
      <c r="BV12"/>
      <c r="BW12"/>
      <c r="BX12"/>
      <c r="BY12"/>
      <c r="BZ12"/>
      <c r="CA12"/>
    </row>
    <row r="13" spans="1:79" ht="20.25">
      <c r="A13"/>
      <c r="B13"/>
      <c r="C13"/>
      <c r="D13" s="106"/>
      <c r="E13"/>
      <c r="F13"/>
      <c r="G13"/>
      <c r="H13"/>
      <c r="I13"/>
      <c r="J13"/>
      <c r="K13"/>
      <c r="L13"/>
      <c r="M13"/>
      <c r="N13"/>
      <c r="O13"/>
      <c r="P13"/>
      <c r="Q13"/>
      <c r="R13"/>
      <c r="S13"/>
      <c r="T13"/>
      <c r="U13"/>
      <c r="V13"/>
      <c r="W13"/>
      <c r="X13"/>
      <c r="Y13"/>
      <c r="Z13"/>
      <c r="AA13"/>
      <c r="AB13"/>
      <c r="AC13"/>
      <c r="AD13"/>
      <c r="AE13"/>
      <c r="AF13" s="99"/>
      <c r="AG13" s="99"/>
      <c r="AH13" s="99"/>
      <c r="AI13" s="100"/>
      <c r="AJ13"/>
      <c r="AK13"/>
      <c r="AL13"/>
      <c r="AM13"/>
      <c r="AN13"/>
      <c r="AO13"/>
      <c r="AP13"/>
      <c r="AQ13"/>
      <c r="AR13"/>
      <c r="AS13"/>
      <c r="AT13"/>
      <c r="AU13" s="129"/>
      <c r="AV13"/>
      <c r="AW13"/>
      <c r="AX13"/>
      <c r="AY13"/>
      <c r="AZ13" s="2"/>
      <c r="BL13"/>
      <c r="BM13"/>
      <c r="BN13"/>
      <c r="BO13"/>
      <c r="BP13"/>
      <c r="BQ13"/>
      <c r="BR13"/>
      <c r="BS13"/>
      <c r="BT13"/>
      <c r="BU13"/>
      <c r="BV13"/>
      <c r="BW13"/>
      <c r="BX13"/>
      <c r="BY13"/>
      <c r="BZ13"/>
      <c r="CA13"/>
    </row>
    <row r="14" spans="1:79" ht="20.25">
      <c r="A14"/>
      <c r="B14"/>
      <c r="C14"/>
      <c r="D14" s="106"/>
      <c r="E14"/>
      <c r="F14"/>
      <c r="G14"/>
      <c r="H14"/>
      <c r="I14"/>
      <c r="J14"/>
      <c r="K14"/>
      <c r="L14"/>
      <c r="M14"/>
      <c r="N14"/>
      <c r="O14"/>
      <c r="P14"/>
      <c r="Q14"/>
      <c r="R14"/>
      <c r="S14"/>
      <c r="T14"/>
      <c r="U14"/>
      <c r="V14"/>
      <c r="W14"/>
      <c r="X14"/>
      <c r="Y14"/>
      <c r="Z14"/>
      <c r="AA14"/>
      <c r="AB14"/>
      <c r="AC14"/>
      <c r="AD14"/>
      <c r="AE14"/>
      <c r="AF14" s="99"/>
      <c r="AG14" s="99"/>
      <c r="AH14" s="99"/>
      <c r="AI14" s="100"/>
      <c r="AJ14"/>
      <c r="AK14"/>
      <c r="AL14"/>
      <c r="AM14"/>
      <c r="AN14"/>
      <c r="AO14"/>
      <c r="AP14"/>
      <c r="AQ14"/>
      <c r="AR14"/>
      <c r="AS14"/>
      <c r="AT14"/>
      <c r="AU14" s="129"/>
      <c r="AV14"/>
      <c r="AW14"/>
      <c r="AX14"/>
      <c r="AY14"/>
      <c r="AZ14" s="2"/>
      <c r="BL14"/>
      <c r="BM14"/>
      <c r="BN14"/>
      <c r="BO14"/>
      <c r="BP14"/>
      <c r="BQ14"/>
      <c r="BR14"/>
      <c r="BS14"/>
      <c r="BT14"/>
      <c r="BU14"/>
      <c r="BV14"/>
      <c r="BW14"/>
      <c r="BX14"/>
      <c r="BY14"/>
      <c r="BZ14"/>
      <c r="CA14"/>
    </row>
    <row r="15" spans="1:79" ht="20.25">
      <c r="A15"/>
      <c r="B15" s="106" t="s">
        <v>432</v>
      </c>
      <c r="C15"/>
      <c r="D15" s="106"/>
      <c r="E15"/>
      <c r="F15"/>
      <c r="G15"/>
      <c r="H15"/>
      <c r="I15"/>
      <c r="J15"/>
      <c r="K15"/>
      <c r="L15"/>
      <c r="M15"/>
      <c r="N15"/>
      <c r="O15"/>
      <c r="P15"/>
      <c r="Q15"/>
      <c r="R15"/>
      <c r="S15"/>
      <c r="T15"/>
      <c r="U15"/>
      <c r="V15"/>
      <c r="W15"/>
      <c r="X15"/>
      <c r="Y15"/>
      <c r="Z15"/>
      <c r="AA15"/>
      <c r="AB15"/>
      <c r="AC15"/>
      <c r="AD15"/>
      <c r="AE15"/>
      <c r="AF15" s="99"/>
      <c r="AG15" s="99"/>
      <c r="AH15" s="99"/>
      <c r="AI15" s="100"/>
      <c r="AJ15"/>
      <c r="AK15"/>
      <c r="AL15"/>
      <c r="AM15"/>
      <c r="AN15"/>
      <c r="AO15"/>
      <c r="AP15"/>
      <c r="AQ15"/>
      <c r="AR15"/>
      <c r="AS15"/>
      <c r="AT15"/>
      <c r="AU15" s="129"/>
      <c r="AV15"/>
      <c r="AW15"/>
      <c r="AX15"/>
      <c r="AY15"/>
      <c r="AZ15" s="2"/>
      <c r="BL15"/>
      <c r="BM15"/>
      <c r="BN15"/>
      <c r="BO15"/>
      <c r="BP15"/>
      <c r="BQ15"/>
      <c r="BR15"/>
      <c r="BS15"/>
      <c r="BT15"/>
      <c r="BU15"/>
      <c r="BV15"/>
      <c r="BW15"/>
      <c r="BX15"/>
      <c r="BY15"/>
      <c r="BZ15"/>
      <c r="CA15"/>
    </row>
    <row r="16" spans="1:79" ht="15.75">
      <c r="A16"/>
      <c r="B16"/>
      <c r="C16"/>
      <c r="I16"/>
      <c r="J16"/>
      <c r="K16"/>
      <c r="L16"/>
      <c r="M16"/>
      <c r="N16"/>
      <c r="O16"/>
      <c r="P16" s="601" t="s">
        <v>154</v>
      </c>
      <c r="Q16" s="601"/>
      <c r="R16" s="601"/>
      <c r="S16" s="601"/>
      <c r="T16" s="601"/>
      <c r="U16" s="601"/>
      <c r="V16" s="601"/>
      <c r="W16" s="601"/>
      <c r="X16" s="601"/>
      <c r="Y16" s="601"/>
      <c r="Z16" s="601"/>
      <c r="AA16" s="601"/>
      <c r="AB16" s="2"/>
      <c r="AC16" s="2"/>
      <c r="AD16" s="2"/>
      <c r="AE16" s="2"/>
      <c r="AF16" s="2"/>
      <c r="AG16" s="2"/>
      <c r="AH16" s="2"/>
      <c r="AI16" s="2"/>
      <c r="AJ16" s="2"/>
      <c r="AK16" s="2"/>
      <c r="AL16" s="2"/>
      <c r="AM16" s="2"/>
      <c r="AN16" s="2"/>
      <c r="AO16" s="2"/>
      <c r="AP16" s="2"/>
      <c r="AQ16" s="2"/>
      <c r="AR16" s="2"/>
      <c r="AS16" s="2"/>
      <c r="AT16" s="2"/>
      <c r="AU16" s="129"/>
      <c r="AV16" s="2"/>
      <c r="AW16" s="2"/>
      <c r="AX16" s="2"/>
      <c r="AY16" s="2"/>
      <c r="AZ16" s="2"/>
      <c r="BL16" s="2"/>
      <c r="BM16" s="2"/>
      <c r="BN16" s="2"/>
      <c r="BO16" s="2"/>
      <c r="BP16" s="2"/>
      <c r="BQ16" s="2"/>
      <c r="BR16"/>
      <c r="BS16"/>
      <c r="BT16"/>
      <c r="BU16"/>
      <c r="BV16"/>
      <c r="BW16"/>
      <c r="BX16"/>
      <c r="BY16"/>
      <c r="BZ16"/>
      <c r="CA16"/>
    </row>
    <row r="17" spans="1:79" ht="15.75">
      <c r="A17"/>
      <c r="B17"/>
      <c r="D17"/>
      <c r="E17"/>
      <c r="F17"/>
      <c r="G17"/>
      <c r="H17"/>
      <c r="I17"/>
      <c r="J17"/>
      <c r="K17"/>
      <c r="L17"/>
      <c r="M17"/>
      <c r="N17"/>
      <c r="O17"/>
      <c r="P17" s="619" t="s">
        <v>304</v>
      </c>
      <c r="Q17" s="619"/>
      <c r="R17" s="619"/>
      <c r="S17" s="619"/>
      <c r="T17"/>
      <c r="U17" s="620" t="s">
        <v>305</v>
      </c>
      <c r="V17" s="620"/>
      <c r="W17"/>
      <c r="X17"/>
      <c r="Y17"/>
      <c r="Z17"/>
      <c r="AA17"/>
      <c r="AB17"/>
      <c r="AC17"/>
      <c r="AD17"/>
      <c r="AE17"/>
      <c r="AF17"/>
      <c r="AG17"/>
      <c r="AH17"/>
      <c r="AI17"/>
      <c r="AJ17"/>
      <c r="AK17"/>
      <c r="AL17"/>
      <c r="AM17"/>
      <c r="AN17"/>
      <c r="AO17"/>
      <c r="AP17"/>
      <c r="AQ17"/>
      <c r="AR17"/>
      <c r="AS17"/>
      <c r="AT17"/>
      <c r="AU17" s="129"/>
      <c r="AV17"/>
      <c r="AW17"/>
      <c r="AX17"/>
      <c r="AY17"/>
      <c r="AZ17" s="2"/>
      <c r="BL17"/>
      <c r="BM17" s="129"/>
      <c r="BN17"/>
      <c r="BO17"/>
      <c r="BP17"/>
      <c r="BQ17"/>
      <c r="BR17"/>
      <c r="BS17"/>
      <c r="BT17"/>
      <c r="BU17"/>
      <c r="BV17"/>
      <c r="BW17"/>
      <c r="BX17"/>
      <c r="BY17"/>
      <c r="BZ17"/>
      <c r="CA17"/>
    </row>
    <row r="18" spans="1:79" ht="15.75">
      <c r="A18"/>
      <c r="B18"/>
      <c r="C18"/>
      <c r="D18"/>
      <c r="E18"/>
      <c r="F18"/>
      <c r="G18"/>
      <c r="H18"/>
      <c r="I18"/>
      <c r="J18"/>
      <c r="K18" s="1" t="s">
        <v>155</v>
      </c>
      <c r="L18" s="1"/>
      <c r="M18" s="107" t="s">
        <v>155</v>
      </c>
      <c r="N18"/>
      <c r="O18"/>
      <c r="P18" s="201" t="s">
        <v>155</v>
      </c>
      <c r="Q18" s="201" t="s">
        <v>156</v>
      </c>
      <c r="R18"/>
      <c r="S18"/>
      <c r="T18"/>
      <c r="U18"/>
      <c r="V18" t="s">
        <v>157</v>
      </c>
      <c r="W18" s="621" t="s">
        <v>306</v>
      </c>
      <c r="X18" s="622"/>
      <c r="Y18" s="622"/>
      <c r="Z18" s="622"/>
      <c r="AA18" s="623"/>
      <c r="AB18" s="108"/>
      <c r="AC18" s="592" t="s">
        <v>336</v>
      </c>
      <c r="AD18" s="593"/>
      <c r="AE18" s="593"/>
      <c r="AF18" s="593"/>
      <c r="AG18" s="593"/>
      <c r="AH18" s="593"/>
      <c r="AI18" s="593"/>
      <c r="AJ18" s="593"/>
      <c r="AK18" s="593"/>
      <c r="AL18" s="593"/>
      <c r="AM18" s="593"/>
      <c r="AN18" s="593"/>
      <c r="AO18" s="593"/>
      <c r="AP18" s="593"/>
      <c r="AQ18" s="593"/>
      <c r="AR18" s="593"/>
      <c r="AS18" s="593"/>
      <c r="AT18" s="594"/>
      <c r="AU18" s="216"/>
      <c r="AV18" s="108"/>
      <c r="AW18" s="108"/>
      <c r="AX18" s="108"/>
      <c r="AY18" s="108"/>
      <c r="AZ18" s="108"/>
      <c r="BA18" s="108"/>
      <c r="BB18" s="108"/>
      <c r="BC18" s="108"/>
      <c r="BD18" s="108"/>
      <c r="BE18" s="108"/>
      <c r="BF18" s="108"/>
      <c r="BG18" s="108"/>
      <c r="BH18" s="108"/>
      <c r="BI18" s="108"/>
      <c r="BJ18" s="108"/>
      <c r="BK18" s="108"/>
      <c r="BL18" s="108"/>
      <c r="BM18" s="210"/>
      <c r="BN18" s="108"/>
      <c r="BO18" s="108"/>
      <c r="BP18" s="108"/>
      <c r="BQ18" s="108"/>
      <c r="BR18"/>
      <c r="BS18"/>
      <c r="BT18"/>
      <c r="BU18"/>
      <c r="BV18"/>
      <c r="BW18"/>
      <c r="BX18"/>
      <c r="BY18"/>
      <c r="BZ18"/>
      <c r="CA18"/>
    </row>
    <row r="19" spans="1:79" ht="15.75">
      <c r="A19"/>
      <c r="B19" s="1"/>
      <c r="C19" s="1"/>
      <c r="D19" s="1"/>
      <c r="E19" s="1"/>
      <c r="F19" s="1"/>
      <c r="H19" s="1"/>
      <c r="I19" s="1"/>
      <c r="J19" s="1"/>
      <c r="K19" s="1" t="s">
        <v>158</v>
      </c>
      <c r="L19" s="1" t="s">
        <v>159</v>
      </c>
      <c r="M19" s="107" t="s">
        <v>158</v>
      </c>
      <c r="N19" s="1" t="s">
        <v>159</v>
      </c>
      <c r="O19" s="1"/>
      <c r="P19" s="201" t="s">
        <v>160</v>
      </c>
      <c r="Q19" s="201" t="s">
        <v>161</v>
      </c>
      <c r="R19" s="1"/>
      <c r="S19" s="1"/>
      <c r="T19" s="305" t="s">
        <v>162</v>
      </c>
      <c r="U19" s="309" t="s">
        <v>163</v>
      </c>
      <c r="V19" s="304">
        <v>0.01</v>
      </c>
      <c r="W19" s="305" t="s">
        <v>162</v>
      </c>
      <c r="X19" s="305"/>
      <c r="Y19" s="301" t="s">
        <v>164</v>
      </c>
      <c r="Z19" s="301" t="s">
        <v>165</v>
      </c>
      <c r="AA19" s="301" t="s">
        <v>166</v>
      </c>
      <c r="AB19" s="111"/>
      <c r="AC19" s="595" t="s">
        <v>289</v>
      </c>
      <c r="AD19" s="599"/>
      <c r="AE19" s="599"/>
      <c r="AF19" s="599"/>
      <c r="AG19" s="599"/>
      <c r="AH19" s="599"/>
      <c r="AI19" s="599"/>
      <c r="AJ19" s="599"/>
      <c r="AK19" s="599"/>
      <c r="AL19" s="599"/>
      <c r="AM19" s="599"/>
      <c r="AN19" s="599"/>
      <c r="AO19" s="599"/>
      <c r="AP19" s="599"/>
      <c r="AQ19" s="600"/>
      <c r="AR19" s="595" t="s">
        <v>290</v>
      </c>
      <c r="AS19" s="599"/>
      <c r="AT19" s="600"/>
      <c r="AU19" s="212"/>
      <c r="AV19" s="627" t="s">
        <v>300</v>
      </c>
      <c r="AW19" s="628"/>
      <c r="AX19" s="628"/>
      <c r="AY19" s="629"/>
      <c r="AZ19" s="221"/>
      <c r="BA19" s="624" t="s">
        <v>325</v>
      </c>
      <c r="BB19" s="625"/>
      <c r="BC19" s="625"/>
      <c r="BD19" s="625"/>
      <c r="BE19" s="625"/>
      <c r="BF19" s="625"/>
      <c r="BG19" s="625"/>
      <c r="BH19" s="625"/>
      <c r="BI19" s="625"/>
      <c r="BJ19" s="625"/>
      <c r="BK19" s="625"/>
      <c r="BL19" s="626"/>
      <c r="BM19" s="211"/>
      <c r="BN19" s="616" t="s">
        <v>312</v>
      </c>
      <c r="BO19" s="617"/>
      <c r="BP19" s="617"/>
      <c r="BQ19" s="618"/>
      <c r="BR19" s="112"/>
      <c r="BS19" s="1"/>
      <c r="BT19"/>
      <c r="BU19"/>
      <c r="BV19"/>
      <c r="BW19"/>
      <c r="BX19"/>
      <c r="BY19"/>
      <c r="BZ19"/>
      <c r="CA19"/>
    </row>
    <row r="20" spans="1:79" ht="15.75">
      <c r="A20"/>
      <c r="B20" s="1" t="s">
        <v>167</v>
      </c>
      <c r="C20" s="1"/>
      <c r="D20" s="1"/>
      <c r="E20" s="1" t="s">
        <v>313</v>
      </c>
      <c r="F20" s="1" t="s">
        <v>316</v>
      </c>
      <c r="G20" s="609" t="s">
        <v>321</v>
      </c>
      <c r="H20" s="610"/>
      <c r="I20" s="1" t="s">
        <v>313</v>
      </c>
      <c r="J20" s="1" t="s">
        <v>168</v>
      </c>
      <c r="K20" s="107" t="s">
        <v>143</v>
      </c>
      <c r="L20" s="1" t="s">
        <v>169</v>
      </c>
      <c r="M20" s="107" t="s">
        <v>143</v>
      </c>
      <c r="N20" s="107" t="s">
        <v>169</v>
      </c>
      <c r="O20" s="1"/>
      <c r="P20" s="113">
        <v>20</v>
      </c>
      <c r="Q20" s="109">
        <v>0.05</v>
      </c>
      <c r="R20"/>
      <c r="S20"/>
      <c r="T20" s="307" t="s">
        <v>170</v>
      </c>
      <c r="U20" s="302" t="s">
        <v>171</v>
      </c>
      <c r="V20" s="309" t="s">
        <v>172</v>
      </c>
      <c r="W20" s="306" t="s">
        <v>173</v>
      </c>
      <c r="X20" s="307" t="s">
        <v>164</v>
      </c>
      <c r="Y20" s="302" t="s">
        <v>174</v>
      </c>
      <c r="Z20" s="302" t="s">
        <v>175</v>
      </c>
      <c r="AA20" s="302" t="s">
        <v>175</v>
      </c>
      <c r="AB20" s="115"/>
      <c r="AC20" s="234" t="s">
        <v>334</v>
      </c>
      <c r="AD20" s="184"/>
      <c r="AE20" s="184"/>
      <c r="AF20" s="184"/>
      <c r="AG20" s="184"/>
      <c r="AH20" s="184" t="s">
        <v>189</v>
      </c>
      <c r="AI20" s="184"/>
      <c r="AJ20" s="184"/>
      <c r="AK20" s="184"/>
      <c r="AL20" s="184"/>
      <c r="AM20" s="184" t="s">
        <v>224</v>
      </c>
      <c r="AN20" s="184"/>
      <c r="AO20" s="184"/>
      <c r="AP20" s="184"/>
      <c r="AQ20" s="184"/>
      <c r="AR20" s="171"/>
      <c r="AS20" s="172"/>
      <c r="AT20" s="167"/>
      <c r="AV20" s="614" t="s">
        <v>162</v>
      </c>
      <c r="AW20" s="615"/>
      <c r="AX20" s="614" t="s">
        <v>174</v>
      </c>
      <c r="AY20" s="615"/>
      <c r="AZ20" s="220"/>
      <c r="BA20" s="184"/>
      <c r="BB20" s="184"/>
      <c r="BC20" s="184"/>
      <c r="BD20" s="184"/>
      <c r="BE20" s="184"/>
      <c r="BF20" s="184"/>
      <c r="BG20" s="184"/>
      <c r="BH20" s="184"/>
      <c r="BI20" s="184" t="s">
        <v>139</v>
      </c>
      <c r="BJ20" s="184"/>
      <c r="BK20" s="207" t="s">
        <v>320</v>
      </c>
      <c r="BL20" s="207" t="s">
        <v>322</v>
      </c>
      <c r="BM20" s="212"/>
      <c r="BN20" s="612" t="s">
        <v>162</v>
      </c>
      <c r="BO20" s="613"/>
      <c r="BP20" s="612" t="s">
        <v>174</v>
      </c>
      <c r="BQ20" s="613"/>
      <c r="BR20" s="112"/>
      <c r="BS20" s="1"/>
      <c r="BT20"/>
      <c r="BU20"/>
      <c r="BV20"/>
      <c r="BW20"/>
      <c r="BX20"/>
      <c r="BY20"/>
      <c r="BZ20"/>
      <c r="CA20"/>
    </row>
    <row r="21" spans="1:79" ht="15.75">
      <c r="A21"/>
      <c r="B21" s="107" t="s">
        <v>176</v>
      </c>
      <c r="C21" s="107"/>
      <c r="D21" s="107"/>
      <c r="E21" s="107" t="s">
        <v>314</v>
      </c>
      <c r="F21" s="107" t="s">
        <v>315</v>
      </c>
      <c r="G21" s="116" t="s">
        <v>317</v>
      </c>
      <c r="H21" s="116" t="s">
        <v>319</v>
      </c>
      <c r="I21" s="107" t="s">
        <v>320</v>
      </c>
      <c r="J21" s="107" t="s">
        <v>177</v>
      </c>
      <c r="K21" s="1" t="s">
        <v>178</v>
      </c>
      <c r="L21" s="1" t="s">
        <v>337</v>
      </c>
      <c r="M21" s="1" t="s">
        <v>178</v>
      </c>
      <c r="N21" s="116" t="s">
        <v>162</v>
      </c>
      <c r="O21" s="107" t="s">
        <v>179</v>
      </c>
      <c r="P21" s="199" t="s">
        <v>180</v>
      </c>
      <c r="Q21" s="199" t="s">
        <v>181</v>
      </c>
      <c r="R21" s="107"/>
      <c r="S21" s="107"/>
      <c r="T21" s="302" t="s">
        <v>182</v>
      </c>
      <c r="U21" s="302" t="s">
        <v>183</v>
      </c>
      <c r="V21" s="302" t="s">
        <v>184</v>
      </c>
      <c r="W21" s="302" t="s">
        <v>185</v>
      </c>
      <c r="X21" s="302" t="s">
        <v>170</v>
      </c>
      <c r="Y21" s="302" t="s">
        <v>186</v>
      </c>
      <c r="Z21" s="302" t="s">
        <v>187</v>
      </c>
      <c r="AA21" s="302" t="s">
        <v>188</v>
      </c>
      <c r="AB21" s="115"/>
      <c r="AC21" s="185" t="s">
        <v>335</v>
      </c>
      <c r="AD21" s="185"/>
      <c r="AE21" s="185"/>
      <c r="AF21" s="185"/>
      <c r="AG21" s="185"/>
      <c r="AH21" s="185" t="s">
        <v>329</v>
      </c>
      <c r="AI21" s="185"/>
      <c r="AJ21" s="185" t="s">
        <v>190</v>
      </c>
      <c r="AK21" s="185"/>
      <c r="AL21" s="185" t="s">
        <v>291</v>
      </c>
      <c r="AM21" s="185" t="s">
        <v>206</v>
      </c>
      <c r="AN21" s="185"/>
      <c r="AO21" s="185"/>
      <c r="AP21" s="185"/>
      <c r="AQ21" s="185"/>
      <c r="AR21" s="173"/>
      <c r="AS21" s="170" t="s">
        <v>181</v>
      </c>
      <c r="AT21" s="174" t="s">
        <v>77</v>
      </c>
      <c r="AU21" s="218"/>
      <c r="AV21" s="163"/>
      <c r="AW21" s="163" t="s">
        <v>302</v>
      </c>
      <c r="AX21" s="162"/>
      <c r="AY21" s="163" t="s">
        <v>302</v>
      </c>
      <c r="AZ21" s="163"/>
      <c r="BA21" s="185"/>
      <c r="BB21" s="185"/>
      <c r="BC21" s="185"/>
      <c r="BD21" s="185"/>
      <c r="BE21" s="185"/>
      <c r="BF21" s="185" t="s">
        <v>189</v>
      </c>
      <c r="BG21" s="185"/>
      <c r="BH21" s="185" t="s">
        <v>190</v>
      </c>
      <c r="BI21" s="185" t="s">
        <v>310</v>
      </c>
      <c r="BJ21" s="185" t="s">
        <v>291</v>
      </c>
      <c r="BK21" s="208" t="s">
        <v>206</v>
      </c>
      <c r="BL21" s="208" t="s">
        <v>323</v>
      </c>
      <c r="BM21" s="212"/>
      <c r="BN21" s="214"/>
      <c r="BO21" s="163" t="s">
        <v>302</v>
      </c>
      <c r="BP21" s="162"/>
      <c r="BQ21" s="163" t="s">
        <v>302</v>
      </c>
      <c r="BR21" s="112"/>
      <c r="BS21" s="112"/>
      <c r="BT21" s="117"/>
      <c r="BU21" s="117"/>
      <c r="BV21" s="117"/>
      <c r="BW21"/>
      <c r="BX21"/>
      <c r="BY21"/>
      <c r="BZ21"/>
      <c r="CA21"/>
    </row>
    <row r="22" spans="1:79" ht="18.75">
      <c r="A22"/>
      <c r="B22" s="118" t="s">
        <v>191</v>
      </c>
      <c r="C22" s="611" t="s">
        <v>192</v>
      </c>
      <c r="D22" s="611"/>
      <c r="E22" s="118" t="s">
        <v>188</v>
      </c>
      <c r="F22" s="116" t="s">
        <v>169</v>
      </c>
      <c r="G22" s="204" t="s">
        <v>318</v>
      </c>
      <c r="H22" s="204" t="s">
        <v>206</v>
      </c>
      <c r="I22" s="118" t="s">
        <v>159</v>
      </c>
      <c r="J22" s="118" t="s">
        <v>194</v>
      </c>
      <c r="K22" s="119" t="s">
        <v>195</v>
      </c>
      <c r="L22" s="4" t="s">
        <v>202</v>
      </c>
      <c r="M22" s="119" t="s">
        <v>196</v>
      </c>
      <c r="N22" s="4" t="s">
        <v>178</v>
      </c>
      <c r="O22" s="118" t="s">
        <v>185</v>
      </c>
      <c r="P22" s="200" t="s">
        <v>197</v>
      </c>
      <c r="Q22" s="200" t="s">
        <v>185</v>
      </c>
      <c r="R22" s="118" t="s">
        <v>198</v>
      </c>
      <c r="S22" s="118" t="s">
        <v>74</v>
      </c>
      <c r="T22" s="303" t="s">
        <v>197</v>
      </c>
      <c r="U22" s="303" t="s">
        <v>199</v>
      </c>
      <c r="V22" s="303" t="s">
        <v>149</v>
      </c>
      <c r="W22" s="303" t="s">
        <v>197</v>
      </c>
      <c r="X22" s="308" t="s">
        <v>200</v>
      </c>
      <c r="Y22" s="303" t="s">
        <v>201</v>
      </c>
      <c r="Z22" s="303" t="s">
        <v>202</v>
      </c>
      <c r="AA22" s="303" t="s">
        <v>174</v>
      </c>
      <c r="AB22" s="115"/>
      <c r="AC22" s="235" t="s">
        <v>326</v>
      </c>
      <c r="AD22" s="164" t="s">
        <v>147</v>
      </c>
      <c r="AE22" s="164" t="s">
        <v>149</v>
      </c>
      <c r="AF22" s="164" t="s">
        <v>151</v>
      </c>
      <c r="AG22" s="164" t="s">
        <v>152</v>
      </c>
      <c r="AH22" s="164" t="s">
        <v>205</v>
      </c>
      <c r="AI22" s="164" t="s">
        <v>75</v>
      </c>
      <c r="AJ22" s="164" t="s">
        <v>204</v>
      </c>
      <c r="AK22" s="186" t="s">
        <v>139</v>
      </c>
      <c r="AL22" s="164" t="s">
        <v>333</v>
      </c>
      <c r="AM22" s="164" t="s">
        <v>185</v>
      </c>
      <c r="AN22" s="164" t="s">
        <v>77</v>
      </c>
      <c r="AO22" s="164" t="s">
        <v>77</v>
      </c>
      <c r="AP22" s="164" t="s">
        <v>77</v>
      </c>
      <c r="AQ22" s="164" t="s">
        <v>77</v>
      </c>
      <c r="AR22" s="166" t="s">
        <v>180</v>
      </c>
      <c r="AS22" s="157" t="s">
        <v>185</v>
      </c>
      <c r="AT22" s="168" t="s">
        <v>292</v>
      </c>
      <c r="AU22" s="218"/>
      <c r="AV22" s="165" t="s">
        <v>293</v>
      </c>
      <c r="AW22" s="165" t="s">
        <v>303</v>
      </c>
      <c r="AX22" s="161" t="s">
        <v>294</v>
      </c>
      <c r="AY22" s="165" t="s">
        <v>303</v>
      </c>
      <c r="AZ22" s="222"/>
      <c r="BA22" s="164" t="s">
        <v>145</v>
      </c>
      <c r="BB22" s="164" t="s">
        <v>147</v>
      </c>
      <c r="BC22" s="164" t="s">
        <v>149</v>
      </c>
      <c r="BD22" s="164" t="s">
        <v>151</v>
      </c>
      <c r="BE22" s="186" t="s">
        <v>152</v>
      </c>
      <c r="BF22" s="164" t="s">
        <v>203</v>
      </c>
      <c r="BG22" s="164" t="s">
        <v>75</v>
      </c>
      <c r="BH22" s="164" t="s">
        <v>204</v>
      </c>
      <c r="BI22" s="202" t="s">
        <v>311</v>
      </c>
      <c r="BJ22" s="164" t="s">
        <v>333</v>
      </c>
      <c r="BK22" s="165" t="s">
        <v>185</v>
      </c>
      <c r="BL22" s="165" t="s">
        <v>324</v>
      </c>
      <c r="BM22" s="212"/>
      <c r="BN22" s="165" t="s">
        <v>293</v>
      </c>
      <c r="BO22" s="165" t="s">
        <v>303</v>
      </c>
      <c r="BP22" s="161" t="s">
        <v>294</v>
      </c>
      <c r="BQ22" s="165" t="s">
        <v>303</v>
      </c>
      <c r="BR22" s="112"/>
      <c r="BS22" s="112"/>
      <c r="BT22" s="117"/>
      <c r="BU22" s="117"/>
      <c r="BV22" s="117"/>
      <c r="BW22"/>
      <c r="BX22"/>
      <c r="BY22"/>
      <c r="BZ22"/>
      <c r="CA22"/>
    </row>
    <row r="23" spans="1:79" ht="15.75">
      <c r="A23"/>
      <c r="B23" s="121" t="s">
        <v>176</v>
      </c>
      <c r="C23" s="197" t="s">
        <v>363</v>
      </c>
      <c r="D23" s="198"/>
      <c r="E23" s="198"/>
      <c r="F23" s="198"/>
      <c r="G23" s="198"/>
      <c r="H23" s="198"/>
      <c r="I23" s="198"/>
      <c r="J23" s="198"/>
      <c r="K23" s="198"/>
      <c r="L23" s="243"/>
      <c r="M23" s="121"/>
      <c r="N23" s="3"/>
      <c r="O23" s="3"/>
      <c r="P23" s="3"/>
      <c r="Q23" s="3"/>
      <c r="R23" s="3"/>
      <c r="S23" s="3"/>
      <c r="T23" s="3"/>
      <c r="U23" s="3"/>
      <c r="V23" s="3"/>
      <c r="W23" s="3"/>
      <c r="X23" s="3"/>
      <c r="Y23" s="3"/>
      <c r="Z23" s="3"/>
      <c r="AA23" s="3"/>
      <c r="AB23" s="117"/>
      <c r="AC23" s="3"/>
      <c r="AD23" s="3"/>
      <c r="AE23" s="3"/>
      <c r="AF23" s="3"/>
      <c r="AG23" s="3"/>
      <c r="AH23" s="3"/>
      <c r="AI23" s="3"/>
      <c r="AJ23" s="3"/>
      <c r="AK23" s="3"/>
      <c r="AL23" s="3"/>
      <c r="AM23" s="3"/>
      <c r="AN23" s="3"/>
      <c r="AO23" s="3"/>
      <c r="AP23" s="3"/>
      <c r="AQ23" s="3"/>
      <c r="AR23" s="187"/>
      <c r="AS23" s="188"/>
      <c r="AT23" s="189"/>
      <c r="AU23" s="129"/>
      <c r="AV23" s="3"/>
      <c r="AW23" s="3"/>
      <c r="AX23" s="3"/>
      <c r="AY23" s="3"/>
      <c r="AZ23" s="129"/>
      <c r="BA23" s="3"/>
      <c r="BB23" s="3"/>
      <c r="BC23" s="3"/>
      <c r="BD23" s="3"/>
      <c r="BE23" s="3"/>
      <c r="BF23" s="3"/>
      <c r="BG23" s="3"/>
      <c r="BH23" s="3"/>
      <c r="BI23" s="3"/>
      <c r="BJ23" s="3"/>
      <c r="BK23" s="3"/>
      <c r="BL23" s="3"/>
      <c r="BM23" s="129"/>
      <c r="BN23" s="3"/>
      <c r="BO23" s="3"/>
      <c r="BP23" s="3"/>
      <c r="BQ23" s="3"/>
      <c r="BR23" s="117"/>
      <c r="BS23" s="117"/>
      <c r="BT23" s="117"/>
      <c r="BU23" s="117"/>
      <c r="BV23" s="117"/>
      <c r="BW23"/>
      <c r="BX23"/>
      <c r="BY23"/>
      <c r="BZ23"/>
      <c r="CA23"/>
    </row>
    <row r="24" spans="1:79" ht="15.75">
      <c r="A24"/>
      <c r="B24" s="96" t="s">
        <v>326</v>
      </c>
      <c r="C24" s="602" t="s">
        <v>365</v>
      </c>
      <c r="D24" s="602"/>
      <c r="E24" s="96">
        <v>270</v>
      </c>
      <c r="F24" s="96">
        <v>7</v>
      </c>
      <c r="G24" s="353">
        <v>0</v>
      </c>
      <c r="H24" s="353">
        <f>G24</f>
        <v>0</v>
      </c>
      <c r="I24" s="206">
        <f>E24-G24-H24</f>
        <v>270</v>
      </c>
      <c r="J24" s="96" t="s">
        <v>210</v>
      </c>
      <c r="K24" s="352">
        <f>110*2.75/285</f>
        <v>1.0614035087719298</v>
      </c>
      <c r="L24" s="206">
        <f>E24*K24</f>
        <v>286.57894736842104</v>
      </c>
      <c r="M24" s="96">
        <f>5*0.8</f>
        <v>4</v>
      </c>
      <c r="N24" s="355">
        <f>IF(B24="n",I24*K24,I24*M24)</f>
        <v>286.57894736842104</v>
      </c>
      <c r="O24" s="98">
        <v>133875</v>
      </c>
      <c r="P24" s="122">
        <f>IF(OR(M24=0,B24="n"),0,O24/$P$20)</f>
        <v>0</v>
      </c>
      <c r="Q24" s="99">
        <f>IF(OR(M24=0,B24="n"),0,O24/2*$Q$20)</f>
        <v>0</v>
      </c>
      <c r="R24" s="99">
        <f>IF(OR(M24=0,B24="n"),0,O24/2*$O$2/100*$O$3)</f>
        <v>0</v>
      </c>
      <c r="S24" s="99">
        <f>IF(OR(M24=0,B24="n"),0,O24/2/100*$O$4)</f>
        <v>0</v>
      </c>
      <c r="T24" s="99">
        <f>SUM(P24:S24)</f>
        <v>0</v>
      </c>
      <c r="U24" s="123">
        <v>5900</v>
      </c>
      <c r="V24" s="99">
        <f>IF(OR(M24=0,B24="n"),0,$V$19*O24)</f>
        <v>0</v>
      </c>
      <c r="W24" s="99">
        <f>IF(OR(M24=0,B24="n"),0,SUM(U24:V24))</f>
        <v>0</v>
      </c>
      <c r="X24" s="99">
        <f>IF(OR(M24=0,B24="n"),0,T24+W24)</f>
        <v>0</v>
      </c>
      <c r="Y24" s="100">
        <f>IF(OR(M24=0,B24="n"),0,(T24+W24)/N24)</f>
        <v>0</v>
      </c>
      <c r="Z24" s="99">
        <f>IF(OR(K24=0,B24="n"),0,(R24+S24+U24+V24))</f>
        <v>0</v>
      </c>
      <c r="AA24" s="100">
        <f>IF(OR(M24=0,B24="n"),0,(R24+S24+U24+V24)/N24)</f>
        <v>0</v>
      </c>
      <c r="AB24" s="124"/>
      <c r="AC24" s="98">
        <f>IF($AC$22="y",IF(B24="y",$O$8*$AI$3*I24,$AI$3*I24),0)</f>
        <v>0</v>
      </c>
      <c r="AD24" s="98">
        <f aca="true" t="shared" si="2" ref="AD24:AP24">IF($AC$22="y",IF(C24="y",$O$8*$AI$3*J24,$AI$3*J24),0)</f>
        <v>0</v>
      </c>
      <c r="AE24" s="98">
        <f t="shared" si="2"/>
        <v>0</v>
      </c>
      <c r="AF24" s="98">
        <f t="shared" si="2"/>
        <v>0</v>
      </c>
      <c r="AG24" s="98">
        <f t="shared" si="2"/>
        <v>0</v>
      </c>
      <c r="AH24" s="98">
        <f t="shared" si="2"/>
        <v>0</v>
      </c>
      <c r="AI24" s="98">
        <f t="shared" si="2"/>
        <v>0</v>
      </c>
      <c r="AJ24" s="98">
        <f t="shared" si="2"/>
        <v>0</v>
      </c>
      <c r="AK24" s="98">
        <f t="shared" si="2"/>
        <v>0</v>
      </c>
      <c r="AL24" s="98">
        <f t="shared" si="2"/>
        <v>0</v>
      </c>
      <c r="AM24" s="98">
        <f t="shared" si="2"/>
        <v>0</v>
      </c>
      <c r="AN24" s="98">
        <f t="shared" si="2"/>
        <v>0</v>
      </c>
      <c r="AO24" s="98">
        <f t="shared" si="2"/>
        <v>0</v>
      </c>
      <c r="AP24" s="98">
        <f t="shared" si="2"/>
        <v>0</v>
      </c>
      <c r="AQ24" s="98">
        <v>0</v>
      </c>
      <c r="AR24" s="190">
        <v>0</v>
      </c>
      <c r="AS24" s="154">
        <v>0</v>
      </c>
      <c r="AT24" s="191">
        <v>0</v>
      </c>
      <c r="AU24" s="219"/>
      <c r="AV24" s="125">
        <f>SUM(AC24:AQ24)</f>
        <v>0</v>
      </c>
      <c r="AW24" s="125">
        <f>AV24+SUM(AR24:AT24)</f>
        <v>0</v>
      </c>
      <c r="AX24" s="124">
        <f>IF(N24=0,0,AV24/(E24*K24))</f>
        <v>0</v>
      </c>
      <c r="AY24" s="124">
        <f>IF(N24=0,0,AW24/(E24*K24))</f>
        <v>0</v>
      </c>
      <c r="AZ24" s="209"/>
      <c r="BA24" s="98">
        <v>0</v>
      </c>
      <c r="BB24" s="98">
        <v>0</v>
      </c>
      <c r="BC24" s="98">
        <v>0</v>
      </c>
      <c r="BD24" s="240">
        <f>IF(AND(B24="y",I24&gt;0),I24*$AI$6,0)</f>
        <v>0</v>
      </c>
      <c r="BE24" s="98">
        <v>0</v>
      </c>
      <c r="BF24" s="98">
        <v>0</v>
      </c>
      <c r="BG24" s="98">
        <v>0</v>
      </c>
      <c r="BH24" s="98">
        <v>0</v>
      </c>
      <c r="BI24" s="98">
        <v>0</v>
      </c>
      <c r="BJ24" s="240">
        <f>IF(AND(B24="y",I24&gt;0),(M24-K24)*$O$7*I24,0)</f>
        <v>0</v>
      </c>
      <c r="BK24" s="98">
        <v>0</v>
      </c>
      <c r="BL24" s="98">
        <v>0</v>
      </c>
      <c r="BM24" s="209"/>
      <c r="BN24" s="125">
        <f>IF(OR(B24="n",K24=0),AV24,AV24+SUM(BA24:BL24)+Z24)</f>
        <v>0</v>
      </c>
      <c r="BO24" s="125">
        <f>IF(OR(B24="n",K24=0),AW24,BN24+X24-Z24)</f>
        <v>0</v>
      </c>
      <c r="BP24" s="124">
        <f>IF(OR(B24="n",K24=0),AX24,BN24/N24)</f>
        <v>0</v>
      </c>
      <c r="BQ24" s="124">
        <f>IF(OR(B24="n",K24=0),AY24,BO24/N24)</f>
        <v>0</v>
      </c>
      <c r="BR24" s="117"/>
      <c r="BS24" s="117"/>
      <c r="BT24" s="117"/>
      <c r="BU24" s="117"/>
      <c r="BV24" s="117"/>
      <c r="BW24"/>
      <c r="BX24"/>
      <c r="BY24"/>
      <c r="BZ24"/>
      <c r="CA24"/>
    </row>
    <row r="25" spans="1:79" ht="15.75">
      <c r="A25"/>
      <c r="B25" s="96" t="s">
        <v>326</v>
      </c>
      <c r="C25" s="602" t="s">
        <v>425</v>
      </c>
      <c r="D25" s="602"/>
      <c r="E25" s="96">
        <v>165</v>
      </c>
      <c r="F25" s="96">
        <v>7</v>
      </c>
      <c r="G25" s="353">
        <v>0</v>
      </c>
      <c r="H25" s="353">
        <f>G25</f>
        <v>0</v>
      </c>
      <c r="I25" s="206">
        <f>E25-G25-H25</f>
        <v>165</v>
      </c>
      <c r="J25" s="96" t="s">
        <v>210</v>
      </c>
      <c r="K25" s="96">
        <v>1.06</v>
      </c>
      <c r="L25" s="206">
        <f>E25*K25</f>
        <v>174.9</v>
      </c>
      <c r="M25" s="96">
        <v>4</v>
      </c>
      <c r="N25" s="355">
        <f>IF(B25="n",I25*K25,I25*M25)</f>
        <v>174.9</v>
      </c>
      <c r="O25" s="98">
        <f>79261+42109+26971</f>
        <v>148341</v>
      </c>
      <c r="P25" s="122">
        <f>IF(OR(M25=0,B25="n"),0,O25/$P$20)</f>
        <v>0</v>
      </c>
      <c r="Q25" s="99">
        <f>IF(OR(M25=0,B25="n"),0,O25/2*$Q$20)</f>
        <v>0</v>
      </c>
      <c r="R25" s="99">
        <f>IF(OR(M25=0,B25="n"),0,O25/2*$O$2/100*$O$3)</f>
        <v>0</v>
      </c>
      <c r="S25" s="99">
        <f>IF(OR(M25=0,B25="n"),0,O25/2/100*$O$4)</f>
        <v>0</v>
      </c>
      <c r="T25" s="99">
        <f>SUM(P25:S25)</f>
        <v>0</v>
      </c>
      <c r="U25" s="98">
        <f>353*4+3.04*1000</f>
        <v>4452</v>
      </c>
      <c r="V25" s="99">
        <f>IF(OR(M25=0,B25="n"),0,$V$19*O25)</f>
        <v>0</v>
      </c>
      <c r="W25" s="99">
        <f>IF(OR(M25=0,B25="n"),0,SUM(U25:V25))</f>
        <v>0</v>
      </c>
      <c r="X25" s="99">
        <f>IF(OR(M25=0,B25="n"),0,T25+W25)</f>
        <v>0</v>
      </c>
      <c r="Y25" s="100">
        <f>IF(OR(M25=0,B25="n"),0,(T25+W25)/N25)</f>
        <v>0</v>
      </c>
      <c r="Z25" s="99">
        <f>IF(OR(K25=0,B25="n"),0,(R25+S25+U25+V25))</f>
        <v>0</v>
      </c>
      <c r="AA25" s="100">
        <f>IF(OR(M25=0,B25="n"),0,(R25+S25+U25+V25)/N25)</f>
        <v>0</v>
      </c>
      <c r="AB25" s="124"/>
      <c r="AC25" s="98">
        <f>IF($AC$22="y",IF(B25="y",$O$8*$AI$3*I25,$AI$3*I25),0)</f>
        <v>0</v>
      </c>
      <c r="AD25" s="98">
        <f aca="true" t="shared" si="3" ref="AD25:AP27">IF($AC$22="y",IF(C25="y",$O$8*$AI$3*J25,$AI$3*J25),0)</f>
        <v>0</v>
      </c>
      <c r="AE25" s="98">
        <f t="shared" si="3"/>
        <v>0</v>
      </c>
      <c r="AF25" s="98">
        <f t="shared" si="3"/>
        <v>0</v>
      </c>
      <c r="AG25" s="98">
        <f t="shared" si="3"/>
        <v>0</v>
      </c>
      <c r="AH25" s="98">
        <f t="shared" si="3"/>
        <v>0</v>
      </c>
      <c r="AI25" s="98">
        <f t="shared" si="3"/>
        <v>0</v>
      </c>
      <c r="AJ25" s="98">
        <f t="shared" si="3"/>
        <v>0</v>
      </c>
      <c r="AK25" s="98">
        <f t="shared" si="3"/>
        <v>0</v>
      </c>
      <c r="AL25" s="98">
        <f t="shared" si="3"/>
        <v>0</v>
      </c>
      <c r="AM25" s="98">
        <f t="shared" si="3"/>
        <v>0</v>
      </c>
      <c r="AN25" s="98">
        <f t="shared" si="3"/>
        <v>0</v>
      </c>
      <c r="AO25" s="98">
        <f t="shared" si="3"/>
        <v>0</v>
      </c>
      <c r="AP25" s="98">
        <f t="shared" si="3"/>
        <v>0</v>
      </c>
      <c r="AQ25" s="98">
        <v>0</v>
      </c>
      <c r="AR25" s="190">
        <v>0</v>
      </c>
      <c r="AS25" s="154">
        <v>0</v>
      </c>
      <c r="AT25" s="191">
        <v>0</v>
      </c>
      <c r="AU25" s="219"/>
      <c r="AV25" s="125">
        <f>SUM(AC25:AQ25)</f>
        <v>0</v>
      </c>
      <c r="AW25" s="125">
        <f>AV25+SUM(AR25:AT25)</f>
        <v>0</v>
      </c>
      <c r="AX25" s="124">
        <f>IF(N25=0,0,AV25/(E25*K25))</f>
        <v>0</v>
      </c>
      <c r="AY25" s="124">
        <f>IF(N25=0,0,AW25/(E25*K25))</f>
        <v>0</v>
      </c>
      <c r="AZ25" s="209"/>
      <c r="BA25" s="98">
        <v>0</v>
      </c>
      <c r="BB25" s="98">
        <v>0</v>
      </c>
      <c r="BC25" s="98">
        <v>0</v>
      </c>
      <c r="BD25" s="240">
        <f>IF(AND(B25="y",I25&gt;0),I25*$AI$6,0)</f>
        <v>0</v>
      </c>
      <c r="BE25" s="98">
        <v>0</v>
      </c>
      <c r="BF25" s="98">
        <v>0</v>
      </c>
      <c r="BG25" s="98">
        <v>0</v>
      </c>
      <c r="BH25" s="98">
        <v>0</v>
      </c>
      <c r="BI25" s="98">
        <v>0</v>
      </c>
      <c r="BJ25" s="240">
        <f>IF(AND(B25="y",I25&gt;0),(M25-K25)*$O$7*I25,0)</f>
        <v>0</v>
      </c>
      <c r="BK25" s="98">
        <v>0</v>
      </c>
      <c r="BL25" s="98">
        <v>0</v>
      </c>
      <c r="BM25" s="209"/>
      <c r="BN25" s="125">
        <f>IF(OR(B25="n",K25=0),AV25,AV25+SUM(BA25:BL25)+Z25)</f>
        <v>0</v>
      </c>
      <c r="BO25" s="125">
        <f>IF(OR(B25="n",K25=0),AW25,BN25+X25-Z25)</f>
        <v>0</v>
      </c>
      <c r="BP25" s="124">
        <f>IF(OR(B25="n",K25=0),AX25,BN25/N25)</f>
        <v>0</v>
      </c>
      <c r="BQ25" s="124">
        <f>IF(OR(B25="n",K25=0),AY25,BO25/N25)</f>
        <v>0</v>
      </c>
      <c r="BR25" s="117"/>
      <c r="BS25" s="117"/>
      <c r="BT25" s="117"/>
      <c r="BU25" s="117"/>
      <c r="BV25" s="117"/>
      <c r="BW25"/>
      <c r="BX25"/>
      <c r="BY25"/>
      <c r="BZ25"/>
      <c r="CA25"/>
    </row>
    <row r="26" spans="1:79" ht="15.75">
      <c r="A26"/>
      <c r="B26" s="96" t="s">
        <v>209</v>
      </c>
      <c r="C26" s="602" t="s">
        <v>77</v>
      </c>
      <c r="D26" s="602"/>
      <c r="E26" s="96">
        <v>0</v>
      </c>
      <c r="F26" s="96">
        <v>0</v>
      </c>
      <c r="G26" s="354">
        <f>E26/IF(F26=0,1,F26)</f>
        <v>0</v>
      </c>
      <c r="H26" s="354">
        <f>G26</f>
        <v>0</v>
      </c>
      <c r="I26" s="206">
        <f>E26-G26-H26</f>
        <v>0</v>
      </c>
      <c r="J26" s="96" t="s">
        <v>210</v>
      </c>
      <c r="K26" s="96">
        <v>0</v>
      </c>
      <c r="L26" s="245">
        <f>E26*K26</f>
        <v>0</v>
      </c>
      <c r="M26" s="96">
        <v>0</v>
      </c>
      <c r="N26" s="355">
        <f>IF(B26="n",I26*K26,I26*M26)</f>
        <v>0</v>
      </c>
      <c r="O26" s="98">
        <v>0</v>
      </c>
      <c r="P26" s="122">
        <f>IF(OR(M26=0,B26="n"),0,O26/$P$20)</f>
        <v>0</v>
      </c>
      <c r="Q26" s="99">
        <f>IF(OR(M26=0,B26="n"),0,O26/2*$Q$20)</f>
        <v>0</v>
      </c>
      <c r="R26" s="99">
        <f>IF(OR(M26=0,B26="n"),0,O26/2*$O$2/100*$O$3)</f>
        <v>0</v>
      </c>
      <c r="S26" s="99">
        <f>IF(OR(M26=0,B26="n"),0,O26/2/100*$O$4)</f>
        <v>0</v>
      </c>
      <c r="T26" s="99">
        <f>SUM(P26:S26)</f>
        <v>0</v>
      </c>
      <c r="U26" s="98">
        <v>0</v>
      </c>
      <c r="V26" s="99">
        <f>IF(OR(M26=0,B26="n"),0,$V$19*O26)</f>
        <v>0</v>
      </c>
      <c r="W26" s="99">
        <f>IF(OR(M26=0,B26="n"),0,SUM(U26:V26))</f>
        <v>0</v>
      </c>
      <c r="X26" s="99">
        <f>IF(OR(M26=0,B26="n"),0,T26+W26)</f>
        <v>0</v>
      </c>
      <c r="Y26" s="100">
        <f>IF(OR(M26=0,B26="n"),0,(T26+W26)/N26)</f>
        <v>0</v>
      </c>
      <c r="Z26" s="99">
        <f>IF(OR(K26=0,B26="n"),0,(R26+S26+U26+V26))</f>
        <v>0</v>
      </c>
      <c r="AA26" s="100">
        <f>IF(OR(M26=0,B26="n"),0,(R26+S26+U26+V26)/N26)</f>
        <v>0</v>
      </c>
      <c r="AB26" s="124"/>
      <c r="AC26" s="98">
        <f>IF($AC$22="y",IF(B26="y",$O$8*$AI$3*I26,$AI$3*I26),0)</f>
        <v>0</v>
      </c>
      <c r="AD26" s="98">
        <f t="shared" si="3"/>
        <v>0</v>
      </c>
      <c r="AE26" s="98">
        <f t="shared" si="3"/>
        <v>0</v>
      </c>
      <c r="AF26" s="98">
        <f t="shared" si="3"/>
        <v>0</v>
      </c>
      <c r="AG26" s="98">
        <f t="shared" si="3"/>
        <v>0</v>
      </c>
      <c r="AH26" s="98">
        <f t="shared" si="3"/>
        <v>0</v>
      </c>
      <c r="AI26" s="98">
        <f t="shared" si="3"/>
        <v>0</v>
      </c>
      <c r="AJ26" s="98">
        <f t="shared" si="3"/>
        <v>0</v>
      </c>
      <c r="AK26" s="98">
        <f t="shared" si="3"/>
        <v>0</v>
      </c>
      <c r="AL26" s="98">
        <f t="shared" si="3"/>
        <v>0</v>
      </c>
      <c r="AM26" s="98">
        <f t="shared" si="3"/>
        <v>0</v>
      </c>
      <c r="AN26" s="98">
        <f t="shared" si="3"/>
        <v>0</v>
      </c>
      <c r="AO26" s="98">
        <f t="shared" si="3"/>
        <v>0</v>
      </c>
      <c r="AP26" s="98">
        <f t="shared" si="3"/>
        <v>0</v>
      </c>
      <c r="AQ26" s="98">
        <v>0</v>
      </c>
      <c r="AR26" s="190">
        <v>0</v>
      </c>
      <c r="AS26" s="154">
        <v>0</v>
      </c>
      <c r="AT26" s="191">
        <v>0</v>
      </c>
      <c r="AU26" s="219"/>
      <c r="AV26" s="125">
        <f>SUM(AC26:AQ26)</f>
        <v>0</v>
      </c>
      <c r="AW26" s="125">
        <f>AV26+SUM(AR26:AT26)</f>
        <v>0</v>
      </c>
      <c r="AX26" s="124">
        <f>IF(N26=0,0,AV26/(E26*K26))</f>
        <v>0</v>
      </c>
      <c r="AY26" s="124">
        <f>IF(N26=0,0,AW26/(E26*K26))</f>
        <v>0</v>
      </c>
      <c r="AZ26" s="209"/>
      <c r="BA26" s="98">
        <v>0</v>
      </c>
      <c r="BB26" s="98">
        <v>0</v>
      </c>
      <c r="BC26" s="98">
        <v>0</v>
      </c>
      <c r="BD26" s="240">
        <f>IF(AND(B26="y",I26&gt;0),I26*$AI$6,0)</f>
        <v>0</v>
      </c>
      <c r="BE26" s="98">
        <v>0</v>
      </c>
      <c r="BF26" s="98">
        <v>0</v>
      </c>
      <c r="BG26" s="98">
        <v>0</v>
      </c>
      <c r="BH26" s="98">
        <v>0</v>
      </c>
      <c r="BI26" s="98">
        <v>0</v>
      </c>
      <c r="BJ26" s="240">
        <f>IF(AND(B26="y",I26&gt;0),(M26-K26)*$O$7*I26,0)</f>
        <v>0</v>
      </c>
      <c r="BK26" s="98">
        <v>0</v>
      </c>
      <c r="BL26" s="98">
        <v>0</v>
      </c>
      <c r="BM26" s="209"/>
      <c r="BN26" s="125">
        <f>IF(OR(B26="n",K26=0),AV26,AV26+SUM(BA26:BL26)+Z26)</f>
        <v>0</v>
      </c>
      <c r="BO26" s="125">
        <f>IF(OR(B26="n",K26=0),AW26,BN26+X26-Z26)</f>
        <v>0</v>
      </c>
      <c r="BP26" s="124">
        <f>IF(OR(B26="n",K26=0),AX26,BN26/N26)</f>
        <v>0</v>
      </c>
      <c r="BQ26" s="124">
        <f>IF(OR(B26="n",K26=0),AY26,BO26/N26)</f>
        <v>0</v>
      </c>
      <c r="BR26" s="117"/>
      <c r="BS26" s="117"/>
      <c r="BT26" s="117"/>
      <c r="BU26" s="117"/>
      <c r="BV26" s="117"/>
      <c r="BW26"/>
      <c r="BX26"/>
      <c r="BY26"/>
      <c r="BZ26"/>
      <c r="CA26"/>
    </row>
    <row r="27" spans="1:79" ht="15.75">
      <c r="A27"/>
      <c r="B27" s="96" t="s">
        <v>209</v>
      </c>
      <c r="C27" s="602" t="s">
        <v>77</v>
      </c>
      <c r="D27" s="602"/>
      <c r="E27" s="96">
        <v>0</v>
      </c>
      <c r="F27" s="96">
        <v>0</v>
      </c>
      <c r="G27" s="354">
        <f>E27/IF(F27=0,1,F27)</f>
        <v>0</v>
      </c>
      <c r="H27" s="354">
        <f>G27</f>
        <v>0</v>
      </c>
      <c r="I27" s="206">
        <f>E27-G27-H27</f>
        <v>0</v>
      </c>
      <c r="J27" s="96" t="s">
        <v>210</v>
      </c>
      <c r="K27" s="96">
        <v>0</v>
      </c>
      <c r="L27" s="245">
        <f>E27*K27</f>
        <v>0</v>
      </c>
      <c r="M27" s="96">
        <v>0</v>
      </c>
      <c r="N27" s="355">
        <f>IF(B27="n",I27*K27,I27*M27)</f>
        <v>0</v>
      </c>
      <c r="O27" s="98">
        <v>0</v>
      </c>
      <c r="P27" s="122">
        <f>IF(OR(M27=0,B27="n"),0,O27/$P$20)</f>
        <v>0</v>
      </c>
      <c r="Q27" s="99">
        <f>IF(OR(M27=0,B27="n"),0,O27/2*$Q$20)</f>
        <v>0</v>
      </c>
      <c r="R27" s="99">
        <f>IF(OR(M27=0,B27="n"),0,O27/2*$O$2/100*$O$3)</f>
        <v>0</v>
      </c>
      <c r="S27" s="99">
        <f>IF(OR(M27=0,B27="n"),0,O27/2/100*$O$4)</f>
        <v>0</v>
      </c>
      <c r="T27" s="99">
        <f>SUM(P27:S27)</f>
        <v>0</v>
      </c>
      <c r="U27" s="98">
        <v>0</v>
      </c>
      <c r="V27" s="99">
        <f>IF(OR(M27=0,B27="n"),0,$V$19*O27)</f>
        <v>0</v>
      </c>
      <c r="W27" s="99">
        <f>IF(OR(M27=0,B27="n"),0,SUM(U27:V27))</f>
        <v>0</v>
      </c>
      <c r="X27" s="99">
        <f>IF(OR(M27=0,B27="n"),0,T27+W27)</f>
        <v>0</v>
      </c>
      <c r="Y27" s="100">
        <f>IF(OR(M27=0,B27="n"),0,(T27+W27)/N27)</f>
        <v>0</v>
      </c>
      <c r="Z27" s="99">
        <f>IF(OR(K27=0,B27="n"),0,(R27+S27+U27+V27))</f>
        <v>0</v>
      </c>
      <c r="AA27" s="100">
        <f>IF(OR(M27=0,B27="n"),0,(R27+S27+U27+V27)/N27)</f>
        <v>0</v>
      </c>
      <c r="AB27" s="124"/>
      <c r="AC27" s="98">
        <f>IF($AC$22="y",IF(B27="y",$O$8*$AI$3*I27,$AI$3*I27),0)</f>
        <v>0</v>
      </c>
      <c r="AD27" s="98">
        <f t="shared" si="3"/>
        <v>0</v>
      </c>
      <c r="AE27" s="98">
        <f t="shared" si="3"/>
        <v>0</v>
      </c>
      <c r="AF27" s="98">
        <f t="shared" si="3"/>
        <v>0</v>
      </c>
      <c r="AG27" s="98">
        <f t="shared" si="3"/>
        <v>0</v>
      </c>
      <c r="AH27" s="98">
        <f t="shared" si="3"/>
        <v>0</v>
      </c>
      <c r="AI27" s="98">
        <f t="shared" si="3"/>
        <v>0</v>
      </c>
      <c r="AJ27" s="98">
        <f t="shared" si="3"/>
        <v>0</v>
      </c>
      <c r="AK27" s="98">
        <f t="shared" si="3"/>
        <v>0</v>
      </c>
      <c r="AL27" s="98">
        <f t="shared" si="3"/>
        <v>0</v>
      </c>
      <c r="AM27" s="98">
        <f t="shared" si="3"/>
        <v>0</v>
      </c>
      <c r="AN27" s="98">
        <f t="shared" si="3"/>
        <v>0</v>
      </c>
      <c r="AO27" s="98">
        <f t="shared" si="3"/>
        <v>0</v>
      </c>
      <c r="AP27" s="98">
        <f t="shared" si="3"/>
        <v>0</v>
      </c>
      <c r="AQ27" s="98">
        <v>0</v>
      </c>
      <c r="AR27" s="190">
        <v>0</v>
      </c>
      <c r="AS27" s="154">
        <v>0</v>
      </c>
      <c r="AT27" s="191">
        <v>0</v>
      </c>
      <c r="AU27" s="219"/>
      <c r="AV27" s="125">
        <f>SUM(AC27:AQ27)</f>
        <v>0</v>
      </c>
      <c r="AW27" s="125">
        <f>AV27+SUM(AR27:AT27)</f>
        <v>0</v>
      </c>
      <c r="AX27" s="124">
        <f>IF(N27=0,0,AV27/(E27*K27))</f>
        <v>0</v>
      </c>
      <c r="AY27" s="124">
        <f>IF(N27=0,0,AW27/(E27*K27))</f>
        <v>0</v>
      </c>
      <c r="AZ27" s="209"/>
      <c r="BA27" s="98">
        <v>0</v>
      </c>
      <c r="BB27" s="98">
        <v>0</v>
      </c>
      <c r="BC27" s="98">
        <v>0</v>
      </c>
      <c r="BD27" s="240">
        <f>IF(AND(B27="y",I27&gt;0),I27*$AI$6,0)</f>
        <v>0</v>
      </c>
      <c r="BE27" s="98">
        <v>0</v>
      </c>
      <c r="BF27" s="98">
        <v>0</v>
      </c>
      <c r="BG27" s="98">
        <v>0</v>
      </c>
      <c r="BH27" s="98">
        <v>0</v>
      </c>
      <c r="BI27" s="98">
        <v>0</v>
      </c>
      <c r="BJ27" s="240">
        <f>IF(AND(B27="y",I27&gt;0),(M27-K27)*$O$7*I27,0)</f>
        <v>0</v>
      </c>
      <c r="BK27" s="98">
        <v>0</v>
      </c>
      <c r="BL27" s="98">
        <v>0</v>
      </c>
      <c r="BM27" s="209"/>
      <c r="BN27" s="125">
        <f>IF(OR(B27="n",K27=0),AV27,AV27+SUM(BA27:BL27)+Z27)</f>
        <v>0</v>
      </c>
      <c r="BO27" s="125">
        <f>IF(OR(B27="n",K27=0),AW27,BN27+X27-Z27)</f>
        <v>0</v>
      </c>
      <c r="BP27" s="124">
        <f>IF(OR(B27="n",K27=0),AX27,BN27/N27)</f>
        <v>0</v>
      </c>
      <c r="BQ27" s="124">
        <f>IF(OR(B27="n",K27=0),AY27,BO27/N27)</f>
        <v>0</v>
      </c>
      <c r="BR27" s="117"/>
      <c r="BS27" s="117"/>
      <c r="BT27" s="117"/>
      <c r="BU27" s="117"/>
      <c r="BV27" s="117"/>
      <c r="BW27"/>
      <c r="BX27"/>
      <c r="BY27"/>
      <c r="BZ27"/>
      <c r="CA27"/>
    </row>
    <row r="28" spans="1:79" ht="15.75">
      <c r="A28"/>
      <c r="B28" s="96" t="s">
        <v>209</v>
      </c>
      <c r="C28" s="602" t="s">
        <v>77</v>
      </c>
      <c r="D28" s="602"/>
      <c r="E28" s="96">
        <v>0</v>
      </c>
      <c r="F28" s="96">
        <v>0</v>
      </c>
      <c r="G28" s="354">
        <f>E28/IF(F28=0,1,F28)</f>
        <v>0</v>
      </c>
      <c r="H28" s="354">
        <f>G28</f>
        <v>0</v>
      </c>
      <c r="I28" s="206">
        <f>E28-G28-H28</f>
        <v>0</v>
      </c>
      <c r="J28" s="96" t="s">
        <v>210</v>
      </c>
      <c r="K28" s="96">
        <v>0</v>
      </c>
      <c r="L28" s="245">
        <f>E28*K28</f>
        <v>0</v>
      </c>
      <c r="M28" s="96">
        <v>0</v>
      </c>
      <c r="N28" s="355">
        <f>IF(B28="n",I28*K28,I28*M28)</f>
        <v>0</v>
      </c>
      <c r="O28" s="98">
        <v>0</v>
      </c>
      <c r="P28" s="122">
        <f>IF(OR(M28=0,B28="n"),0,O28/$P$20)</f>
        <v>0</v>
      </c>
      <c r="Q28" s="99">
        <f>IF(OR(M28=0,B28="n"),0,O28/2*$Q$20)</f>
        <v>0</v>
      </c>
      <c r="R28" s="99">
        <f>IF(OR(M28=0,B28="n"),0,O28/2*$O$2/100*$O$3)</f>
        <v>0</v>
      </c>
      <c r="S28" s="99">
        <f>IF(OR(M28=0,B28="n"),0,O28/2/100*$O$4)</f>
        <v>0</v>
      </c>
      <c r="T28" s="99">
        <f>SUM(P28:S28)</f>
        <v>0</v>
      </c>
      <c r="U28" s="98">
        <v>0</v>
      </c>
      <c r="V28" s="99">
        <f>IF(OR(M28=0,B28="n"),0,$V$19*O28)</f>
        <v>0</v>
      </c>
      <c r="W28" s="99">
        <f>IF(OR(M28=0,B28="n"),0,SUM(U28:V28))</f>
        <v>0</v>
      </c>
      <c r="X28" s="99">
        <f>IF(OR(M28=0,B28="n"),0,T28+W28)</f>
        <v>0</v>
      </c>
      <c r="Y28" s="100">
        <f>IF(OR(M28=0,B28="n"),0,(T28+W28)/N28)</f>
        <v>0</v>
      </c>
      <c r="Z28" s="99">
        <f>IF(OR(K28=0,B28="n"),0,(R28+S28+U28+V28))</f>
        <v>0</v>
      </c>
      <c r="AA28" s="100">
        <f>IF(OR(M28=0,B28="n"),0,(R28+S28+U28+V28)/N28)</f>
        <v>0</v>
      </c>
      <c r="AB28" s="124"/>
      <c r="AC28" s="98">
        <f>IF($AC$22="y",IF(B28="y",$O$8*$AI$3*I28,$AI$3*I28),0)</f>
        <v>0</v>
      </c>
      <c r="AD28" s="98">
        <v>0</v>
      </c>
      <c r="AE28" s="98">
        <v>0</v>
      </c>
      <c r="AF28" s="98">
        <v>0</v>
      </c>
      <c r="AG28" s="98">
        <v>0</v>
      </c>
      <c r="AH28" s="98">
        <v>0</v>
      </c>
      <c r="AI28" s="98">
        <v>0</v>
      </c>
      <c r="AJ28" s="98">
        <v>0</v>
      </c>
      <c r="AK28" s="98">
        <v>0</v>
      </c>
      <c r="AL28" s="98">
        <v>0</v>
      </c>
      <c r="AM28" s="98">
        <v>0</v>
      </c>
      <c r="AN28" s="98">
        <v>0</v>
      </c>
      <c r="AO28" s="98">
        <v>0</v>
      </c>
      <c r="AP28" s="98">
        <v>0</v>
      </c>
      <c r="AQ28" s="98">
        <v>0</v>
      </c>
      <c r="AR28" s="190">
        <v>0</v>
      </c>
      <c r="AS28" s="154">
        <v>0</v>
      </c>
      <c r="AT28" s="191">
        <v>0</v>
      </c>
      <c r="AU28" s="219"/>
      <c r="AV28" s="125">
        <f>SUM(AC28:AQ28)</f>
        <v>0</v>
      </c>
      <c r="AW28" s="125">
        <f>AV28+SUM(AR28:AT28)</f>
        <v>0</v>
      </c>
      <c r="AX28" s="124">
        <f>IF(N28=0,0,AV28/(E28*K28))</f>
        <v>0</v>
      </c>
      <c r="AY28" s="124">
        <f>IF(N28=0,0,AW28/(E28*K28))</f>
        <v>0</v>
      </c>
      <c r="AZ28" s="209"/>
      <c r="BA28" s="98">
        <v>0</v>
      </c>
      <c r="BB28" s="98">
        <v>0</v>
      </c>
      <c r="BC28" s="98">
        <v>0</v>
      </c>
      <c r="BD28" s="240">
        <f>IF(AND(B28="y",I28&gt;0),I28*$AI$6,0)</f>
        <v>0</v>
      </c>
      <c r="BE28" s="98">
        <v>0</v>
      </c>
      <c r="BF28" s="98">
        <v>0</v>
      </c>
      <c r="BG28" s="98">
        <v>0</v>
      </c>
      <c r="BH28" s="98">
        <v>0</v>
      </c>
      <c r="BI28" s="98">
        <v>0</v>
      </c>
      <c r="BJ28" s="240">
        <f>IF(AND(B28="y",I28&gt;0),(M28-K28)*$O$7*I28,0)</f>
        <v>0</v>
      </c>
      <c r="BK28" s="98">
        <v>0</v>
      </c>
      <c r="BL28" s="98">
        <v>0</v>
      </c>
      <c r="BM28" s="209"/>
      <c r="BN28" s="125">
        <f>IF(OR(B28="n",K28=0),AV28,AV28+SUM(BA28:BL28)+Z28)</f>
        <v>0</v>
      </c>
      <c r="BO28" s="125">
        <f>IF(OR(B28="n",K28=0),AW28,BN28+X28-Z28)</f>
        <v>0</v>
      </c>
      <c r="BP28" s="124">
        <f>IF(OR(B28="n",K28=0),AX28,BN28/N28)</f>
        <v>0</v>
      </c>
      <c r="BQ28" s="124">
        <f>IF(OR(B28="n",K28=0),AY28,BO28/N28)</f>
        <v>0</v>
      </c>
      <c r="BR28" s="117"/>
      <c r="BS28" s="117"/>
      <c r="BT28" s="117"/>
      <c r="BU28" s="117"/>
      <c r="BV28" s="117"/>
      <c r="BW28"/>
      <c r="BX28"/>
      <c r="BY28"/>
      <c r="BZ28"/>
      <c r="CA28"/>
    </row>
    <row r="29" spans="1:79" ht="15.75">
      <c r="A29"/>
      <c r="B29" s="121"/>
      <c r="C29" s="197" t="s">
        <v>363</v>
      </c>
      <c r="D29" s="197"/>
      <c r="E29" s="197"/>
      <c r="F29" s="197"/>
      <c r="G29" s="205"/>
      <c r="H29" s="205"/>
      <c r="I29" s="205"/>
      <c r="J29" s="197"/>
      <c r="K29" s="181" t="s">
        <v>301</v>
      </c>
      <c r="L29" s="356">
        <f>SUM(L24:L28)</f>
        <v>461.478947368421</v>
      </c>
      <c r="M29" s="197"/>
      <c r="N29" s="356">
        <f>SUM(N24:N28)</f>
        <v>461.478947368421</v>
      </c>
      <c r="O29" s="127"/>
      <c r="P29" s="127"/>
      <c r="Q29" s="126"/>
      <c r="R29" s="126"/>
      <c r="S29" s="126"/>
      <c r="T29" s="126"/>
      <c r="U29" s="126"/>
      <c r="V29" s="126"/>
      <c r="W29" s="126"/>
      <c r="X29" s="126"/>
      <c r="Y29" s="3"/>
      <c r="Z29" s="3"/>
      <c r="AA29" s="3"/>
      <c r="AB29" s="117"/>
      <c r="AC29" s="127"/>
      <c r="AD29" s="127"/>
      <c r="AE29" s="127"/>
      <c r="AF29" s="127"/>
      <c r="AG29" s="127"/>
      <c r="AH29" s="127"/>
      <c r="AI29" s="127"/>
      <c r="AJ29" s="127"/>
      <c r="AK29" s="127"/>
      <c r="AL29" s="127"/>
      <c r="AM29" s="127"/>
      <c r="AN29" s="127"/>
      <c r="AO29" s="127"/>
      <c r="AP29" s="127"/>
      <c r="AQ29" s="127"/>
      <c r="AR29" s="192"/>
      <c r="AS29" s="193"/>
      <c r="AT29" s="194"/>
      <c r="AU29" s="213"/>
      <c r="AV29" s="127"/>
      <c r="AW29" s="127"/>
      <c r="AX29" s="127"/>
      <c r="AY29" s="127"/>
      <c r="AZ29" s="213"/>
      <c r="BA29" s="127"/>
      <c r="BB29" s="127"/>
      <c r="BC29" s="127"/>
      <c r="BD29" s="241"/>
      <c r="BE29" s="127"/>
      <c r="BF29" s="127"/>
      <c r="BG29" s="127"/>
      <c r="BH29" s="127"/>
      <c r="BI29" s="127"/>
      <c r="BJ29" s="241"/>
      <c r="BK29" s="127"/>
      <c r="BL29" s="127"/>
      <c r="BM29" s="213"/>
      <c r="BN29" s="127"/>
      <c r="BO29" s="127"/>
      <c r="BP29" s="127"/>
      <c r="BQ29" s="127"/>
      <c r="BR29" s="128"/>
      <c r="BS29" s="128"/>
      <c r="BT29" s="128"/>
      <c r="BU29" s="128"/>
      <c r="BV29" s="117"/>
      <c r="BW29"/>
      <c r="BX29"/>
      <c r="BY29"/>
      <c r="BZ29"/>
      <c r="CA29"/>
    </row>
    <row r="30" spans="1:79" ht="15.75">
      <c r="A30"/>
      <c r="B30" s="96" t="s">
        <v>209</v>
      </c>
      <c r="C30" s="602" t="s">
        <v>77</v>
      </c>
      <c r="D30" s="602"/>
      <c r="E30" s="96">
        <v>0</v>
      </c>
      <c r="F30" s="96">
        <v>0</v>
      </c>
      <c r="G30" s="206">
        <f>E30/IF(F30=0,1,F30)</f>
        <v>0</v>
      </c>
      <c r="H30" s="206">
        <f>G30</f>
        <v>0</v>
      </c>
      <c r="I30" s="206">
        <f>E30-G30-H30</f>
        <v>0</v>
      </c>
      <c r="J30" s="96" t="s">
        <v>210</v>
      </c>
      <c r="K30" s="96">
        <v>0</v>
      </c>
      <c r="L30" s="245">
        <f>E30*K30</f>
        <v>0</v>
      </c>
      <c r="M30" s="96">
        <v>0</v>
      </c>
      <c r="N30" s="355">
        <f>IF(B30="n",I30*K30,I30*M30)</f>
        <v>0</v>
      </c>
      <c r="O30" s="98">
        <v>0</v>
      </c>
      <c r="P30" s="122">
        <f>IF(OR(M30=0,B30="n"),0,O30/$P$20)</f>
        <v>0</v>
      </c>
      <c r="Q30" s="99">
        <f>IF(OR(M30=0,B30="n"),0,O30/2*$Q$20)</f>
        <v>0</v>
      </c>
      <c r="R30" s="99">
        <f>IF(OR(M30=0,B30="n"),0,O30/2*$O$2/100*$O$3)</f>
        <v>0</v>
      </c>
      <c r="S30" s="99">
        <f>IF(OR(M30=0,B30="n"),0,O30/2/100*$O$4)</f>
        <v>0</v>
      </c>
      <c r="T30" s="99">
        <f>SUM(P30:S30)</f>
        <v>0</v>
      </c>
      <c r="U30" s="98">
        <v>0</v>
      </c>
      <c r="V30" s="99">
        <f>IF(OR(M30=0,B30="n"),0,$V$19*O30)</f>
        <v>0</v>
      </c>
      <c r="W30" s="99">
        <f>IF(OR(M30=0,B30="n"),0,SUM(U30:V30))</f>
        <v>0</v>
      </c>
      <c r="X30" s="99">
        <f>IF(OR(M30=0,B30="n"),0,T30+W30)</f>
        <v>0</v>
      </c>
      <c r="Y30" s="100">
        <f>IF(OR(M30=0,B30="n"),0,(T30+W30)/N30)</f>
        <v>0</v>
      </c>
      <c r="Z30" s="99">
        <f>IF(OR(K30=0,B30="n"),0,(R30+S30+U30+V30))</f>
        <v>0</v>
      </c>
      <c r="AA30" s="100">
        <f>IF(OR(M30=0,B30="n"),0,(R30+S30+U30+V30)/N30)</f>
        <v>0</v>
      </c>
      <c r="AB30" s="124"/>
      <c r="AC30" s="98">
        <f>IF($AC$22="y",IF(B30="y",$O$8*$AI$3*I30,$AI$3*I30),0)</f>
        <v>0</v>
      </c>
      <c r="AD30" s="98">
        <f>$AI$4*I30</f>
        <v>0</v>
      </c>
      <c r="AE30" s="98">
        <f>$AI$5*I30</f>
        <v>0</v>
      </c>
      <c r="AF30" s="98">
        <f>$AI$6*I30</f>
        <v>0</v>
      </c>
      <c r="AG30" s="98">
        <v>0</v>
      </c>
      <c r="AH30" s="98">
        <f>($AI$8-($O$7*K30))*I30</f>
        <v>0</v>
      </c>
      <c r="AI30" s="98">
        <f>$AI$9*I30</f>
        <v>0</v>
      </c>
      <c r="AJ30" s="98">
        <f>$AI$10*I30</f>
        <v>0</v>
      </c>
      <c r="AK30" s="98">
        <v>0</v>
      </c>
      <c r="AL30" s="98">
        <f>I30*K30*$O$7</f>
        <v>0</v>
      </c>
      <c r="AM30" s="98">
        <v>0</v>
      </c>
      <c r="AN30" s="98">
        <v>0</v>
      </c>
      <c r="AO30" s="98">
        <v>0</v>
      </c>
      <c r="AP30" s="98">
        <v>0</v>
      </c>
      <c r="AQ30" s="98">
        <v>0</v>
      </c>
      <c r="AR30" s="190">
        <v>0</v>
      </c>
      <c r="AS30" s="154">
        <v>0</v>
      </c>
      <c r="AT30" s="191">
        <v>0</v>
      </c>
      <c r="AU30" s="219"/>
      <c r="AV30" s="125">
        <f>SUM(AC30:AQ30)</f>
        <v>0</v>
      </c>
      <c r="AW30" s="125">
        <f>AV30+SUM(AR30:AT30)</f>
        <v>0</v>
      </c>
      <c r="AX30" s="124">
        <f>IF(N30=0,0,AV30/(E30*K30))</f>
        <v>0</v>
      </c>
      <c r="AY30" s="124">
        <f>IF(N30=0,0,AW30/(E30*K30))</f>
        <v>0</v>
      </c>
      <c r="AZ30" s="209"/>
      <c r="BA30" s="98">
        <v>0</v>
      </c>
      <c r="BB30" s="98">
        <v>0</v>
      </c>
      <c r="BC30" s="98">
        <v>0</v>
      </c>
      <c r="BD30" s="240">
        <f>IF(AND(B30="y",I30&gt;0),I30*$AI$6,0)</f>
        <v>0</v>
      </c>
      <c r="BE30" s="98">
        <v>0</v>
      </c>
      <c r="BF30" s="98">
        <v>0</v>
      </c>
      <c r="BG30" s="98">
        <v>0</v>
      </c>
      <c r="BH30" s="98">
        <v>0</v>
      </c>
      <c r="BI30" s="98">
        <v>0</v>
      </c>
      <c r="BJ30" s="240">
        <f>IF(AND(B30="y",I30&gt;0),(M30-K30)*$O$7*I30,0)</f>
        <v>0</v>
      </c>
      <c r="BK30" s="98">
        <v>0</v>
      </c>
      <c r="BL30" s="98">
        <v>0</v>
      </c>
      <c r="BM30" s="209"/>
      <c r="BN30" s="125">
        <f>IF(OR(B30="n",K30=0),AV30,AV30+SUM(BA30:BL30)+Z30)</f>
        <v>0</v>
      </c>
      <c r="BO30" s="125">
        <f>IF(OR(B30="n",K30=0),AW30,BN30+X30-Z30)</f>
        <v>0</v>
      </c>
      <c r="BP30" s="124">
        <f>IF(OR(B30="n",K30=0),AX30,BN30/N30)</f>
        <v>0</v>
      </c>
      <c r="BQ30" s="124">
        <f>IF(OR(B30="n",K30=0),AY30,BO30/N30)</f>
        <v>0</v>
      </c>
      <c r="BR30" s="117"/>
      <c r="BS30" s="117"/>
      <c r="BT30" s="117"/>
      <c r="BU30" s="117"/>
      <c r="BV30" s="117"/>
      <c r="BW30"/>
      <c r="BX30"/>
      <c r="BY30"/>
      <c r="BZ30"/>
      <c r="CA30"/>
    </row>
    <row r="31" spans="1:79" ht="15.75">
      <c r="A31"/>
      <c r="B31" s="96" t="s">
        <v>209</v>
      </c>
      <c r="C31" s="602" t="s">
        <v>77</v>
      </c>
      <c r="D31" s="602"/>
      <c r="E31" s="96">
        <v>0</v>
      </c>
      <c r="F31" s="96">
        <v>0</v>
      </c>
      <c r="G31" s="206">
        <f>E31/IF(F31=0,1,F31)</f>
        <v>0</v>
      </c>
      <c r="H31" s="206">
        <f>G31</f>
        <v>0</v>
      </c>
      <c r="I31" s="206">
        <f>E31-G31-H31</f>
        <v>0</v>
      </c>
      <c r="J31" s="96" t="s">
        <v>210</v>
      </c>
      <c r="K31" s="96">
        <v>0</v>
      </c>
      <c r="L31" s="245">
        <f>E31*K31</f>
        <v>0</v>
      </c>
      <c r="M31" s="96">
        <v>0</v>
      </c>
      <c r="N31" s="355">
        <f>IF(B31="n",I31*K31,I31*M31)</f>
        <v>0</v>
      </c>
      <c r="O31" s="98">
        <v>0</v>
      </c>
      <c r="P31" s="122">
        <f>IF(OR(M31=0,B31="n"),0,O31/$P$20)</f>
        <v>0</v>
      </c>
      <c r="Q31" s="99">
        <f>IF(OR(M31=0,B31="n"),0,O31/2*$Q$20)</f>
        <v>0</v>
      </c>
      <c r="R31" s="99">
        <f>IF(OR(M31=0,B31="n"),0,O31/2*$O$2/100*$O$3)</f>
        <v>0</v>
      </c>
      <c r="S31" s="99">
        <f>IF(OR(M31=0,B31="n"),0,O31/2/100*$O$4)</f>
        <v>0</v>
      </c>
      <c r="T31" s="99">
        <f>SUM(P31:S31)</f>
        <v>0</v>
      </c>
      <c r="U31" s="98">
        <v>0</v>
      </c>
      <c r="V31" s="99">
        <f>IF(OR(M31=0,B31="n"),0,$V$19*O31)</f>
        <v>0</v>
      </c>
      <c r="W31" s="99">
        <f>IF(OR(M31=0,B31="n"),0,SUM(U31:V31))</f>
        <v>0</v>
      </c>
      <c r="X31" s="99">
        <f>IF(OR(M31=0,B31="n"),0,T31+W31)</f>
        <v>0</v>
      </c>
      <c r="Y31" s="100">
        <f>IF(OR(M31=0,B31="n"),0,(T31+W31)/N31)</f>
        <v>0</v>
      </c>
      <c r="Z31" s="99">
        <f>IF(OR(K31=0,B31="n"),0,(R31+S31+U31+V31))</f>
        <v>0</v>
      </c>
      <c r="AA31" s="100">
        <f>IF(OR(M31=0,B31="n"),0,(R31+S31+U31+V31)/N31)</f>
        <v>0</v>
      </c>
      <c r="AB31" s="124"/>
      <c r="AC31" s="98">
        <f>IF($AC$22="y",IF(B31="y",$O$8*$AI$3*I31,$AI$3*I31),0)</f>
        <v>0</v>
      </c>
      <c r="AD31" s="98">
        <f>$AI$4*I31</f>
        <v>0</v>
      </c>
      <c r="AE31" s="98">
        <f>$AI$5*I31</f>
        <v>0</v>
      </c>
      <c r="AF31" s="98">
        <f>$AI$6*I31</f>
        <v>0</v>
      </c>
      <c r="AG31" s="98">
        <v>0</v>
      </c>
      <c r="AH31" s="98">
        <f>($AI$8-($O$7*K31))*I31</f>
        <v>0</v>
      </c>
      <c r="AI31" s="98">
        <f>$AI$9*I31</f>
        <v>0</v>
      </c>
      <c r="AJ31" s="98">
        <f>$AI$10*I31</f>
        <v>0</v>
      </c>
      <c r="AK31" s="98">
        <v>0</v>
      </c>
      <c r="AL31" s="98">
        <f>I31*K31*$O$7</f>
        <v>0</v>
      </c>
      <c r="AM31" s="98">
        <v>0</v>
      </c>
      <c r="AN31" s="98">
        <v>0</v>
      </c>
      <c r="AO31" s="98">
        <v>0</v>
      </c>
      <c r="AP31" s="98">
        <v>0</v>
      </c>
      <c r="AQ31" s="98">
        <v>0</v>
      </c>
      <c r="AR31" s="190">
        <v>0</v>
      </c>
      <c r="AS31" s="154">
        <v>0</v>
      </c>
      <c r="AT31" s="191">
        <v>0</v>
      </c>
      <c r="AU31" s="219"/>
      <c r="AV31" s="125">
        <f>SUM(AC31:AQ31)</f>
        <v>0</v>
      </c>
      <c r="AW31" s="125">
        <f>AV31+SUM(AR31:AT31)</f>
        <v>0</v>
      </c>
      <c r="AX31" s="124">
        <f>IF(N31=0,0,AV31/(E31*K31))</f>
        <v>0</v>
      </c>
      <c r="AY31" s="124">
        <f>IF(N31=0,0,AW31/(E31*K31))</f>
        <v>0</v>
      </c>
      <c r="AZ31" s="209"/>
      <c r="BA31" s="98">
        <v>0</v>
      </c>
      <c r="BB31" s="98">
        <v>0</v>
      </c>
      <c r="BC31" s="98">
        <v>0</v>
      </c>
      <c r="BD31" s="240">
        <f>IF(AND(B31="y",I31&gt;0),I31*$AI$6,0)</f>
        <v>0</v>
      </c>
      <c r="BE31" s="98">
        <v>0</v>
      </c>
      <c r="BF31" s="98">
        <v>0</v>
      </c>
      <c r="BG31" s="98">
        <v>0</v>
      </c>
      <c r="BH31" s="98">
        <v>0</v>
      </c>
      <c r="BI31" s="98">
        <v>0</v>
      </c>
      <c r="BJ31" s="240">
        <f>IF(AND(B31="y",I31&gt;0),(M31-K31)*$O$7*I31,0)</f>
        <v>0</v>
      </c>
      <c r="BK31" s="98">
        <v>0</v>
      </c>
      <c r="BL31" s="98">
        <v>0</v>
      </c>
      <c r="BM31" s="209"/>
      <c r="BN31" s="125">
        <f>IF(OR(B31="n",K31=0),AV31,AV31+SUM(BA31:BL31)+Z31)</f>
        <v>0</v>
      </c>
      <c r="BO31" s="125">
        <f>IF(OR(B31="n",K31=0),AW31,BN31+X31-Z31)</f>
        <v>0</v>
      </c>
      <c r="BP31" s="124">
        <f>IF(OR(B31="n",K31=0),AX31,BN31/N31)</f>
        <v>0</v>
      </c>
      <c r="BQ31" s="124">
        <f>IF(OR(B31="n",K31=0),AY31,BO31/N31)</f>
        <v>0</v>
      </c>
      <c r="BR31" s="117"/>
      <c r="BS31" s="117"/>
      <c r="BT31" s="117"/>
      <c r="BU31" s="117"/>
      <c r="BV31" s="117"/>
      <c r="BW31"/>
      <c r="BX31"/>
      <c r="BY31"/>
      <c r="BZ31"/>
      <c r="CA31"/>
    </row>
    <row r="32" spans="1:79" ht="15.75">
      <c r="A32"/>
      <c r="B32" s="96" t="s">
        <v>209</v>
      </c>
      <c r="C32" s="602" t="s">
        <v>77</v>
      </c>
      <c r="D32" s="602"/>
      <c r="E32" s="96">
        <v>0</v>
      </c>
      <c r="F32" s="96">
        <v>0</v>
      </c>
      <c r="G32" s="206">
        <f>E32/IF(F32=0,1,F32)</f>
        <v>0</v>
      </c>
      <c r="H32" s="206">
        <f>G32</f>
        <v>0</v>
      </c>
      <c r="I32" s="206">
        <f>E32-G32-H32</f>
        <v>0</v>
      </c>
      <c r="J32" s="96" t="s">
        <v>210</v>
      </c>
      <c r="K32" s="96">
        <v>0</v>
      </c>
      <c r="L32" s="245">
        <f>E32*K32</f>
        <v>0</v>
      </c>
      <c r="M32" s="96">
        <v>0</v>
      </c>
      <c r="N32" s="355">
        <f>IF(B32="n",I32*K32,I32*M32)</f>
        <v>0</v>
      </c>
      <c r="O32" s="98">
        <v>0</v>
      </c>
      <c r="P32" s="122">
        <f>IF(OR(M32=0,B32="n"),0,O32/$P$20)</f>
        <v>0</v>
      </c>
      <c r="Q32" s="99">
        <f>IF(OR(M32=0,B32="n"),0,O32/2*$Q$20)</f>
        <v>0</v>
      </c>
      <c r="R32" s="99">
        <f>IF(OR(M32=0,B32="n"),0,O32/2*$O$2/100*$O$3)</f>
        <v>0</v>
      </c>
      <c r="S32" s="99">
        <f>IF(OR(M32=0,B32="n"),0,O32/2/100*$O$4)</f>
        <v>0</v>
      </c>
      <c r="T32" s="99">
        <f>SUM(P32:S32)</f>
        <v>0</v>
      </c>
      <c r="U32" s="98">
        <v>0</v>
      </c>
      <c r="V32" s="99">
        <f>IF(OR(M32=0,B32="n"),0,$V$19*O32)</f>
        <v>0</v>
      </c>
      <c r="W32" s="99">
        <f>IF(OR(M32=0,B32="n"),0,SUM(U32:V32))</f>
        <v>0</v>
      </c>
      <c r="X32" s="99">
        <f>IF(OR(M32=0,B32="n"),0,T32+W32)</f>
        <v>0</v>
      </c>
      <c r="Y32" s="100">
        <f>IF(OR(M32=0,B32="n"),0,(T32+W32)/N32)</f>
        <v>0</v>
      </c>
      <c r="Z32" s="99">
        <f>IF(OR(K32=0,B32="n"),0,(R32+S32+U32+V32))</f>
        <v>0</v>
      </c>
      <c r="AA32" s="100">
        <f>IF(OR(M32=0,B32="n"),0,(R32+S32+U32+V32)/N32)</f>
        <v>0</v>
      </c>
      <c r="AB32" s="124"/>
      <c r="AC32" s="98">
        <f>IF($AC$22="y",IF(B32="y",$O$8*$AI$3*I32,$AI$3*I32),0)</f>
        <v>0</v>
      </c>
      <c r="AD32" s="98">
        <f>$AI$4*I32</f>
        <v>0</v>
      </c>
      <c r="AE32" s="98">
        <f>$AI$5*I32</f>
        <v>0</v>
      </c>
      <c r="AF32" s="98">
        <f>$AI$6*I32</f>
        <v>0</v>
      </c>
      <c r="AG32" s="98">
        <v>0</v>
      </c>
      <c r="AH32" s="98">
        <f>($AI$8-($O$7*K32))*I32</f>
        <v>0</v>
      </c>
      <c r="AI32" s="98">
        <f>$AI$9*I32</f>
        <v>0</v>
      </c>
      <c r="AJ32" s="98">
        <f>$AI$10*I32</f>
        <v>0</v>
      </c>
      <c r="AK32" s="98">
        <v>0</v>
      </c>
      <c r="AL32" s="98">
        <f>I32*K32*$O$7</f>
        <v>0</v>
      </c>
      <c r="AM32" s="98">
        <v>0</v>
      </c>
      <c r="AN32" s="98">
        <v>0</v>
      </c>
      <c r="AO32" s="98">
        <v>0</v>
      </c>
      <c r="AP32" s="98">
        <v>0</v>
      </c>
      <c r="AQ32" s="98">
        <v>0</v>
      </c>
      <c r="AR32" s="190">
        <v>0</v>
      </c>
      <c r="AS32" s="154">
        <v>0</v>
      </c>
      <c r="AT32" s="191">
        <v>0</v>
      </c>
      <c r="AU32" s="219"/>
      <c r="AV32" s="125">
        <f>SUM(AC32:AQ32)</f>
        <v>0</v>
      </c>
      <c r="AW32" s="125">
        <f>AV32+SUM(AR32:AT32)</f>
        <v>0</v>
      </c>
      <c r="AX32" s="124">
        <f>IF(N32=0,0,AV32/(E32*K32))</f>
        <v>0</v>
      </c>
      <c r="AY32" s="124">
        <f>IF(N32=0,0,AW32/(E32*K32))</f>
        <v>0</v>
      </c>
      <c r="AZ32" s="209"/>
      <c r="BA32" s="98">
        <v>0</v>
      </c>
      <c r="BB32" s="98">
        <v>0</v>
      </c>
      <c r="BC32" s="98">
        <v>0</v>
      </c>
      <c r="BD32" s="240">
        <f>IF(AND(B32="y",I32&gt;0),I32*$AI$6,0)</f>
        <v>0</v>
      </c>
      <c r="BE32" s="98">
        <v>0</v>
      </c>
      <c r="BF32" s="98">
        <v>0</v>
      </c>
      <c r="BG32" s="98">
        <v>0</v>
      </c>
      <c r="BH32" s="98">
        <v>0</v>
      </c>
      <c r="BI32" s="98">
        <v>0</v>
      </c>
      <c r="BJ32" s="240">
        <f>IF(AND(B32="y",I32&gt;0),(M32-K32)*$O$7*I32,0)</f>
        <v>0</v>
      </c>
      <c r="BK32" s="98">
        <v>0</v>
      </c>
      <c r="BL32" s="98">
        <v>0</v>
      </c>
      <c r="BM32" s="209"/>
      <c r="BN32" s="125">
        <f>IF(OR(B32="n",K32=0),AV32,AV32+SUM(BA32:BL32)+Z32)</f>
        <v>0</v>
      </c>
      <c r="BO32" s="125">
        <f>IF(OR(B32="n",K32=0),AW32,BN32+X32-Z32)</f>
        <v>0</v>
      </c>
      <c r="BP32" s="124">
        <f>IF(OR(B32="n",K32=0),AX32,BN32/N32)</f>
        <v>0</v>
      </c>
      <c r="BQ32" s="124">
        <f>IF(OR(B32="n",K32=0),AY32,BO32/N32)</f>
        <v>0</v>
      </c>
      <c r="BR32" s="117"/>
      <c r="BS32" s="117"/>
      <c r="BT32" s="117"/>
      <c r="BU32" s="117"/>
      <c r="BV32" s="117"/>
      <c r="BW32"/>
      <c r="BX32"/>
      <c r="BY32"/>
      <c r="BZ32"/>
      <c r="CA32"/>
    </row>
    <row r="33" spans="1:79" ht="15.75">
      <c r="A33"/>
      <c r="B33" s="96" t="s">
        <v>209</v>
      </c>
      <c r="C33" s="602" t="s">
        <v>77</v>
      </c>
      <c r="D33" s="602"/>
      <c r="E33" s="96">
        <v>0</v>
      </c>
      <c r="F33" s="96">
        <v>0</v>
      </c>
      <c r="G33" s="206">
        <f>E33/IF(F33=0,1,F33)</f>
        <v>0</v>
      </c>
      <c r="H33" s="206">
        <f>G33</f>
        <v>0</v>
      </c>
      <c r="I33" s="206">
        <f>E33-G33-H33</f>
        <v>0</v>
      </c>
      <c r="J33" s="96" t="s">
        <v>210</v>
      </c>
      <c r="K33" s="96">
        <v>0</v>
      </c>
      <c r="L33" s="245">
        <f>E33*K33</f>
        <v>0</v>
      </c>
      <c r="M33" s="96">
        <v>0</v>
      </c>
      <c r="N33" s="355">
        <f>IF(B33="n",I33*K33,I33*M33)</f>
        <v>0</v>
      </c>
      <c r="O33" s="98">
        <v>0</v>
      </c>
      <c r="P33" s="122">
        <f>IF(OR(M33=0,B33="n"),0,O33/$P$20)</f>
        <v>0</v>
      </c>
      <c r="Q33" s="99">
        <f>IF(OR(M33=0,B33="n"),0,O33/2*$Q$20)</f>
        <v>0</v>
      </c>
      <c r="R33" s="99">
        <f>IF(OR(M33=0,B33="n"),0,O33/2*$O$2/100*$O$3)</f>
        <v>0</v>
      </c>
      <c r="S33" s="99">
        <f>IF(OR(M33=0,B33="n"),0,O33/2/100*$O$4)</f>
        <v>0</v>
      </c>
      <c r="T33" s="99">
        <f>SUM(P33:S33)</f>
        <v>0</v>
      </c>
      <c r="U33" s="98">
        <v>0</v>
      </c>
      <c r="V33" s="99">
        <f>IF(OR(M33=0,B33="n"),0,$V$19*O33)</f>
        <v>0</v>
      </c>
      <c r="W33" s="99">
        <f>IF(OR(M33=0,B33="n"),0,SUM(U33:V33))</f>
        <v>0</v>
      </c>
      <c r="X33" s="99">
        <f>IF(OR(M33=0,B33="n"),0,T33+W33)</f>
        <v>0</v>
      </c>
      <c r="Y33" s="100">
        <f>IF(OR(M33=0,B33="n"),0,(T33+W33)/N33)</f>
        <v>0</v>
      </c>
      <c r="Z33" s="99">
        <f>IF(OR(K33=0,B33="n"),0,(R33+S33+U33+V33))</f>
        <v>0</v>
      </c>
      <c r="AA33" s="100">
        <f>IF(OR(M33=0,B33="n"),0,(R33+S33+U33+V33)/N33)</f>
        <v>0</v>
      </c>
      <c r="AB33" s="124"/>
      <c r="AC33" s="98">
        <f>IF($AC$22="y",IF(B33="y",$O$8*$AI$3*I33,$AI$3*I33),0)</f>
        <v>0</v>
      </c>
      <c r="AD33" s="98">
        <v>0</v>
      </c>
      <c r="AE33" s="98">
        <v>0</v>
      </c>
      <c r="AF33" s="98">
        <v>0</v>
      </c>
      <c r="AG33" s="98">
        <v>0</v>
      </c>
      <c r="AH33" s="98">
        <v>0</v>
      </c>
      <c r="AI33" s="98">
        <v>0</v>
      </c>
      <c r="AJ33" s="98">
        <v>0</v>
      </c>
      <c r="AK33" s="98">
        <v>0</v>
      </c>
      <c r="AL33" s="98">
        <v>0</v>
      </c>
      <c r="AM33" s="98">
        <v>0</v>
      </c>
      <c r="AN33" s="98">
        <v>0</v>
      </c>
      <c r="AO33" s="98">
        <v>0</v>
      </c>
      <c r="AP33" s="98">
        <v>0</v>
      </c>
      <c r="AQ33" s="98">
        <v>0</v>
      </c>
      <c r="AR33" s="190">
        <v>0</v>
      </c>
      <c r="AS33" s="154">
        <v>0</v>
      </c>
      <c r="AT33" s="191">
        <v>0</v>
      </c>
      <c r="AU33" s="219"/>
      <c r="AV33" s="125">
        <f>SUM(AC33:AQ33)</f>
        <v>0</v>
      </c>
      <c r="AW33" s="125">
        <f>AV33+SUM(AR33:AT33)</f>
        <v>0</v>
      </c>
      <c r="AX33" s="124">
        <f>IF(N33=0,0,AV33/(E33*K33))</f>
        <v>0</v>
      </c>
      <c r="AY33" s="124">
        <f>IF(N33=0,0,AW33/(E33*K33))</f>
        <v>0</v>
      </c>
      <c r="AZ33" s="209"/>
      <c r="BA33" s="98">
        <v>0</v>
      </c>
      <c r="BB33" s="98">
        <v>0</v>
      </c>
      <c r="BC33" s="98">
        <v>0</v>
      </c>
      <c r="BD33" s="240">
        <f>IF(AND(B33="y",I33&gt;0),I33*$AI$6,0)</f>
        <v>0</v>
      </c>
      <c r="BE33" s="98">
        <v>0</v>
      </c>
      <c r="BF33" s="98">
        <v>0</v>
      </c>
      <c r="BG33" s="98">
        <v>0</v>
      </c>
      <c r="BH33" s="98">
        <v>0</v>
      </c>
      <c r="BI33" s="98">
        <v>0</v>
      </c>
      <c r="BJ33" s="240">
        <f>IF(AND(B33="y",I33&gt;0),(M33-K33)*$O$7*I33,0)</f>
        <v>0</v>
      </c>
      <c r="BK33" s="98">
        <v>0</v>
      </c>
      <c r="BL33" s="98">
        <v>0</v>
      </c>
      <c r="BM33" s="209"/>
      <c r="BN33" s="125">
        <f>IF(OR(B33="n",K33=0),AV33,AV33+SUM(BA33:BL33)+Z33)</f>
        <v>0</v>
      </c>
      <c r="BO33" s="125">
        <f>IF(OR(B33="n",K33=0),AW33,BN33+X33-Z33)</f>
        <v>0</v>
      </c>
      <c r="BP33" s="124">
        <f>IF(OR(B33="n",K33=0),AX33,BN33/N33)</f>
        <v>0</v>
      </c>
      <c r="BQ33" s="124">
        <f>IF(OR(B33="n",K33=0),AY33,BO33/N33)</f>
        <v>0</v>
      </c>
      <c r="BR33" s="117"/>
      <c r="BS33" s="117"/>
      <c r="BT33" s="117"/>
      <c r="BU33" s="117"/>
      <c r="BV33" s="117"/>
      <c r="BW33"/>
      <c r="BX33"/>
      <c r="BY33"/>
      <c r="BZ33"/>
      <c r="CA33"/>
    </row>
    <row r="34" spans="1:79" ht="15.75">
      <c r="A34"/>
      <c r="B34" s="96" t="s">
        <v>209</v>
      </c>
      <c r="C34" s="602" t="s">
        <v>77</v>
      </c>
      <c r="D34" s="602"/>
      <c r="E34" s="96">
        <v>0</v>
      </c>
      <c r="F34" s="96">
        <v>0</v>
      </c>
      <c r="G34" s="206">
        <f>E34/IF(F34=0,1,F34)</f>
        <v>0</v>
      </c>
      <c r="H34" s="206">
        <f>G34</f>
        <v>0</v>
      </c>
      <c r="I34" s="206">
        <f>E34-G34-H34</f>
        <v>0</v>
      </c>
      <c r="J34" s="96" t="s">
        <v>210</v>
      </c>
      <c r="K34" s="96">
        <v>0</v>
      </c>
      <c r="L34" s="245">
        <f>E34*K34</f>
        <v>0</v>
      </c>
      <c r="M34" s="96">
        <v>0</v>
      </c>
      <c r="N34" s="355">
        <f>IF(B34="n",I34*K34,I34*M34)</f>
        <v>0</v>
      </c>
      <c r="O34" s="98">
        <v>0</v>
      </c>
      <c r="P34" s="122">
        <f>IF(OR(M34=0,B34="n"),0,O34/$P$20)</f>
        <v>0</v>
      </c>
      <c r="Q34" s="99">
        <f>IF(OR(M34=0,B34="n"),0,O34/2*$Q$20)</f>
        <v>0</v>
      </c>
      <c r="R34" s="99">
        <f>IF(OR(M34=0,B34="n"),0,O34/2*$O$2/100*$O$3)</f>
        <v>0</v>
      </c>
      <c r="S34" s="99">
        <f>IF(OR(M34=0,B34="n"),0,O34/2/100*$O$4)</f>
        <v>0</v>
      </c>
      <c r="T34" s="99">
        <f>SUM(P34:S34)</f>
        <v>0</v>
      </c>
      <c r="U34" s="98">
        <v>0</v>
      </c>
      <c r="V34" s="99">
        <f>IF(OR(M34=0,B34="n"),0,$V$19*O34)</f>
        <v>0</v>
      </c>
      <c r="W34" s="99">
        <f>IF(OR(M34=0,B34="n"),0,SUM(U34:V34))</f>
        <v>0</v>
      </c>
      <c r="X34" s="99">
        <f>IF(OR(M34=0,B34="n"),0,T34+W34)</f>
        <v>0</v>
      </c>
      <c r="Y34" s="100">
        <f>IF(OR(M34=0,B34="n"),0,(T34+W34)/N34)</f>
        <v>0</v>
      </c>
      <c r="Z34" s="99">
        <f>IF(OR(K34=0,B34="n"),0,(R34+S34+U34+V34))</f>
        <v>0</v>
      </c>
      <c r="AA34" s="100">
        <f>IF(OR(M34=0,B34="n"),0,(R34+S34+U34+V34)/N34)</f>
        <v>0</v>
      </c>
      <c r="AB34" s="124"/>
      <c r="AC34" s="98">
        <f>IF($AC$22="y",IF(B34="y",$O$8*$AI$3*I34,$AI$3*I34),0)</f>
        <v>0</v>
      </c>
      <c r="AD34" s="98">
        <v>0</v>
      </c>
      <c r="AE34" s="98">
        <v>0</v>
      </c>
      <c r="AF34" s="98">
        <v>0</v>
      </c>
      <c r="AG34" s="98">
        <v>0</v>
      </c>
      <c r="AH34" s="98">
        <v>0</v>
      </c>
      <c r="AI34" s="98">
        <v>0</v>
      </c>
      <c r="AJ34" s="98">
        <v>0</v>
      </c>
      <c r="AK34" s="98">
        <v>0</v>
      </c>
      <c r="AL34" s="98">
        <v>0</v>
      </c>
      <c r="AM34" s="98">
        <v>0</v>
      </c>
      <c r="AN34" s="98">
        <v>0</v>
      </c>
      <c r="AO34" s="98">
        <v>0</v>
      </c>
      <c r="AP34" s="98">
        <v>0</v>
      </c>
      <c r="AQ34" s="98">
        <v>0</v>
      </c>
      <c r="AR34" s="190">
        <v>0</v>
      </c>
      <c r="AS34" s="154">
        <v>0</v>
      </c>
      <c r="AT34" s="191">
        <v>0</v>
      </c>
      <c r="AU34" s="219"/>
      <c r="AV34" s="125">
        <f>SUM(AC34:AQ34)</f>
        <v>0</v>
      </c>
      <c r="AW34" s="125">
        <f>AV34+SUM(AR34:AT34)</f>
        <v>0</v>
      </c>
      <c r="AX34" s="124">
        <f>IF(N34=0,0,AV34/(E34*K34))</f>
        <v>0</v>
      </c>
      <c r="AY34" s="124">
        <f>IF(N34=0,0,AW34/(E34*K34))</f>
        <v>0</v>
      </c>
      <c r="AZ34" s="209"/>
      <c r="BA34" s="98">
        <v>0</v>
      </c>
      <c r="BB34" s="98">
        <v>0</v>
      </c>
      <c r="BC34" s="98">
        <v>0</v>
      </c>
      <c r="BD34" s="240">
        <f>IF(AND(B34="y",I34&gt;0),I34*$AI$6,0)</f>
        <v>0</v>
      </c>
      <c r="BE34" s="98">
        <v>0</v>
      </c>
      <c r="BF34" s="98">
        <v>0</v>
      </c>
      <c r="BG34" s="98">
        <v>0</v>
      </c>
      <c r="BH34" s="98">
        <v>0</v>
      </c>
      <c r="BI34" s="98">
        <v>0</v>
      </c>
      <c r="BJ34" s="240">
        <f>IF(AND(B34="y",I34&gt;0),(M34-K34)*$O$7*I34,0)</f>
        <v>0</v>
      </c>
      <c r="BK34" s="98">
        <v>0</v>
      </c>
      <c r="BL34" s="98">
        <v>0</v>
      </c>
      <c r="BM34" s="209"/>
      <c r="BN34" s="125">
        <f>IF(OR(B34="n",K34=0),AV34,AV34+SUM(BA34:BL34)+Z34)</f>
        <v>0</v>
      </c>
      <c r="BO34" s="125">
        <f>IF(OR(B34="n",K34=0),AW34,BN34+X34-Z34)</f>
        <v>0</v>
      </c>
      <c r="BP34" s="124">
        <f>IF(OR(B34="n",K34=0),AX34,BN34/N34)</f>
        <v>0</v>
      </c>
      <c r="BQ34" s="124">
        <f>IF(OR(B34="n",K34=0),AY34,BO34/N34)</f>
        <v>0</v>
      </c>
      <c r="BR34" s="117"/>
      <c r="BS34" s="117"/>
      <c r="BT34" s="117"/>
      <c r="BU34" s="117"/>
      <c r="BV34" s="117"/>
      <c r="BW34"/>
      <c r="BX34"/>
      <c r="BY34"/>
      <c r="BZ34"/>
      <c r="CA34"/>
    </row>
    <row r="35" spans="1:79" ht="15.75">
      <c r="A35"/>
      <c r="B35" s="121"/>
      <c r="C35" s="197" t="s">
        <v>363</v>
      </c>
      <c r="D35" s="197"/>
      <c r="E35" s="197"/>
      <c r="F35" s="197"/>
      <c r="G35" s="205"/>
      <c r="H35" s="205"/>
      <c r="I35" s="205"/>
      <c r="J35" s="197"/>
      <c r="K35" s="181" t="s">
        <v>301</v>
      </c>
      <c r="L35" s="356">
        <f>SUM(L30:L34)</f>
        <v>0</v>
      </c>
      <c r="M35" s="197"/>
      <c r="N35" s="356">
        <f>SUM(N30:N34)</f>
        <v>0</v>
      </c>
      <c r="O35" s="127"/>
      <c r="P35" s="127"/>
      <c r="Q35" s="126"/>
      <c r="R35" s="126"/>
      <c r="S35" s="126"/>
      <c r="T35" s="126"/>
      <c r="U35" s="126"/>
      <c r="V35" s="126"/>
      <c r="W35" s="126"/>
      <c r="X35" s="126"/>
      <c r="Y35" s="3"/>
      <c r="Z35" s="3"/>
      <c r="AA35" s="3"/>
      <c r="AB35" s="117"/>
      <c r="AC35" s="127"/>
      <c r="AD35" s="127"/>
      <c r="AE35" s="127"/>
      <c r="AF35" s="127"/>
      <c r="AG35" s="127"/>
      <c r="AH35" s="127"/>
      <c r="AI35" s="127"/>
      <c r="AJ35" s="127"/>
      <c r="AK35" s="127"/>
      <c r="AL35" s="127"/>
      <c r="AM35" s="127"/>
      <c r="AN35" s="127"/>
      <c r="AO35" s="127"/>
      <c r="AP35" s="127"/>
      <c r="AQ35" s="127"/>
      <c r="AR35" s="192"/>
      <c r="AS35" s="193"/>
      <c r="AT35" s="194"/>
      <c r="AU35" s="213"/>
      <c r="AV35" s="127"/>
      <c r="AW35" s="127"/>
      <c r="AX35" s="127"/>
      <c r="AY35" s="127"/>
      <c r="AZ35" s="213"/>
      <c r="BA35" s="127"/>
      <c r="BB35" s="127"/>
      <c r="BC35" s="127"/>
      <c r="BD35" s="241"/>
      <c r="BE35" s="127"/>
      <c r="BF35" s="127"/>
      <c r="BG35" s="127"/>
      <c r="BH35" s="127"/>
      <c r="BI35" s="127"/>
      <c r="BJ35" s="241"/>
      <c r="BK35" s="127"/>
      <c r="BL35" s="127"/>
      <c r="BM35" s="213"/>
      <c r="BN35" s="127"/>
      <c r="BO35" s="127"/>
      <c r="BP35" s="127"/>
      <c r="BQ35" s="127"/>
      <c r="BR35" s="128"/>
      <c r="BS35" s="128"/>
      <c r="BT35" s="128"/>
      <c r="BU35" s="128"/>
      <c r="BV35" s="117"/>
      <c r="BW35"/>
      <c r="BX35"/>
      <c r="BY35"/>
      <c r="BZ35"/>
      <c r="CA35"/>
    </row>
    <row r="36" spans="1:79" ht="15.75">
      <c r="A36"/>
      <c r="B36" s="96" t="s">
        <v>209</v>
      </c>
      <c r="C36" s="602" t="s">
        <v>77</v>
      </c>
      <c r="D36" s="602"/>
      <c r="E36" s="96">
        <v>0</v>
      </c>
      <c r="F36" s="96">
        <v>0</v>
      </c>
      <c r="G36" s="206">
        <f aca="true" t="shared" si="4" ref="G36:G42">E36/IF(F36=0,1,F36)</f>
        <v>0</v>
      </c>
      <c r="H36" s="206">
        <f aca="true" t="shared" si="5" ref="H36:H42">G36</f>
        <v>0</v>
      </c>
      <c r="I36" s="206">
        <f aca="true" t="shared" si="6" ref="I36:I42">E36-G36-H36</f>
        <v>0</v>
      </c>
      <c r="J36" s="96" t="s">
        <v>210</v>
      </c>
      <c r="K36" s="96">
        <v>0</v>
      </c>
      <c r="L36" s="245">
        <f aca="true" t="shared" si="7" ref="L36:L42">E36*K36</f>
        <v>0</v>
      </c>
      <c r="M36" s="96">
        <v>0</v>
      </c>
      <c r="N36" s="355">
        <f aca="true" t="shared" si="8" ref="N36:N42">IF(B36="n",I36*K36,I36*M36)</f>
        <v>0</v>
      </c>
      <c r="O36" s="98">
        <v>0</v>
      </c>
      <c r="P36" s="122">
        <f aca="true" t="shared" si="9" ref="P36:P42">IF(OR(M36=0,B36="n"),0,O36/$P$20)</f>
        <v>0</v>
      </c>
      <c r="Q36" s="99">
        <f aca="true" t="shared" si="10" ref="Q36:Q42">IF(OR(M36=0,B36="n"),0,O36/2*$Q$20)</f>
        <v>0</v>
      </c>
      <c r="R36" s="99">
        <f aca="true" t="shared" si="11" ref="R36:R42">IF(OR(M36=0,B36="n"),0,O36/2*$O$2/100*$O$3)</f>
        <v>0</v>
      </c>
      <c r="S36" s="99">
        <f aca="true" t="shared" si="12" ref="S36:S42">IF(OR(M36=0,B36="n"),0,O36/2/100*$O$4)</f>
        <v>0</v>
      </c>
      <c r="T36" s="99">
        <f aca="true" t="shared" si="13" ref="T36:T42">SUM(P36:S36)</f>
        <v>0</v>
      </c>
      <c r="U36" s="98">
        <v>0</v>
      </c>
      <c r="V36" s="99">
        <f aca="true" t="shared" si="14" ref="V36:V42">IF(OR(M36=0,B36="n"),0,$V$19*O36)</f>
        <v>0</v>
      </c>
      <c r="W36" s="99">
        <f aca="true" t="shared" si="15" ref="W36:W42">IF(OR(M36=0,B36="n"),0,SUM(U36:V36))</f>
        <v>0</v>
      </c>
      <c r="X36" s="99">
        <f aca="true" t="shared" si="16" ref="X36:X42">IF(OR(M36=0,B36="n"),0,T36+W36)</f>
        <v>0</v>
      </c>
      <c r="Y36" s="100">
        <f aca="true" t="shared" si="17" ref="Y36:Y42">IF(OR(M36=0,B36="n"),0,(T36+W36)/N36)</f>
        <v>0</v>
      </c>
      <c r="Z36" s="99">
        <f aca="true" t="shared" si="18" ref="Z36:Z42">IF(OR(K36=0,B36="n"),0,(R36+S36+U36+V36))</f>
        <v>0</v>
      </c>
      <c r="AA36" s="100">
        <f aca="true" t="shared" si="19" ref="AA36:AA42">IF(OR(M36=0,B36="n"),0,(R36+S36+U36+V36)/N36)</f>
        <v>0</v>
      </c>
      <c r="AB36" s="124"/>
      <c r="AC36" s="98">
        <f aca="true" t="shared" si="20" ref="AC36:AC42">IF($AC$22="y",IF(B36="y",$O$8*$AI$3*I36,$AI$3*I36),0)</f>
        <v>0</v>
      </c>
      <c r="AD36" s="98">
        <f>$AI$4*I36</f>
        <v>0</v>
      </c>
      <c r="AE36" s="98">
        <f>$AI$5*I36</f>
        <v>0</v>
      </c>
      <c r="AF36" s="98">
        <f>$AI$6*I36</f>
        <v>0</v>
      </c>
      <c r="AG36" s="98">
        <v>0</v>
      </c>
      <c r="AH36" s="98">
        <f>($AI$8-($O$7*K36))*I36</f>
        <v>0</v>
      </c>
      <c r="AI36" s="98">
        <f>$AI$9*I36</f>
        <v>0</v>
      </c>
      <c r="AJ36" s="98">
        <f>$AI$10*I36</f>
        <v>0</v>
      </c>
      <c r="AK36" s="98">
        <v>0</v>
      </c>
      <c r="AL36" s="98">
        <f>I36*K36*$O$7</f>
        <v>0</v>
      </c>
      <c r="AM36" s="98">
        <v>0</v>
      </c>
      <c r="AN36" s="98">
        <v>0</v>
      </c>
      <c r="AO36" s="98">
        <v>0</v>
      </c>
      <c r="AP36" s="98">
        <v>0</v>
      </c>
      <c r="AQ36" s="98">
        <v>0</v>
      </c>
      <c r="AR36" s="190">
        <v>0</v>
      </c>
      <c r="AS36" s="154">
        <v>0</v>
      </c>
      <c r="AT36" s="191">
        <v>0</v>
      </c>
      <c r="AU36" s="219"/>
      <c r="AV36" s="125">
        <f aca="true" t="shared" si="21" ref="AV36:AV42">SUM(AC36:AQ36)</f>
        <v>0</v>
      </c>
      <c r="AW36" s="125">
        <f aca="true" t="shared" si="22" ref="AW36:AW42">AV36+SUM(AR36:AT36)</f>
        <v>0</v>
      </c>
      <c r="AX36" s="124">
        <f aca="true" t="shared" si="23" ref="AX36:AX42">IF(N36=0,0,AV36/(E36*K36))</f>
        <v>0</v>
      </c>
      <c r="AY36" s="124">
        <f aca="true" t="shared" si="24" ref="AY36:AY42">IF(N36=0,0,AW36/(E36*K36))</f>
        <v>0</v>
      </c>
      <c r="AZ36" s="209"/>
      <c r="BA36" s="98">
        <v>0</v>
      </c>
      <c r="BB36" s="98">
        <v>0</v>
      </c>
      <c r="BC36" s="98">
        <v>0</v>
      </c>
      <c r="BD36" s="240">
        <f aca="true" t="shared" si="25" ref="BD36:BD42">IF(AND(B36="y",I36&gt;0),I36*$AI$6,0)</f>
        <v>0</v>
      </c>
      <c r="BE36" s="98">
        <v>0</v>
      </c>
      <c r="BF36" s="98">
        <v>0</v>
      </c>
      <c r="BG36" s="98">
        <v>0</v>
      </c>
      <c r="BH36" s="98">
        <v>0</v>
      </c>
      <c r="BI36" s="98">
        <v>0</v>
      </c>
      <c r="BJ36" s="240">
        <f aca="true" t="shared" si="26" ref="BJ36:BJ42">IF(AND(B36="y",I36&gt;0),(M36-K36)*$O$7*I36,0)</f>
        <v>0</v>
      </c>
      <c r="BK36" s="98">
        <v>0</v>
      </c>
      <c r="BL36" s="98">
        <v>0</v>
      </c>
      <c r="BM36" s="209"/>
      <c r="BN36" s="125">
        <f aca="true" t="shared" si="27" ref="BN36:BN42">IF(OR(B36="n",K36=0),AV36,AV36+SUM(BA36:BL36)+Z36)</f>
        <v>0</v>
      </c>
      <c r="BO36" s="125">
        <f aca="true" t="shared" si="28" ref="BO36:BO42">IF(OR(B36="n",K36=0),AW36,BN36+X36-Z36)</f>
        <v>0</v>
      </c>
      <c r="BP36" s="124">
        <f aca="true" t="shared" si="29" ref="BP36:BP42">IF(OR(B36="n",K36=0),AX36,BN36/N36)</f>
        <v>0</v>
      </c>
      <c r="BQ36" s="124">
        <f aca="true" t="shared" si="30" ref="BQ36:BQ42">IF(OR(B36="n",K36=0),AY36,BO36/N36)</f>
        <v>0</v>
      </c>
      <c r="BR36" s="117"/>
      <c r="BS36" s="117"/>
      <c r="BT36" s="117"/>
      <c r="BU36" s="117"/>
      <c r="BV36" s="117"/>
      <c r="BW36"/>
      <c r="BX36"/>
      <c r="BY36"/>
      <c r="BZ36"/>
      <c r="CA36"/>
    </row>
    <row r="37" spans="1:79" ht="15.75">
      <c r="A37"/>
      <c r="B37" s="96" t="s">
        <v>209</v>
      </c>
      <c r="C37" s="602" t="s">
        <v>77</v>
      </c>
      <c r="D37" s="602"/>
      <c r="E37" s="96">
        <v>0</v>
      </c>
      <c r="F37" s="96">
        <v>0</v>
      </c>
      <c r="G37" s="206">
        <f t="shared" si="4"/>
        <v>0</v>
      </c>
      <c r="H37" s="206">
        <f t="shared" si="5"/>
        <v>0</v>
      </c>
      <c r="I37" s="206">
        <f t="shared" si="6"/>
        <v>0</v>
      </c>
      <c r="J37" s="96" t="s">
        <v>210</v>
      </c>
      <c r="K37" s="96">
        <v>0</v>
      </c>
      <c r="L37" s="245">
        <f t="shared" si="7"/>
        <v>0</v>
      </c>
      <c r="M37" s="96">
        <v>0</v>
      </c>
      <c r="N37" s="355">
        <f t="shared" si="8"/>
        <v>0</v>
      </c>
      <c r="O37" s="98">
        <v>0</v>
      </c>
      <c r="P37" s="122">
        <f t="shared" si="9"/>
        <v>0</v>
      </c>
      <c r="Q37" s="99">
        <f t="shared" si="10"/>
        <v>0</v>
      </c>
      <c r="R37" s="99">
        <f t="shared" si="11"/>
        <v>0</v>
      </c>
      <c r="S37" s="99">
        <f t="shared" si="12"/>
        <v>0</v>
      </c>
      <c r="T37" s="99">
        <f t="shared" si="13"/>
        <v>0</v>
      </c>
      <c r="U37" s="98">
        <v>0</v>
      </c>
      <c r="V37" s="99">
        <f t="shared" si="14"/>
        <v>0</v>
      </c>
      <c r="W37" s="99">
        <f t="shared" si="15"/>
        <v>0</v>
      </c>
      <c r="X37" s="99">
        <f t="shared" si="16"/>
        <v>0</v>
      </c>
      <c r="Y37" s="100">
        <f t="shared" si="17"/>
        <v>0</v>
      </c>
      <c r="Z37" s="99">
        <f t="shared" si="18"/>
        <v>0</v>
      </c>
      <c r="AA37" s="100">
        <f t="shared" si="19"/>
        <v>0</v>
      </c>
      <c r="AB37" s="124"/>
      <c r="AC37" s="98">
        <f t="shared" si="20"/>
        <v>0</v>
      </c>
      <c r="AD37" s="98">
        <f>$AI$4*I37</f>
        <v>0</v>
      </c>
      <c r="AE37" s="98">
        <f>$AI$5*I37</f>
        <v>0</v>
      </c>
      <c r="AF37" s="98">
        <f>$AI$6*I37</f>
        <v>0</v>
      </c>
      <c r="AG37" s="98">
        <v>0</v>
      </c>
      <c r="AH37" s="98">
        <f>($AI$8-($O$7*K37))*I37</f>
        <v>0</v>
      </c>
      <c r="AI37" s="98">
        <f>$AI$9*I37</f>
        <v>0</v>
      </c>
      <c r="AJ37" s="98">
        <f>$AI$10*I37</f>
        <v>0</v>
      </c>
      <c r="AK37" s="98">
        <v>0</v>
      </c>
      <c r="AL37" s="98">
        <f>I37*K37*$O$7</f>
        <v>0</v>
      </c>
      <c r="AM37" s="98">
        <v>0</v>
      </c>
      <c r="AN37" s="98">
        <v>0</v>
      </c>
      <c r="AO37" s="98">
        <v>0</v>
      </c>
      <c r="AP37" s="98">
        <v>0</v>
      </c>
      <c r="AQ37" s="98">
        <v>0</v>
      </c>
      <c r="AR37" s="190">
        <v>0</v>
      </c>
      <c r="AS37" s="154">
        <v>0</v>
      </c>
      <c r="AT37" s="191">
        <v>0</v>
      </c>
      <c r="AU37" s="219"/>
      <c r="AV37" s="125">
        <f t="shared" si="21"/>
        <v>0</v>
      </c>
      <c r="AW37" s="125">
        <f t="shared" si="22"/>
        <v>0</v>
      </c>
      <c r="AX37" s="124">
        <f t="shared" si="23"/>
        <v>0</v>
      </c>
      <c r="AY37" s="124">
        <f t="shared" si="24"/>
        <v>0</v>
      </c>
      <c r="AZ37" s="209"/>
      <c r="BA37" s="98">
        <v>0</v>
      </c>
      <c r="BB37" s="98">
        <v>0</v>
      </c>
      <c r="BC37" s="98">
        <v>0</v>
      </c>
      <c r="BD37" s="240">
        <f t="shared" si="25"/>
        <v>0</v>
      </c>
      <c r="BE37" s="98">
        <v>0</v>
      </c>
      <c r="BF37" s="98">
        <v>0</v>
      </c>
      <c r="BG37" s="98">
        <v>0</v>
      </c>
      <c r="BH37" s="98">
        <v>0</v>
      </c>
      <c r="BI37" s="98">
        <v>0</v>
      </c>
      <c r="BJ37" s="240">
        <f t="shared" si="26"/>
        <v>0</v>
      </c>
      <c r="BK37" s="98">
        <v>0</v>
      </c>
      <c r="BL37" s="98">
        <v>0</v>
      </c>
      <c r="BM37" s="209"/>
      <c r="BN37" s="125">
        <f t="shared" si="27"/>
        <v>0</v>
      </c>
      <c r="BO37" s="125">
        <f t="shared" si="28"/>
        <v>0</v>
      </c>
      <c r="BP37" s="124">
        <f t="shared" si="29"/>
        <v>0</v>
      </c>
      <c r="BQ37" s="124">
        <f t="shared" si="30"/>
        <v>0</v>
      </c>
      <c r="BR37" s="117"/>
      <c r="BS37" s="117"/>
      <c r="BT37" s="117"/>
      <c r="BU37" s="117"/>
      <c r="BV37" s="117"/>
      <c r="BW37"/>
      <c r="BX37"/>
      <c r="BY37"/>
      <c r="BZ37"/>
      <c r="CA37"/>
    </row>
    <row r="38" spans="1:79" ht="15.75">
      <c r="A38"/>
      <c r="B38" s="96" t="s">
        <v>209</v>
      </c>
      <c r="C38" s="602" t="s">
        <v>77</v>
      </c>
      <c r="D38" s="602"/>
      <c r="E38" s="96">
        <v>0</v>
      </c>
      <c r="F38" s="96">
        <v>0</v>
      </c>
      <c r="G38" s="206">
        <f t="shared" si="4"/>
        <v>0</v>
      </c>
      <c r="H38" s="206">
        <f t="shared" si="5"/>
        <v>0</v>
      </c>
      <c r="I38" s="206">
        <f t="shared" si="6"/>
        <v>0</v>
      </c>
      <c r="J38" s="96" t="s">
        <v>210</v>
      </c>
      <c r="K38" s="96">
        <v>0</v>
      </c>
      <c r="L38" s="245">
        <f t="shared" si="7"/>
        <v>0</v>
      </c>
      <c r="M38" s="96">
        <v>0</v>
      </c>
      <c r="N38" s="355">
        <f t="shared" si="8"/>
        <v>0</v>
      </c>
      <c r="O38" s="98">
        <v>0</v>
      </c>
      <c r="P38" s="122">
        <f t="shared" si="9"/>
        <v>0</v>
      </c>
      <c r="Q38" s="99">
        <f t="shared" si="10"/>
        <v>0</v>
      </c>
      <c r="R38" s="99">
        <f t="shared" si="11"/>
        <v>0</v>
      </c>
      <c r="S38" s="99">
        <f t="shared" si="12"/>
        <v>0</v>
      </c>
      <c r="T38" s="99">
        <f t="shared" si="13"/>
        <v>0</v>
      </c>
      <c r="U38" s="98">
        <v>0</v>
      </c>
      <c r="V38" s="99">
        <f t="shared" si="14"/>
        <v>0</v>
      </c>
      <c r="W38" s="99">
        <f t="shared" si="15"/>
        <v>0</v>
      </c>
      <c r="X38" s="99">
        <f t="shared" si="16"/>
        <v>0</v>
      </c>
      <c r="Y38" s="100">
        <f t="shared" si="17"/>
        <v>0</v>
      </c>
      <c r="Z38" s="99">
        <f t="shared" si="18"/>
        <v>0</v>
      </c>
      <c r="AA38" s="100">
        <f t="shared" si="19"/>
        <v>0</v>
      </c>
      <c r="AB38" s="124"/>
      <c r="AC38" s="98">
        <f t="shared" si="20"/>
        <v>0</v>
      </c>
      <c r="AD38" s="98">
        <f>$AI$4*I38</f>
        <v>0</v>
      </c>
      <c r="AE38" s="98">
        <f>$AI$5*I38</f>
        <v>0</v>
      </c>
      <c r="AF38" s="98">
        <f>$AI$6*I38</f>
        <v>0</v>
      </c>
      <c r="AG38" s="98">
        <v>0</v>
      </c>
      <c r="AH38" s="98">
        <f>($AI$8-($O$7*K38))*I38</f>
        <v>0</v>
      </c>
      <c r="AI38" s="98">
        <f>$AI$9*I38</f>
        <v>0</v>
      </c>
      <c r="AJ38" s="98">
        <f>$AI$10*I38</f>
        <v>0</v>
      </c>
      <c r="AK38" s="98">
        <v>0</v>
      </c>
      <c r="AL38" s="98">
        <f>I38*K38*$O$7</f>
        <v>0</v>
      </c>
      <c r="AM38" s="98">
        <v>0</v>
      </c>
      <c r="AN38" s="98">
        <v>0</v>
      </c>
      <c r="AO38" s="98">
        <v>0</v>
      </c>
      <c r="AP38" s="98">
        <v>0</v>
      </c>
      <c r="AQ38" s="98">
        <v>0</v>
      </c>
      <c r="AR38" s="190">
        <v>0</v>
      </c>
      <c r="AS38" s="154">
        <v>0</v>
      </c>
      <c r="AT38" s="191">
        <v>0</v>
      </c>
      <c r="AU38" s="219"/>
      <c r="AV38" s="125">
        <f t="shared" si="21"/>
        <v>0</v>
      </c>
      <c r="AW38" s="125">
        <f t="shared" si="22"/>
        <v>0</v>
      </c>
      <c r="AX38" s="124">
        <f t="shared" si="23"/>
        <v>0</v>
      </c>
      <c r="AY38" s="124">
        <f t="shared" si="24"/>
        <v>0</v>
      </c>
      <c r="AZ38" s="209"/>
      <c r="BA38" s="98">
        <v>0</v>
      </c>
      <c r="BB38" s="98">
        <v>0</v>
      </c>
      <c r="BC38" s="98">
        <v>0</v>
      </c>
      <c r="BD38" s="240">
        <f t="shared" si="25"/>
        <v>0</v>
      </c>
      <c r="BE38" s="98">
        <v>0</v>
      </c>
      <c r="BF38" s="98">
        <v>0</v>
      </c>
      <c r="BG38" s="98">
        <v>0</v>
      </c>
      <c r="BH38" s="98">
        <v>0</v>
      </c>
      <c r="BI38" s="98">
        <v>0</v>
      </c>
      <c r="BJ38" s="240">
        <f t="shared" si="26"/>
        <v>0</v>
      </c>
      <c r="BK38" s="98">
        <v>0</v>
      </c>
      <c r="BL38" s="98">
        <v>0</v>
      </c>
      <c r="BM38" s="209"/>
      <c r="BN38" s="125">
        <f t="shared" si="27"/>
        <v>0</v>
      </c>
      <c r="BO38" s="125">
        <f t="shared" si="28"/>
        <v>0</v>
      </c>
      <c r="BP38" s="124">
        <f t="shared" si="29"/>
        <v>0</v>
      </c>
      <c r="BQ38" s="124">
        <f t="shared" si="30"/>
        <v>0</v>
      </c>
      <c r="BR38" s="117"/>
      <c r="BS38" s="117"/>
      <c r="BT38" s="117"/>
      <c r="BU38" s="117"/>
      <c r="BV38" s="117"/>
      <c r="BW38"/>
      <c r="BX38"/>
      <c r="BY38"/>
      <c r="BZ38"/>
      <c r="CA38"/>
    </row>
    <row r="39" spans="1:79" ht="15.75">
      <c r="A39"/>
      <c r="B39" s="96" t="s">
        <v>209</v>
      </c>
      <c r="C39" s="602" t="s">
        <v>77</v>
      </c>
      <c r="D39" s="602"/>
      <c r="E39" s="96">
        <v>0</v>
      </c>
      <c r="F39" s="96">
        <v>0</v>
      </c>
      <c r="G39" s="206">
        <f t="shared" si="4"/>
        <v>0</v>
      </c>
      <c r="H39" s="206">
        <f t="shared" si="5"/>
        <v>0</v>
      </c>
      <c r="I39" s="206">
        <f t="shared" si="6"/>
        <v>0</v>
      </c>
      <c r="J39" s="96" t="s">
        <v>210</v>
      </c>
      <c r="K39" s="96">
        <v>0</v>
      </c>
      <c r="L39" s="245">
        <f t="shared" si="7"/>
        <v>0</v>
      </c>
      <c r="M39" s="96">
        <v>0</v>
      </c>
      <c r="N39" s="355">
        <f t="shared" si="8"/>
        <v>0</v>
      </c>
      <c r="O39" s="98">
        <v>0</v>
      </c>
      <c r="P39" s="122">
        <f t="shared" si="9"/>
        <v>0</v>
      </c>
      <c r="Q39" s="99">
        <f t="shared" si="10"/>
        <v>0</v>
      </c>
      <c r="R39" s="99">
        <f t="shared" si="11"/>
        <v>0</v>
      </c>
      <c r="S39" s="99">
        <f t="shared" si="12"/>
        <v>0</v>
      </c>
      <c r="T39" s="99">
        <f t="shared" si="13"/>
        <v>0</v>
      </c>
      <c r="U39" s="98">
        <v>0</v>
      </c>
      <c r="V39" s="99">
        <f t="shared" si="14"/>
        <v>0</v>
      </c>
      <c r="W39" s="99">
        <f t="shared" si="15"/>
        <v>0</v>
      </c>
      <c r="X39" s="99">
        <f t="shared" si="16"/>
        <v>0</v>
      </c>
      <c r="Y39" s="100">
        <f t="shared" si="17"/>
        <v>0</v>
      </c>
      <c r="Z39" s="99">
        <f t="shared" si="18"/>
        <v>0</v>
      </c>
      <c r="AA39" s="100">
        <f t="shared" si="19"/>
        <v>0</v>
      </c>
      <c r="AB39" s="124"/>
      <c r="AC39" s="98">
        <f t="shared" si="20"/>
        <v>0</v>
      </c>
      <c r="AD39" s="98">
        <f>$AI$4*I39</f>
        <v>0</v>
      </c>
      <c r="AE39" s="98">
        <f>$AI$5*I39</f>
        <v>0</v>
      </c>
      <c r="AF39" s="98">
        <f>$AI$6*I39</f>
        <v>0</v>
      </c>
      <c r="AG39" s="98">
        <v>0</v>
      </c>
      <c r="AH39" s="98">
        <f>($AI$8-($O$7*K39))*I39</f>
        <v>0</v>
      </c>
      <c r="AI39" s="98">
        <f>$AI$9*I39</f>
        <v>0</v>
      </c>
      <c r="AJ39" s="98">
        <f>$AI$10*I39</f>
        <v>0</v>
      </c>
      <c r="AK39" s="98">
        <v>0</v>
      </c>
      <c r="AL39" s="98">
        <f>I39*K39*$O$7</f>
        <v>0</v>
      </c>
      <c r="AM39" s="98">
        <v>0</v>
      </c>
      <c r="AN39" s="98">
        <v>0</v>
      </c>
      <c r="AO39" s="98">
        <v>0</v>
      </c>
      <c r="AP39" s="98">
        <v>0</v>
      </c>
      <c r="AQ39" s="98">
        <v>0</v>
      </c>
      <c r="AR39" s="190">
        <v>0</v>
      </c>
      <c r="AS39" s="154">
        <v>0</v>
      </c>
      <c r="AT39" s="191">
        <v>0</v>
      </c>
      <c r="AU39" s="219"/>
      <c r="AV39" s="125">
        <f t="shared" si="21"/>
        <v>0</v>
      </c>
      <c r="AW39" s="125">
        <f t="shared" si="22"/>
        <v>0</v>
      </c>
      <c r="AX39" s="124">
        <f t="shared" si="23"/>
        <v>0</v>
      </c>
      <c r="AY39" s="124">
        <f t="shared" si="24"/>
        <v>0</v>
      </c>
      <c r="AZ39" s="209"/>
      <c r="BA39" s="98">
        <v>0</v>
      </c>
      <c r="BB39" s="98">
        <v>0</v>
      </c>
      <c r="BC39" s="98">
        <v>0</v>
      </c>
      <c r="BD39" s="240">
        <f t="shared" si="25"/>
        <v>0</v>
      </c>
      <c r="BE39" s="98">
        <v>0</v>
      </c>
      <c r="BF39" s="98">
        <v>0</v>
      </c>
      <c r="BG39" s="98">
        <v>0</v>
      </c>
      <c r="BH39" s="98">
        <v>0</v>
      </c>
      <c r="BI39" s="98">
        <v>0</v>
      </c>
      <c r="BJ39" s="240">
        <f t="shared" si="26"/>
        <v>0</v>
      </c>
      <c r="BK39" s="98">
        <v>0</v>
      </c>
      <c r="BL39" s="98">
        <v>0</v>
      </c>
      <c r="BM39" s="209"/>
      <c r="BN39" s="125">
        <f t="shared" si="27"/>
        <v>0</v>
      </c>
      <c r="BO39" s="125">
        <f t="shared" si="28"/>
        <v>0</v>
      </c>
      <c r="BP39" s="124">
        <f t="shared" si="29"/>
        <v>0</v>
      </c>
      <c r="BQ39" s="124">
        <f t="shared" si="30"/>
        <v>0</v>
      </c>
      <c r="BR39" s="117"/>
      <c r="BS39" s="117"/>
      <c r="BT39" s="117"/>
      <c r="BU39" s="117"/>
      <c r="BV39" s="117"/>
      <c r="BW39"/>
      <c r="BX39"/>
      <c r="BY39"/>
      <c r="BZ39"/>
      <c r="CA39"/>
    </row>
    <row r="40" spans="1:79" ht="15.75">
      <c r="A40"/>
      <c r="B40" s="96" t="s">
        <v>209</v>
      </c>
      <c r="C40" s="602" t="s">
        <v>77</v>
      </c>
      <c r="D40" s="602"/>
      <c r="E40" s="96">
        <v>0</v>
      </c>
      <c r="F40" s="96">
        <v>0</v>
      </c>
      <c r="G40" s="206">
        <f t="shared" si="4"/>
        <v>0</v>
      </c>
      <c r="H40" s="206">
        <f t="shared" si="5"/>
        <v>0</v>
      </c>
      <c r="I40" s="206">
        <f t="shared" si="6"/>
        <v>0</v>
      </c>
      <c r="J40" s="96" t="s">
        <v>210</v>
      </c>
      <c r="K40" s="96">
        <v>0</v>
      </c>
      <c r="L40" s="245">
        <f t="shared" si="7"/>
        <v>0</v>
      </c>
      <c r="M40" s="96">
        <v>0</v>
      </c>
      <c r="N40" s="355">
        <f t="shared" si="8"/>
        <v>0</v>
      </c>
      <c r="O40" s="98">
        <v>0</v>
      </c>
      <c r="P40" s="122">
        <f t="shared" si="9"/>
        <v>0</v>
      </c>
      <c r="Q40" s="99">
        <f t="shared" si="10"/>
        <v>0</v>
      </c>
      <c r="R40" s="99">
        <f t="shared" si="11"/>
        <v>0</v>
      </c>
      <c r="S40" s="99">
        <f t="shared" si="12"/>
        <v>0</v>
      </c>
      <c r="T40" s="99">
        <f t="shared" si="13"/>
        <v>0</v>
      </c>
      <c r="U40" s="98">
        <v>0</v>
      </c>
      <c r="V40" s="99">
        <f t="shared" si="14"/>
        <v>0</v>
      </c>
      <c r="W40" s="99">
        <f t="shared" si="15"/>
        <v>0</v>
      </c>
      <c r="X40" s="99">
        <f t="shared" si="16"/>
        <v>0</v>
      </c>
      <c r="Y40" s="100">
        <f t="shared" si="17"/>
        <v>0</v>
      </c>
      <c r="Z40" s="99">
        <f t="shared" si="18"/>
        <v>0</v>
      </c>
      <c r="AA40" s="100">
        <f t="shared" si="19"/>
        <v>0</v>
      </c>
      <c r="AB40" s="124"/>
      <c r="AC40" s="98">
        <f t="shared" si="20"/>
        <v>0</v>
      </c>
      <c r="AD40" s="98">
        <f>$AI$4*I40</f>
        <v>0</v>
      </c>
      <c r="AE40" s="98">
        <f>$AI$5*I40</f>
        <v>0</v>
      </c>
      <c r="AF40" s="98">
        <f>$AI$6*I40</f>
        <v>0</v>
      </c>
      <c r="AG40" s="98">
        <v>0</v>
      </c>
      <c r="AH40" s="98">
        <f>($AI$8-($O$7*K40))*I40</f>
        <v>0</v>
      </c>
      <c r="AI40" s="98">
        <f>$AI$9*I40</f>
        <v>0</v>
      </c>
      <c r="AJ40" s="98">
        <f>$AI$10*I40</f>
        <v>0</v>
      </c>
      <c r="AK40" s="98">
        <v>0</v>
      </c>
      <c r="AL40" s="98">
        <f>I40*K40*$O$7</f>
        <v>0</v>
      </c>
      <c r="AM40" s="98">
        <v>0</v>
      </c>
      <c r="AN40" s="98">
        <v>0</v>
      </c>
      <c r="AO40" s="98">
        <v>0</v>
      </c>
      <c r="AP40" s="98">
        <v>0</v>
      </c>
      <c r="AQ40" s="98">
        <v>0</v>
      </c>
      <c r="AR40" s="190">
        <v>0</v>
      </c>
      <c r="AS40" s="154">
        <v>0</v>
      </c>
      <c r="AT40" s="191">
        <v>0</v>
      </c>
      <c r="AU40" s="219"/>
      <c r="AV40" s="125">
        <f t="shared" si="21"/>
        <v>0</v>
      </c>
      <c r="AW40" s="125">
        <f t="shared" si="22"/>
        <v>0</v>
      </c>
      <c r="AX40" s="124">
        <f t="shared" si="23"/>
        <v>0</v>
      </c>
      <c r="AY40" s="124">
        <f t="shared" si="24"/>
        <v>0</v>
      </c>
      <c r="AZ40" s="209"/>
      <c r="BA40" s="98">
        <v>0</v>
      </c>
      <c r="BB40" s="98">
        <v>0</v>
      </c>
      <c r="BC40" s="98">
        <v>0</v>
      </c>
      <c r="BD40" s="240">
        <f t="shared" si="25"/>
        <v>0</v>
      </c>
      <c r="BE40" s="98">
        <v>0</v>
      </c>
      <c r="BF40" s="98">
        <v>0</v>
      </c>
      <c r="BG40" s="98">
        <v>0</v>
      </c>
      <c r="BH40" s="98">
        <v>0</v>
      </c>
      <c r="BI40" s="98">
        <v>0</v>
      </c>
      <c r="BJ40" s="240">
        <f t="shared" si="26"/>
        <v>0</v>
      </c>
      <c r="BK40" s="98">
        <v>0</v>
      </c>
      <c r="BL40" s="98">
        <v>0</v>
      </c>
      <c r="BM40" s="209"/>
      <c r="BN40" s="125">
        <f t="shared" si="27"/>
        <v>0</v>
      </c>
      <c r="BO40" s="125">
        <f t="shared" si="28"/>
        <v>0</v>
      </c>
      <c r="BP40" s="124">
        <f t="shared" si="29"/>
        <v>0</v>
      </c>
      <c r="BQ40" s="124">
        <f t="shared" si="30"/>
        <v>0</v>
      </c>
      <c r="BR40" s="117"/>
      <c r="BS40" s="117"/>
      <c r="BT40" s="117"/>
      <c r="BU40" s="117"/>
      <c r="BV40" s="117"/>
      <c r="BW40"/>
      <c r="BX40"/>
      <c r="BY40"/>
      <c r="BZ40"/>
      <c r="CA40"/>
    </row>
    <row r="41" spans="1:79" ht="15.75">
      <c r="A41"/>
      <c r="B41" s="96" t="s">
        <v>209</v>
      </c>
      <c r="C41" s="602" t="s">
        <v>77</v>
      </c>
      <c r="D41" s="602"/>
      <c r="E41" s="96">
        <v>0</v>
      </c>
      <c r="F41" s="96">
        <v>0</v>
      </c>
      <c r="G41" s="206">
        <f t="shared" si="4"/>
        <v>0</v>
      </c>
      <c r="H41" s="206">
        <f t="shared" si="5"/>
        <v>0</v>
      </c>
      <c r="I41" s="206">
        <f t="shared" si="6"/>
        <v>0</v>
      </c>
      <c r="J41" s="96" t="s">
        <v>210</v>
      </c>
      <c r="K41" s="96">
        <v>0</v>
      </c>
      <c r="L41" s="245">
        <f t="shared" si="7"/>
        <v>0</v>
      </c>
      <c r="M41" s="96">
        <v>0</v>
      </c>
      <c r="N41" s="355">
        <f t="shared" si="8"/>
        <v>0</v>
      </c>
      <c r="O41" s="98">
        <v>0</v>
      </c>
      <c r="P41" s="122">
        <f t="shared" si="9"/>
        <v>0</v>
      </c>
      <c r="Q41" s="99">
        <f t="shared" si="10"/>
        <v>0</v>
      </c>
      <c r="R41" s="99">
        <f t="shared" si="11"/>
        <v>0</v>
      </c>
      <c r="S41" s="99">
        <f t="shared" si="12"/>
        <v>0</v>
      </c>
      <c r="T41" s="99">
        <f t="shared" si="13"/>
        <v>0</v>
      </c>
      <c r="U41" s="98">
        <v>0</v>
      </c>
      <c r="V41" s="99">
        <f t="shared" si="14"/>
        <v>0</v>
      </c>
      <c r="W41" s="99">
        <f t="shared" si="15"/>
        <v>0</v>
      </c>
      <c r="X41" s="99">
        <f t="shared" si="16"/>
        <v>0</v>
      </c>
      <c r="Y41" s="100">
        <f t="shared" si="17"/>
        <v>0</v>
      </c>
      <c r="Z41" s="99">
        <f t="shared" si="18"/>
        <v>0</v>
      </c>
      <c r="AA41" s="100">
        <f t="shared" si="19"/>
        <v>0</v>
      </c>
      <c r="AB41" s="124"/>
      <c r="AC41" s="98">
        <f t="shared" si="20"/>
        <v>0</v>
      </c>
      <c r="AD41" s="98">
        <v>0</v>
      </c>
      <c r="AE41" s="98">
        <v>0</v>
      </c>
      <c r="AF41" s="98">
        <v>0</v>
      </c>
      <c r="AG41" s="98">
        <v>0</v>
      </c>
      <c r="AH41" s="98">
        <v>0</v>
      </c>
      <c r="AI41" s="98">
        <v>0</v>
      </c>
      <c r="AJ41" s="98">
        <v>0</v>
      </c>
      <c r="AK41" s="98">
        <v>0</v>
      </c>
      <c r="AL41" s="98">
        <v>0</v>
      </c>
      <c r="AM41" s="98">
        <v>0</v>
      </c>
      <c r="AN41" s="98">
        <v>0</v>
      </c>
      <c r="AO41" s="98">
        <v>0</v>
      </c>
      <c r="AP41" s="98">
        <v>0</v>
      </c>
      <c r="AQ41" s="98">
        <v>0</v>
      </c>
      <c r="AR41" s="190">
        <v>0</v>
      </c>
      <c r="AS41" s="154">
        <v>0</v>
      </c>
      <c r="AT41" s="191">
        <v>0</v>
      </c>
      <c r="AU41" s="219"/>
      <c r="AV41" s="125">
        <f t="shared" si="21"/>
        <v>0</v>
      </c>
      <c r="AW41" s="125">
        <f t="shared" si="22"/>
        <v>0</v>
      </c>
      <c r="AX41" s="124">
        <f t="shared" si="23"/>
        <v>0</v>
      </c>
      <c r="AY41" s="124">
        <f t="shared" si="24"/>
        <v>0</v>
      </c>
      <c r="AZ41" s="209"/>
      <c r="BA41" s="98">
        <v>0</v>
      </c>
      <c r="BB41" s="98">
        <v>0</v>
      </c>
      <c r="BC41" s="98">
        <v>0</v>
      </c>
      <c r="BD41" s="240">
        <f t="shared" si="25"/>
        <v>0</v>
      </c>
      <c r="BE41" s="98">
        <v>0</v>
      </c>
      <c r="BF41" s="98">
        <v>0</v>
      </c>
      <c r="BG41" s="98">
        <v>0</v>
      </c>
      <c r="BH41" s="98">
        <v>0</v>
      </c>
      <c r="BI41" s="98">
        <v>0</v>
      </c>
      <c r="BJ41" s="240">
        <f t="shared" si="26"/>
        <v>0</v>
      </c>
      <c r="BK41" s="98">
        <v>0</v>
      </c>
      <c r="BL41" s="98">
        <v>0</v>
      </c>
      <c r="BM41" s="209"/>
      <c r="BN41" s="125">
        <f t="shared" si="27"/>
        <v>0</v>
      </c>
      <c r="BO41" s="125">
        <f t="shared" si="28"/>
        <v>0</v>
      </c>
      <c r="BP41" s="124">
        <f t="shared" si="29"/>
        <v>0</v>
      </c>
      <c r="BQ41" s="124">
        <f t="shared" si="30"/>
        <v>0</v>
      </c>
      <c r="BR41" s="117"/>
      <c r="BS41" s="117"/>
      <c r="BT41" s="117"/>
      <c r="BU41" s="117"/>
      <c r="BV41" s="117"/>
      <c r="BW41"/>
      <c r="BX41"/>
      <c r="BY41"/>
      <c r="BZ41"/>
      <c r="CA41"/>
    </row>
    <row r="42" spans="1:79" ht="15.75">
      <c r="A42"/>
      <c r="B42" s="96" t="s">
        <v>209</v>
      </c>
      <c r="C42" s="602" t="s">
        <v>77</v>
      </c>
      <c r="D42" s="602"/>
      <c r="E42" s="96">
        <v>0</v>
      </c>
      <c r="F42" s="96">
        <v>0</v>
      </c>
      <c r="G42" s="206">
        <f t="shared" si="4"/>
        <v>0</v>
      </c>
      <c r="H42" s="206">
        <f t="shared" si="5"/>
        <v>0</v>
      </c>
      <c r="I42" s="206">
        <f t="shared" si="6"/>
        <v>0</v>
      </c>
      <c r="J42" s="96" t="s">
        <v>210</v>
      </c>
      <c r="K42" s="96">
        <v>0</v>
      </c>
      <c r="L42" s="245">
        <f t="shared" si="7"/>
        <v>0</v>
      </c>
      <c r="M42" s="96">
        <v>0</v>
      </c>
      <c r="N42" s="355">
        <f t="shared" si="8"/>
        <v>0</v>
      </c>
      <c r="O42" s="98">
        <v>0</v>
      </c>
      <c r="P42" s="122">
        <f t="shared" si="9"/>
        <v>0</v>
      </c>
      <c r="Q42" s="99">
        <f t="shared" si="10"/>
        <v>0</v>
      </c>
      <c r="R42" s="99">
        <f t="shared" si="11"/>
        <v>0</v>
      </c>
      <c r="S42" s="99">
        <f t="shared" si="12"/>
        <v>0</v>
      </c>
      <c r="T42" s="99">
        <f t="shared" si="13"/>
        <v>0</v>
      </c>
      <c r="U42" s="98">
        <v>0</v>
      </c>
      <c r="V42" s="99">
        <f t="shared" si="14"/>
        <v>0</v>
      </c>
      <c r="W42" s="99">
        <f t="shared" si="15"/>
        <v>0</v>
      </c>
      <c r="X42" s="99">
        <f t="shared" si="16"/>
        <v>0</v>
      </c>
      <c r="Y42" s="100">
        <f t="shared" si="17"/>
        <v>0</v>
      </c>
      <c r="Z42" s="99">
        <f t="shared" si="18"/>
        <v>0</v>
      </c>
      <c r="AA42" s="100">
        <f t="shared" si="19"/>
        <v>0</v>
      </c>
      <c r="AB42" s="124"/>
      <c r="AC42" s="98">
        <f t="shared" si="20"/>
        <v>0</v>
      </c>
      <c r="AD42" s="98">
        <v>0</v>
      </c>
      <c r="AE42" s="98">
        <v>0</v>
      </c>
      <c r="AF42" s="98">
        <v>0</v>
      </c>
      <c r="AG42" s="98">
        <v>0</v>
      </c>
      <c r="AH42" s="98">
        <v>0</v>
      </c>
      <c r="AI42" s="98">
        <v>0</v>
      </c>
      <c r="AJ42" s="98">
        <v>0</v>
      </c>
      <c r="AK42" s="98">
        <v>0</v>
      </c>
      <c r="AL42" s="98">
        <v>0</v>
      </c>
      <c r="AM42" s="98">
        <v>0</v>
      </c>
      <c r="AN42" s="98">
        <v>0</v>
      </c>
      <c r="AO42" s="98">
        <v>0</v>
      </c>
      <c r="AP42" s="98">
        <v>0</v>
      </c>
      <c r="AQ42" s="98">
        <v>0</v>
      </c>
      <c r="AR42" s="190">
        <v>0</v>
      </c>
      <c r="AS42" s="154">
        <v>0</v>
      </c>
      <c r="AT42" s="191">
        <v>0</v>
      </c>
      <c r="AU42" s="219"/>
      <c r="AV42" s="125">
        <f t="shared" si="21"/>
        <v>0</v>
      </c>
      <c r="AW42" s="125">
        <f t="shared" si="22"/>
        <v>0</v>
      </c>
      <c r="AX42" s="124">
        <f t="shared" si="23"/>
        <v>0</v>
      </c>
      <c r="AY42" s="124">
        <f t="shared" si="24"/>
        <v>0</v>
      </c>
      <c r="AZ42" s="209"/>
      <c r="BA42" s="98">
        <v>0</v>
      </c>
      <c r="BB42" s="98">
        <v>0</v>
      </c>
      <c r="BC42" s="98">
        <v>0</v>
      </c>
      <c r="BD42" s="240">
        <f t="shared" si="25"/>
        <v>0</v>
      </c>
      <c r="BE42" s="98">
        <v>0</v>
      </c>
      <c r="BF42" s="98">
        <v>0</v>
      </c>
      <c r="BG42" s="98">
        <v>0</v>
      </c>
      <c r="BH42" s="98">
        <v>0</v>
      </c>
      <c r="BI42" s="98">
        <v>0</v>
      </c>
      <c r="BJ42" s="240">
        <f t="shared" si="26"/>
        <v>0</v>
      </c>
      <c r="BK42" s="98">
        <v>0</v>
      </c>
      <c r="BL42" s="98">
        <v>0</v>
      </c>
      <c r="BM42" s="209"/>
      <c r="BN42" s="125">
        <f t="shared" si="27"/>
        <v>0</v>
      </c>
      <c r="BO42" s="125">
        <f t="shared" si="28"/>
        <v>0</v>
      </c>
      <c r="BP42" s="124">
        <f t="shared" si="29"/>
        <v>0</v>
      </c>
      <c r="BQ42" s="124">
        <f t="shared" si="30"/>
        <v>0</v>
      </c>
      <c r="BR42" s="117"/>
      <c r="BS42" s="117"/>
      <c r="BT42" s="117"/>
      <c r="BU42" s="117"/>
      <c r="BV42" s="117"/>
      <c r="BW42"/>
      <c r="BX42"/>
      <c r="BY42"/>
      <c r="BZ42"/>
      <c r="CA42"/>
    </row>
    <row r="43" spans="1:79" ht="15.75">
      <c r="A43"/>
      <c r="B43" s="121"/>
      <c r="C43" s="197" t="s">
        <v>363</v>
      </c>
      <c r="D43" s="197"/>
      <c r="E43" s="197"/>
      <c r="F43" s="197"/>
      <c r="G43" s="197"/>
      <c r="H43" s="197"/>
      <c r="I43" s="205"/>
      <c r="J43" s="197"/>
      <c r="K43" s="181" t="s">
        <v>301</v>
      </c>
      <c r="L43" s="356">
        <f>SUM(L36:L42)</f>
        <v>0</v>
      </c>
      <c r="M43" s="197"/>
      <c r="N43" s="356">
        <f>SUM(N36:N42)</f>
        <v>0</v>
      </c>
      <c r="O43" s="127"/>
      <c r="P43" s="127"/>
      <c r="Q43" s="126"/>
      <c r="R43" s="126"/>
      <c r="S43" s="126"/>
      <c r="T43" s="126"/>
      <c r="U43" s="126"/>
      <c r="V43" s="126"/>
      <c r="W43" s="126"/>
      <c r="X43" s="126"/>
      <c r="Y43" s="3"/>
      <c r="Z43" s="3"/>
      <c r="AA43" s="3"/>
      <c r="AB43" s="117"/>
      <c r="AC43" s="127"/>
      <c r="AD43" s="127"/>
      <c r="AE43" s="127"/>
      <c r="AF43" s="127"/>
      <c r="AG43" s="127"/>
      <c r="AH43" s="127"/>
      <c r="AI43" s="127"/>
      <c r="AJ43" s="127"/>
      <c r="AK43" s="127"/>
      <c r="AL43" s="127"/>
      <c r="AM43" s="127"/>
      <c r="AN43" s="127"/>
      <c r="AO43" s="127"/>
      <c r="AP43" s="127"/>
      <c r="AQ43" s="127"/>
      <c r="AR43" s="192"/>
      <c r="AS43" s="193"/>
      <c r="AT43" s="194"/>
      <c r="AU43" s="213"/>
      <c r="AV43" s="127"/>
      <c r="AW43" s="127"/>
      <c r="AX43" s="127"/>
      <c r="AY43" s="127"/>
      <c r="AZ43" s="213"/>
      <c r="BA43" s="127"/>
      <c r="BB43" s="127"/>
      <c r="BC43" s="127"/>
      <c r="BD43" s="241"/>
      <c r="BE43" s="127"/>
      <c r="BF43" s="127"/>
      <c r="BG43" s="127"/>
      <c r="BH43" s="127"/>
      <c r="BI43" s="127"/>
      <c r="BJ43" s="241"/>
      <c r="BK43" s="127"/>
      <c r="BL43" s="127"/>
      <c r="BM43" s="213"/>
      <c r="BN43" s="127"/>
      <c r="BO43" s="127"/>
      <c r="BP43" s="127"/>
      <c r="BQ43" s="127"/>
      <c r="BR43" s="128"/>
      <c r="BS43" s="128"/>
      <c r="BT43" s="128"/>
      <c r="BU43" s="128"/>
      <c r="BV43" s="117"/>
      <c r="BW43"/>
      <c r="BX43"/>
      <c r="BY43"/>
      <c r="BZ43"/>
      <c r="CA43"/>
    </row>
    <row r="44" spans="1:79" ht="15.75">
      <c r="A44"/>
      <c r="B44" s="96" t="s">
        <v>209</v>
      </c>
      <c r="C44" s="602" t="s">
        <v>78</v>
      </c>
      <c r="D44" s="602"/>
      <c r="E44" s="96">
        <v>0</v>
      </c>
      <c r="F44" s="96">
        <v>0</v>
      </c>
      <c r="G44" s="206">
        <f aca="true" t="shared" si="31" ref="G44:G51">E44/IF(F44=0,1,F44)</f>
        <v>0</v>
      </c>
      <c r="H44" s="206">
        <f aca="true" t="shared" si="32" ref="H44:H51">G44</f>
        <v>0</v>
      </c>
      <c r="I44" s="206">
        <f aca="true" t="shared" si="33" ref="I44:I51">E44-G44-H44</f>
        <v>0</v>
      </c>
      <c r="J44" s="96" t="s">
        <v>210</v>
      </c>
      <c r="K44" s="96">
        <v>0</v>
      </c>
      <c r="L44" s="245">
        <f>E44*K44</f>
        <v>0</v>
      </c>
      <c r="M44" s="96">
        <v>0</v>
      </c>
      <c r="N44" s="355">
        <f aca="true" t="shared" si="34" ref="N44:N54">IF(B44="n",I44*K44,I44*M44)</f>
        <v>0</v>
      </c>
      <c r="O44" s="98">
        <v>0</v>
      </c>
      <c r="P44" s="122">
        <f aca="true" t="shared" si="35" ref="P44:P54">IF(OR(M44=0,B44="n"),0,O44/$P$20)</f>
        <v>0</v>
      </c>
      <c r="Q44" s="99">
        <f aca="true" t="shared" si="36" ref="Q44:Q54">IF(OR(M44=0,B44="n"),0,O44/2*$Q$20)</f>
        <v>0</v>
      </c>
      <c r="R44" s="99">
        <f aca="true" t="shared" si="37" ref="R44:R54">IF(OR(M44=0,B44="n"),0,O44/2*$O$2/100*$O$3)</f>
        <v>0</v>
      </c>
      <c r="S44" s="99">
        <f aca="true" t="shared" si="38" ref="S44:S54">IF(OR(M44=0,B44="n"),0,O44/2/100*$O$4)</f>
        <v>0</v>
      </c>
      <c r="T44" s="99">
        <f aca="true" t="shared" si="39" ref="T44:T54">SUM(P44:S44)</f>
        <v>0</v>
      </c>
      <c r="U44" s="98">
        <f aca="true" t="shared" si="40" ref="U44:U54">T44/$P$20</f>
        <v>0</v>
      </c>
      <c r="V44" s="99">
        <f aca="true" t="shared" si="41" ref="V44:V54">IF(OR(M44=0,B44="n"),0,$V$19*O44)</f>
        <v>0</v>
      </c>
      <c r="W44" s="99">
        <f aca="true" t="shared" si="42" ref="W44:W54">IF(OR(M44=0,B44="n"),0,SUM(U44:V44))</f>
        <v>0</v>
      </c>
      <c r="X44" s="99">
        <f aca="true" t="shared" si="43" ref="X44:X54">IF(OR(M44=0,B44="n"),0,T44+W44)</f>
        <v>0</v>
      </c>
      <c r="Y44" s="100">
        <f aca="true" t="shared" si="44" ref="Y44:Y54">IF(OR(M44=0,B44="n"),0,(T44+W44)/N44)</f>
        <v>0</v>
      </c>
      <c r="Z44" s="99">
        <f aca="true" t="shared" si="45" ref="Z44:Z54">IF(OR(K44=0,B44="n"),0,(R44+S44+U44+V44))</f>
        <v>0</v>
      </c>
      <c r="AA44" s="100">
        <f aca="true" t="shared" si="46" ref="AA44:AA54">IF(OR(M44=0,B44="n"),0,(R44+S44+U44+V44)/N44)</f>
        <v>0</v>
      </c>
      <c r="AB44" s="124"/>
      <c r="AC44" s="98">
        <f aca="true" t="shared" si="47" ref="AC44:AC54">IF($AC$22="y",IF(B44="y",$O$8*$AI$3*I44,$AI$3*I44),0)</f>
        <v>0</v>
      </c>
      <c r="AD44" s="98">
        <f>$AI$4*I44</f>
        <v>0</v>
      </c>
      <c r="AE44" s="98">
        <f>$AI$5*I44</f>
        <v>0</v>
      </c>
      <c r="AF44" s="98">
        <f>$AI$6*I44</f>
        <v>0</v>
      </c>
      <c r="AG44" s="96">
        <v>0</v>
      </c>
      <c r="AH44" s="98">
        <f>($AI$8-($O$7*K44))*I44</f>
        <v>0</v>
      </c>
      <c r="AI44" s="98">
        <f>$AI$9*I44</f>
        <v>0</v>
      </c>
      <c r="AJ44" s="98">
        <f>$AI$10*I44</f>
        <v>0</v>
      </c>
      <c r="AK44" s="98">
        <f>81*E44</f>
        <v>0</v>
      </c>
      <c r="AL44" s="98">
        <f>I44*K44*$O$7</f>
        <v>0</v>
      </c>
      <c r="AM44" s="98">
        <v>0</v>
      </c>
      <c r="AN44" s="98">
        <v>0</v>
      </c>
      <c r="AO44" s="98">
        <v>0</v>
      </c>
      <c r="AP44" s="98">
        <v>0</v>
      </c>
      <c r="AQ44" s="98">
        <v>0</v>
      </c>
      <c r="AR44" s="190">
        <v>0</v>
      </c>
      <c r="AS44" s="154">
        <v>0</v>
      </c>
      <c r="AT44" s="191">
        <v>0</v>
      </c>
      <c r="AU44" s="219"/>
      <c r="AV44" s="125">
        <f aca="true" t="shared" si="48" ref="AV44:AV53">SUM(AC44:AQ44)</f>
        <v>0</v>
      </c>
      <c r="AW44" s="125">
        <f aca="true" t="shared" si="49" ref="AW44:AW53">AV44+SUM(AR44:AT44)</f>
        <v>0</v>
      </c>
      <c r="AX44" s="124">
        <f aca="true" t="shared" si="50" ref="AX44:AX53">IF(N44=0,0,AV44/(E44*K44))</f>
        <v>0</v>
      </c>
      <c r="AY44" s="124">
        <f aca="true" t="shared" si="51" ref="AY44:AY53">IF(N44=0,0,AW44/(E44*K44))</f>
        <v>0</v>
      </c>
      <c r="AZ44" s="209"/>
      <c r="BA44" s="98">
        <v>0</v>
      </c>
      <c r="BB44" s="98">
        <v>0</v>
      </c>
      <c r="BC44" s="98">
        <v>0</v>
      </c>
      <c r="BD44" s="240">
        <f aca="true" t="shared" si="52" ref="BD44:BD51">IF(AND(B44="y",I44&gt;0),I44*$AI$6,0)</f>
        <v>0</v>
      </c>
      <c r="BE44" s="98">
        <v>0</v>
      </c>
      <c r="BF44" s="98">
        <v>0</v>
      </c>
      <c r="BG44" s="98">
        <v>0</v>
      </c>
      <c r="BH44" s="98">
        <v>0</v>
      </c>
      <c r="BI44" s="98">
        <v>0</v>
      </c>
      <c r="BJ44" s="240">
        <f aca="true" t="shared" si="53" ref="BJ44:BJ51">IF(AND(B44="y",I44&gt;0),(M44-K44)*$O$7*I44,0)</f>
        <v>0</v>
      </c>
      <c r="BK44" s="98">
        <v>0</v>
      </c>
      <c r="BL44" s="98">
        <v>0</v>
      </c>
      <c r="BM44" s="209"/>
      <c r="BN44" s="125">
        <f aca="true" t="shared" si="54" ref="BN44:BN51">IF(OR(B44="n",K44=0),AV44,AV44+SUM(BA44:BL44)+Z44)</f>
        <v>0</v>
      </c>
      <c r="BO44" s="125">
        <f aca="true" t="shared" si="55" ref="BO44:BO51">IF(OR(B44="n",K44=0),AW44,BN44+X44-Z44)</f>
        <v>0</v>
      </c>
      <c r="BP44" s="124">
        <f aca="true" t="shared" si="56" ref="BP44:BP51">IF(OR(B44="n",K44=0),AX44,BN44/N44)</f>
        <v>0</v>
      </c>
      <c r="BQ44" s="124">
        <f aca="true" t="shared" si="57" ref="BQ44:BQ51">IF(OR(B44="n",K44=0),AY44,BO44/N44)</f>
        <v>0</v>
      </c>
      <c r="BR44" s="117"/>
      <c r="BS44" s="117"/>
      <c r="BT44" s="117"/>
      <c r="BU44" s="117"/>
      <c r="BV44" s="117"/>
      <c r="BW44"/>
      <c r="BX44"/>
      <c r="BY44"/>
      <c r="BZ44"/>
      <c r="CA44"/>
    </row>
    <row r="45" spans="1:79" ht="15.75">
      <c r="A45"/>
      <c r="B45" s="96" t="s">
        <v>209</v>
      </c>
      <c r="C45" s="602" t="s">
        <v>78</v>
      </c>
      <c r="D45" s="602"/>
      <c r="E45" s="96">
        <v>0</v>
      </c>
      <c r="F45" s="96">
        <v>0</v>
      </c>
      <c r="G45" s="206">
        <f t="shared" si="31"/>
        <v>0</v>
      </c>
      <c r="H45" s="206">
        <f t="shared" si="32"/>
        <v>0</v>
      </c>
      <c r="I45" s="206">
        <f t="shared" si="33"/>
        <v>0</v>
      </c>
      <c r="J45" s="96" t="s">
        <v>210</v>
      </c>
      <c r="K45" s="96">
        <v>0</v>
      </c>
      <c r="L45" s="245">
        <f>E45*K45</f>
        <v>0</v>
      </c>
      <c r="M45" s="96">
        <v>0</v>
      </c>
      <c r="N45" s="355">
        <f t="shared" si="34"/>
        <v>0</v>
      </c>
      <c r="O45" s="98">
        <v>0</v>
      </c>
      <c r="P45" s="122">
        <f t="shared" si="35"/>
        <v>0</v>
      </c>
      <c r="Q45" s="99">
        <f t="shared" si="36"/>
        <v>0</v>
      </c>
      <c r="R45" s="99">
        <f t="shared" si="37"/>
        <v>0</v>
      </c>
      <c r="S45" s="99">
        <f t="shared" si="38"/>
        <v>0</v>
      </c>
      <c r="T45" s="99">
        <f t="shared" si="39"/>
        <v>0</v>
      </c>
      <c r="U45" s="98">
        <f t="shared" si="40"/>
        <v>0</v>
      </c>
      <c r="V45" s="99">
        <f t="shared" si="41"/>
        <v>0</v>
      </c>
      <c r="W45" s="99">
        <f t="shared" si="42"/>
        <v>0</v>
      </c>
      <c r="X45" s="99">
        <f t="shared" si="43"/>
        <v>0</v>
      </c>
      <c r="Y45" s="100">
        <f t="shared" si="44"/>
        <v>0</v>
      </c>
      <c r="Z45" s="99">
        <f t="shared" si="45"/>
        <v>0</v>
      </c>
      <c r="AA45" s="100">
        <f t="shared" si="46"/>
        <v>0</v>
      </c>
      <c r="AB45" s="124"/>
      <c r="AC45" s="98">
        <f t="shared" si="47"/>
        <v>0</v>
      </c>
      <c r="AD45" s="98">
        <f>$AI$4*I45</f>
        <v>0</v>
      </c>
      <c r="AE45" s="98">
        <f>$AI$5*I45</f>
        <v>0</v>
      </c>
      <c r="AF45" s="98">
        <f>$AI$6*I45</f>
        <v>0</v>
      </c>
      <c r="AG45" s="96">
        <v>0</v>
      </c>
      <c r="AH45" s="98">
        <f>($AI$8-($O$7*K45))*I45</f>
        <v>0</v>
      </c>
      <c r="AI45" s="98">
        <f>$AI$9*I45</f>
        <v>0</v>
      </c>
      <c r="AJ45" s="98">
        <f>$AI$10*I45</f>
        <v>0</v>
      </c>
      <c r="AK45" s="98">
        <f>81*E45</f>
        <v>0</v>
      </c>
      <c r="AL45" s="98">
        <f>I45*K45*$O$7</f>
        <v>0</v>
      </c>
      <c r="AM45" s="98">
        <v>0</v>
      </c>
      <c r="AN45" s="98">
        <v>0</v>
      </c>
      <c r="AO45" s="98">
        <v>0</v>
      </c>
      <c r="AP45" s="98">
        <v>0</v>
      </c>
      <c r="AQ45" s="98">
        <v>0</v>
      </c>
      <c r="AR45" s="190">
        <v>0</v>
      </c>
      <c r="AS45" s="154">
        <v>0</v>
      </c>
      <c r="AT45" s="191">
        <v>0</v>
      </c>
      <c r="AU45" s="219"/>
      <c r="AV45" s="125">
        <f t="shared" si="48"/>
        <v>0</v>
      </c>
      <c r="AW45" s="125">
        <f t="shared" si="49"/>
        <v>0</v>
      </c>
      <c r="AX45" s="124">
        <f t="shared" si="50"/>
        <v>0</v>
      </c>
      <c r="AY45" s="124">
        <f t="shared" si="51"/>
        <v>0</v>
      </c>
      <c r="AZ45" s="209"/>
      <c r="BA45" s="98">
        <v>0</v>
      </c>
      <c r="BB45" s="98">
        <v>0</v>
      </c>
      <c r="BC45" s="98">
        <v>0</v>
      </c>
      <c r="BD45" s="240">
        <f t="shared" si="52"/>
        <v>0</v>
      </c>
      <c r="BE45" s="98">
        <v>0</v>
      </c>
      <c r="BF45" s="98">
        <v>0</v>
      </c>
      <c r="BG45" s="98">
        <v>0</v>
      </c>
      <c r="BH45" s="98">
        <v>0</v>
      </c>
      <c r="BI45" s="98">
        <v>0</v>
      </c>
      <c r="BJ45" s="240">
        <f t="shared" si="53"/>
        <v>0</v>
      </c>
      <c r="BK45" s="98">
        <v>0</v>
      </c>
      <c r="BL45" s="98">
        <v>0</v>
      </c>
      <c r="BM45" s="209"/>
      <c r="BN45" s="125">
        <f t="shared" si="54"/>
        <v>0</v>
      </c>
      <c r="BO45" s="125">
        <f t="shared" si="55"/>
        <v>0</v>
      </c>
      <c r="BP45" s="124">
        <f t="shared" si="56"/>
        <v>0</v>
      </c>
      <c r="BQ45" s="124">
        <f t="shared" si="57"/>
        <v>0</v>
      </c>
      <c r="BR45" s="117"/>
      <c r="BS45" s="117"/>
      <c r="BT45" s="117"/>
      <c r="BU45" s="117"/>
      <c r="BV45" s="117"/>
      <c r="BW45"/>
      <c r="BX45"/>
      <c r="BY45"/>
      <c r="BZ45"/>
      <c r="CA45"/>
    </row>
    <row r="46" spans="1:79" ht="15.75">
      <c r="A46"/>
      <c r="B46" s="96" t="s">
        <v>209</v>
      </c>
      <c r="C46" s="602" t="s">
        <v>78</v>
      </c>
      <c r="D46" s="602"/>
      <c r="E46" s="96">
        <v>0</v>
      </c>
      <c r="F46" s="96">
        <v>0</v>
      </c>
      <c r="G46" s="206">
        <f t="shared" si="31"/>
        <v>0</v>
      </c>
      <c r="H46" s="206">
        <f t="shared" si="32"/>
        <v>0</v>
      </c>
      <c r="I46" s="206">
        <f t="shared" si="33"/>
        <v>0</v>
      </c>
      <c r="J46" s="96" t="s">
        <v>210</v>
      </c>
      <c r="K46" s="96">
        <v>0</v>
      </c>
      <c r="L46" s="245">
        <f>E46*K46</f>
        <v>0</v>
      </c>
      <c r="M46" s="96">
        <v>0</v>
      </c>
      <c r="N46" s="355">
        <f t="shared" si="34"/>
        <v>0</v>
      </c>
      <c r="O46" s="98">
        <v>0</v>
      </c>
      <c r="P46" s="122">
        <f t="shared" si="35"/>
        <v>0</v>
      </c>
      <c r="Q46" s="99">
        <f t="shared" si="36"/>
        <v>0</v>
      </c>
      <c r="R46" s="99">
        <f t="shared" si="37"/>
        <v>0</v>
      </c>
      <c r="S46" s="99">
        <f t="shared" si="38"/>
        <v>0</v>
      </c>
      <c r="T46" s="99">
        <f t="shared" si="39"/>
        <v>0</v>
      </c>
      <c r="U46" s="98">
        <f t="shared" si="40"/>
        <v>0</v>
      </c>
      <c r="V46" s="99">
        <f t="shared" si="41"/>
        <v>0</v>
      </c>
      <c r="W46" s="99">
        <f t="shared" si="42"/>
        <v>0</v>
      </c>
      <c r="X46" s="99">
        <f t="shared" si="43"/>
        <v>0</v>
      </c>
      <c r="Y46" s="100">
        <f t="shared" si="44"/>
        <v>0</v>
      </c>
      <c r="Z46" s="99">
        <f t="shared" si="45"/>
        <v>0</v>
      </c>
      <c r="AA46" s="100">
        <f t="shared" si="46"/>
        <v>0</v>
      </c>
      <c r="AB46" s="124"/>
      <c r="AC46" s="98">
        <f t="shared" si="47"/>
        <v>0</v>
      </c>
      <c r="AD46" s="98">
        <f>$AI$4*I46</f>
        <v>0</v>
      </c>
      <c r="AE46" s="98">
        <f>$AI$5*I46</f>
        <v>0</v>
      </c>
      <c r="AF46" s="98">
        <f>$AI$6*I46</f>
        <v>0</v>
      </c>
      <c r="AG46" s="98">
        <v>0</v>
      </c>
      <c r="AH46" s="98">
        <v>0</v>
      </c>
      <c r="AI46" s="98">
        <f>$AI$9*I46</f>
        <v>0</v>
      </c>
      <c r="AJ46" s="98">
        <f>$AI$10*I46</f>
        <v>0</v>
      </c>
      <c r="AK46" s="98">
        <f>81*E46</f>
        <v>0</v>
      </c>
      <c r="AL46" s="98">
        <f>I46*K46*$O$7</f>
        <v>0</v>
      </c>
      <c r="AM46" s="98">
        <v>0</v>
      </c>
      <c r="AN46" s="98">
        <v>0</v>
      </c>
      <c r="AO46" s="98">
        <v>0</v>
      </c>
      <c r="AP46" s="98">
        <v>0</v>
      </c>
      <c r="AQ46" s="98">
        <v>0</v>
      </c>
      <c r="AR46" s="190">
        <v>0</v>
      </c>
      <c r="AS46" s="154">
        <v>0</v>
      </c>
      <c r="AT46" s="191">
        <v>0</v>
      </c>
      <c r="AU46" s="219"/>
      <c r="AV46" s="125">
        <f t="shared" si="48"/>
        <v>0</v>
      </c>
      <c r="AW46" s="125">
        <f t="shared" si="49"/>
        <v>0</v>
      </c>
      <c r="AX46" s="124">
        <f t="shared" si="50"/>
        <v>0</v>
      </c>
      <c r="AY46" s="124">
        <f t="shared" si="51"/>
        <v>0</v>
      </c>
      <c r="AZ46" s="209"/>
      <c r="BA46" s="98">
        <v>0</v>
      </c>
      <c r="BB46" s="98">
        <v>0</v>
      </c>
      <c r="BC46" s="98">
        <v>0</v>
      </c>
      <c r="BD46" s="240">
        <f t="shared" si="52"/>
        <v>0</v>
      </c>
      <c r="BE46" s="98">
        <v>0</v>
      </c>
      <c r="BF46" s="98">
        <v>0</v>
      </c>
      <c r="BG46" s="98">
        <v>0</v>
      </c>
      <c r="BH46" s="98">
        <v>0</v>
      </c>
      <c r="BI46" s="98">
        <v>0</v>
      </c>
      <c r="BJ46" s="240">
        <f t="shared" si="53"/>
        <v>0</v>
      </c>
      <c r="BK46" s="98">
        <v>0</v>
      </c>
      <c r="BL46" s="98">
        <v>0</v>
      </c>
      <c r="BM46" s="209"/>
      <c r="BN46" s="125">
        <f t="shared" si="54"/>
        <v>0</v>
      </c>
      <c r="BO46" s="125">
        <f t="shared" si="55"/>
        <v>0</v>
      </c>
      <c r="BP46" s="124">
        <f t="shared" si="56"/>
        <v>0</v>
      </c>
      <c r="BQ46" s="124">
        <f t="shared" si="57"/>
        <v>0</v>
      </c>
      <c r="BR46" s="117"/>
      <c r="BS46" s="117"/>
      <c r="BT46" s="117"/>
      <c r="BU46" s="117"/>
      <c r="BV46" s="117"/>
      <c r="BW46"/>
      <c r="BX46"/>
      <c r="BY46"/>
      <c r="BZ46"/>
      <c r="CA46"/>
    </row>
    <row r="47" spans="1:79" ht="15.75">
      <c r="A47"/>
      <c r="B47" s="96" t="s">
        <v>209</v>
      </c>
      <c r="C47" s="602" t="s">
        <v>78</v>
      </c>
      <c r="D47" s="602"/>
      <c r="E47" s="96">
        <v>0</v>
      </c>
      <c r="F47" s="96">
        <v>0</v>
      </c>
      <c r="G47" s="206">
        <f t="shared" si="31"/>
        <v>0</v>
      </c>
      <c r="H47" s="206">
        <f t="shared" si="32"/>
        <v>0</v>
      </c>
      <c r="I47" s="206">
        <f t="shared" si="33"/>
        <v>0</v>
      </c>
      <c r="J47" s="96" t="s">
        <v>210</v>
      </c>
      <c r="K47" s="96">
        <v>0</v>
      </c>
      <c r="L47" s="245">
        <f>E47*K47</f>
        <v>0</v>
      </c>
      <c r="M47" s="96">
        <v>0</v>
      </c>
      <c r="N47" s="355">
        <f t="shared" si="34"/>
        <v>0</v>
      </c>
      <c r="O47" s="98">
        <v>0</v>
      </c>
      <c r="P47" s="122">
        <f t="shared" si="35"/>
        <v>0</v>
      </c>
      <c r="Q47" s="99">
        <f t="shared" si="36"/>
        <v>0</v>
      </c>
      <c r="R47" s="99">
        <f t="shared" si="37"/>
        <v>0</v>
      </c>
      <c r="S47" s="99">
        <f t="shared" si="38"/>
        <v>0</v>
      </c>
      <c r="T47" s="99">
        <f t="shared" si="39"/>
        <v>0</v>
      </c>
      <c r="U47" s="98">
        <f t="shared" si="40"/>
        <v>0</v>
      </c>
      <c r="V47" s="99">
        <f t="shared" si="41"/>
        <v>0</v>
      </c>
      <c r="W47" s="99">
        <f t="shared" si="42"/>
        <v>0</v>
      </c>
      <c r="X47" s="99">
        <f t="shared" si="43"/>
        <v>0</v>
      </c>
      <c r="Y47" s="100">
        <f t="shared" si="44"/>
        <v>0</v>
      </c>
      <c r="Z47" s="99">
        <f t="shared" si="45"/>
        <v>0</v>
      </c>
      <c r="AA47" s="100">
        <f t="shared" si="46"/>
        <v>0</v>
      </c>
      <c r="AB47" s="124"/>
      <c r="AC47" s="98">
        <f t="shared" si="47"/>
        <v>0</v>
      </c>
      <c r="AD47" s="98">
        <f>$AI$4*I47</f>
        <v>0</v>
      </c>
      <c r="AE47" s="98">
        <f>$AI$5*I47</f>
        <v>0</v>
      </c>
      <c r="AF47" s="98">
        <f>$AI$6*I47</f>
        <v>0</v>
      </c>
      <c r="AG47" s="98">
        <v>0</v>
      </c>
      <c r="AH47" s="98">
        <f>($AI$8-($O$7*K47))*I47</f>
        <v>0</v>
      </c>
      <c r="AI47" s="98">
        <f>$AI$9*I47</f>
        <v>0</v>
      </c>
      <c r="AJ47" s="98">
        <f>$AI$10*I47</f>
        <v>0</v>
      </c>
      <c r="AK47" s="98">
        <f>81*E47</f>
        <v>0</v>
      </c>
      <c r="AL47" s="98">
        <f>I47*K47*$O$7</f>
        <v>0</v>
      </c>
      <c r="AM47" s="98">
        <v>0</v>
      </c>
      <c r="AN47" s="98">
        <v>0</v>
      </c>
      <c r="AO47" s="98">
        <v>0</v>
      </c>
      <c r="AP47" s="98">
        <v>0</v>
      </c>
      <c r="AQ47" s="98">
        <v>0</v>
      </c>
      <c r="AR47" s="190">
        <v>0</v>
      </c>
      <c r="AS47" s="154">
        <v>0</v>
      </c>
      <c r="AT47" s="191">
        <v>0</v>
      </c>
      <c r="AU47" s="219"/>
      <c r="AV47" s="125">
        <f t="shared" si="48"/>
        <v>0</v>
      </c>
      <c r="AW47" s="125">
        <f t="shared" si="49"/>
        <v>0</v>
      </c>
      <c r="AX47" s="124">
        <f t="shared" si="50"/>
        <v>0</v>
      </c>
      <c r="AY47" s="124">
        <f t="shared" si="51"/>
        <v>0</v>
      </c>
      <c r="AZ47" s="209"/>
      <c r="BA47" s="98">
        <v>0</v>
      </c>
      <c r="BB47" s="98">
        <v>0</v>
      </c>
      <c r="BC47" s="98">
        <v>0</v>
      </c>
      <c r="BD47" s="240">
        <f t="shared" si="52"/>
        <v>0</v>
      </c>
      <c r="BE47" s="98">
        <v>0</v>
      </c>
      <c r="BF47" s="98">
        <v>0</v>
      </c>
      <c r="BG47" s="98">
        <v>0</v>
      </c>
      <c r="BH47" s="98">
        <v>0</v>
      </c>
      <c r="BI47" s="98">
        <v>0</v>
      </c>
      <c r="BJ47" s="240">
        <f t="shared" si="53"/>
        <v>0</v>
      </c>
      <c r="BK47" s="98">
        <v>0</v>
      </c>
      <c r="BL47" s="98">
        <v>0</v>
      </c>
      <c r="BM47" s="209"/>
      <c r="BN47" s="125">
        <f t="shared" si="54"/>
        <v>0</v>
      </c>
      <c r="BO47" s="125">
        <f t="shared" si="55"/>
        <v>0</v>
      </c>
      <c r="BP47" s="124">
        <f t="shared" si="56"/>
        <v>0</v>
      </c>
      <c r="BQ47" s="124">
        <f t="shared" si="57"/>
        <v>0</v>
      </c>
      <c r="BR47" s="117"/>
      <c r="BS47" s="117"/>
      <c r="BT47" s="117"/>
      <c r="BU47" s="117"/>
      <c r="BV47" s="117"/>
      <c r="BW47"/>
      <c r="BX47"/>
      <c r="BY47"/>
      <c r="BZ47"/>
      <c r="CA47"/>
    </row>
    <row r="48" spans="1:79" ht="15.75">
      <c r="A48"/>
      <c r="B48" s="96" t="s">
        <v>209</v>
      </c>
      <c r="C48" s="602" t="s">
        <v>78</v>
      </c>
      <c r="D48" s="602"/>
      <c r="E48" s="96">
        <v>0</v>
      </c>
      <c r="F48" s="96">
        <v>0</v>
      </c>
      <c r="G48" s="206">
        <f t="shared" si="31"/>
        <v>0</v>
      </c>
      <c r="H48" s="206">
        <f t="shared" si="32"/>
        <v>0</v>
      </c>
      <c r="I48" s="206">
        <f t="shared" si="33"/>
        <v>0</v>
      </c>
      <c r="J48" s="96" t="s">
        <v>210</v>
      </c>
      <c r="K48" s="96">
        <v>0</v>
      </c>
      <c r="L48" s="245">
        <f aca="true" t="shared" si="58" ref="L48:L54">E48*K48</f>
        <v>0</v>
      </c>
      <c r="M48" s="96">
        <v>0</v>
      </c>
      <c r="N48" s="355">
        <f t="shared" si="34"/>
        <v>0</v>
      </c>
      <c r="O48" s="98">
        <v>0</v>
      </c>
      <c r="P48" s="122">
        <f t="shared" si="35"/>
        <v>0</v>
      </c>
      <c r="Q48" s="99">
        <f t="shared" si="36"/>
        <v>0</v>
      </c>
      <c r="R48" s="99">
        <f t="shared" si="37"/>
        <v>0</v>
      </c>
      <c r="S48" s="99">
        <f t="shared" si="38"/>
        <v>0</v>
      </c>
      <c r="T48" s="99">
        <f t="shared" si="39"/>
        <v>0</v>
      </c>
      <c r="U48" s="98">
        <f t="shared" si="40"/>
        <v>0</v>
      </c>
      <c r="V48" s="99">
        <f t="shared" si="41"/>
        <v>0</v>
      </c>
      <c r="W48" s="99">
        <f t="shared" si="42"/>
        <v>0</v>
      </c>
      <c r="X48" s="99">
        <f t="shared" si="43"/>
        <v>0</v>
      </c>
      <c r="Y48" s="100">
        <f t="shared" si="44"/>
        <v>0</v>
      </c>
      <c r="Z48" s="99">
        <f t="shared" si="45"/>
        <v>0</v>
      </c>
      <c r="AA48" s="100">
        <f t="shared" si="46"/>
        <v>0</v>
      </c>
      <c r="AB48" s="124"/>
      <c r="AC48" s="98">
        <f t="shared" si="47"/>
        <v>0</v>
      </c>
      <c r="AD48" s="98">
        <v>0</v>
      </c>
      <c r="AE48" s="98">
        <v>0</v>
      </c>
      <c r="AF48" s="98">
        <v>0</v>
      </c>
      <c r="AG48" s="98">
        <v>0</v>
      </c>
      <c r="AH48" s="98">
        <v>0</v>
      </c>
      <c r="AI48" s="98">
        <v>0</v>
      </c>
      <c r="AJ48" s="98">
        <v>0</v>
      </c>
      <c r="AK48" s="98">
        <v>0</v>
      </c>
      <c r="AL48" s="98">
        <v>0</v>
      </c>
      <c r="AM48" s="98">
        <v>0</v>
      </c>
      <c r="AN48" s="98">
        <v>0</v>
      </c>
      <c r="AO48" s="98">
        <v>0</v>
      </c>
      <c r="AP48" s="98">
        <v>0</v>
      </c>
      <c r="AQ48" s="98">
        <v>0</v>
      </c>
      <c r="AR48" s="190">
        <v>0</v>
      </c>
      <c r="AS48" s="154">
        <v>0</v>
      </c>
      <c r="AT48" s="191">
        <v>0</v>
      </c>
      <c r="AU48" s="219"/>
      <c r="AV48" s="125">
        <f t="shared" si="48"/>
        <v>0</v>
      </c>
      <c r="AW48" s="125">
        <f t="shared" si="49"/>
        <v>0</v>
      </c>
      <c r="AX48" s="124">
        <f t="shared" si="50"/>
        <v>0</v>
      </c>
      <c r="AY48" s="124">
        <f t="shared" si="51"/>
        <v>0</v>
      </c>
      <c r="AZ48" s="209"/>
      <c r="BA48" s="98">
        <v>0</v>
      </c>
      <c r="BB48" s="98">
        <v>0</v>
      </c>
      <c r="BC48" s="98">
        <v>0</v>
      </c>
      <c r="BD48" s="240">
        <f t="shared" si="52"/>
        <v>0</v>
      </c>
      <c r="BE48" s="98">
        <v>0</v>
      </c>
      <c r="BF48" s="98">
        <v>0</v>
      </c>
      <c r="BG48" s="98">
        <v>0</v>
      </c>
      <c r="BH48" s="98">
        <v>0</v>
      </c>
      <c r="BI48" s="98">
        <v>0</v>
      </c>
      <c r="BJ48" s="240">
        <f t="shared" si="53"/>
        <v>0</v>
      </c>
      <c r="BK48" s="98">
        <v>0</v>
      </c>
      <c r="BL48" s="98">
        <v>0</v>
      </c>
      <c r="BM48" s="209"/>
      <c r="BN48" s="125">
        <f t="shared" si="54"/>
        <v>0</v>
      </c>
      <c r="BO48" s="125">
        <f t="shared" si="55"/>
        <v>0</v>
      </c>
      <c r="BP48" s="124">
        <f t="shared" si="56"/>
        <v>0</v>
      </c>
      <c r="BQ48" s="124">
        <f t="shared" si="57"/>
        <v>0</v>
      </c>
      <c r="BR48" s="117"/>
      <c r="BS48" s="117"/>
      <c r="BT48" s="117"/>
      <c r="BU48" s="117"/>
      <c r="BV48" s="117"/>
      <c r="BW48"/>
      <c r="BX48"/>
      <c r="BY48"/>
      <c r="BZ48"/>
      <c r="CA48"/>
    </row>
    <row r="49" spans="1:79" ht="15.75">
      <c r="A49"/>
      <c r="B49" s="96" t="s">
        <v>209</v>
      </c>
      <c r="C49" s="602" t="s">
        <v>78</v>
      </c>
      <c r="D49" s="602"/>
      <c r="E49" s="96">
        <v>0</v>
      </c>
      <c r="F49" s="96">
        <v>0</v>
      </c>
      <c r="G49" s="206">
        <f t="shared" si="31"/>
        <v>0</v>
      </c>
      <c r="H49" s="206">
        <f t="shared" si="32"/>
        <v>0</v>
      </c>
      <c r="I49" s="206">
        <f t="shared" si="33"/>
        <v>0</v>
      </c>
      <c r="J49" s="96" t="s">
        <v>210</v>
      </c>
      <c r="K49" s="96">
        <v>0</v>
      </c>
      <c r="L49" s="245">
        <f t="shared" si="58"/>
        <v>0</v>
      </c>
      <c r="M49" s="96">
        <v>0</v>
      </c>
      <c r="N49" s="355">
        <f t="shared" si="34"/>
        <v>0</v>
      </c>
      <c r="O49" s="98">
        <v>0</v>
      </c>
      <c r="P49" s="122">
        <f t="shared" si="35"/>
        <v>0</v>
      </c>
      <c r="Q49" s="99">
        <f t="shared" si="36"/>
        <v>0</v>
      </c>
      <c r="R49" s="99">
        <f t="shared" si="37"/>
        <v>0</v>
      </c>
      <c r="S49" s="99">
        <f t="shared" si="38"/>
        <v>0</v>
      </c>
      <c r="T49" s="99">
        <f t="shared" si="39"/>
        <v>0</v>
      </c>
      <c r="U49" s="98">
        <f t="shared" si="40"/>
        <v>0</v>
      </c>
      <c r="V49" s="99">
        <f t="shared" si="41"/>
        <v>0</v>
      </c>
      <c r="W49" s="99">
        <f t="shared" si="42"/>
        <v>0</v>
      </c>
      <c r="X49" s="99">
        <f t="shared" si="43"/>
        <v>0</v>
      </c>
      <c r="Y49" s="100">
        <f t="shared" si="44"/>
        <v>0</v>
      </c>
      <c r="Z49" s="99">
        <f t="shared" si="45"/>
        <v>0</v>
      </c>
      <c r="AA49" s="100">
        <f t="shared" si="46"/>
        <v>0</v>
      </c>
      <c r="AB49" s="124"/>
      <c r="AC49" s="98">
        <f t="shared" si="47"/>
        <v>0</v>
      </c>
      <c r="AD49" s="98">
        <v>0</v>
      </c>
      <c r="AE49" s="98">
        <v>0</v>
      </c>
      <c r="AF49" s="98">
        <v>0</v>
      </c>
      <c r="AG49" s="98">
        <v>0</v>
      </c>
      <c r="AH49" s="98">
        <v>0</v>
      </c>
      <c r="AI49" s="98">
        <v>0</v>
      </c>
      <c r="AJ49" s="98">
        <v>0</v>
      </c>
      <c r="AK49" s="98">
        <v>0</v>
      </c>
      <c r="AL49" s="98">
        <v>0</v>
      </c>
      <c r="AM49" s="98">
        <v>0</v>
      </c>
      <c r="AN49" s="98">
        <v>0</v>
      </c>
      <c r="AO49" s="98">
        <v>0</v>
      </c>
      <c r="AP49" s="98">
        <v>0</v>
      </c>
      <c r="AQ49" s="98">
        <v>0</v>
      </c>
      <c r="AR49" s="190">
        <v>0</v>
      </c>
      <c r="AS49" s="154">
        <v>0</v>
      </c>
      <c r="AT49" s="191">
        <v>0</v>
      </c>
      <c r="AU49" s="219"/>
      <c r="AV49" s="125">
        <f t="shared" si="48"/>
        <v>0</v>
      </c>
      <c r="AW49" s="125">
        <f t="shared" si="49"/>
        <v>0</v>
      </c>
      <c r="AX49" s="124">
        <f t="shared" si="50"/>
        <v>0</v>
      </c>
      <c r="AY49" s="124">
        <f t="shared" si="51"/>
        <v>0</v>
      </c>
      <c r="AZ49" s="209"/>
      <c r="BA49" s="98">
        <v>0</v>
      </c>
      <c r="BB49" s="98">
        <v>0</v>
      </c>
      <c r="BC49" s="98">
        <v>0</v>
      </c>
      <c r="BD49" s="240">
        <f t="shared" si="52"/>
        <v>0</v>
      </c>
      <c r="BE49" s="98">
        <v>0</v>
      </c>
      <c r="BF49" s="98">
        <v>0</v>
      </c>
      <c r="BG49" s="98">
        <v>0</v>
      </c>
      <c r="BH49" s="98">
        <v>0</v>
      </c>
      <c r="BI49" s="98">
        <v>0</v>
      </c>
      <c r="BJ49" s="240">
        <f t="shared" si="53"/>
        <v>0</v>
      </c>
      <c r="BK49" s="98">
        <v>0</v>
      </c>
      <c r="BL49" s="98">
        <v>0</v>
      </c>
      <c r="BM49" s="209"/>
      <c r="BN49" s="125">
        <f t="shared" si="54"/>
        <v>0</v>
      </c>
      <c r="BO49" s="125">
        <f t="shared" si="55"/>
        <v>0</v>
      </c>
      <c r="BP49" s="124">
        <f t="shared" si="56"/>
        <v>0</v>
      </c>
      <c r="BQ49" s="124">
        <f t="shared" si="57"/>
        <v>0</v>
      </c>
      <c r="BR49" s="117"/>
      <c r="BS49"/>
      <c r="BT49"/>
      <c r="BU49"/>
      <c r="BV49"/>
      <c r="BW49"/>
      <c r="BX49"/>
      <c r="BY49"/>
      <c r="BZ49"/>
      <c r="CA49"/>
    </row>
    <row r="50" spans="1:79" ht="15.75">
      <c r="A50"/>
      <c r="B50" s="96" t="s">
        <v>209</v>
      </c>
      <c r="C50" s="602" t="s">
        <v>78</v>
      </c>
      <c r="D50" s="602"/>
      <c r="E50" s="96">
        <v>0</v>
      </c>
      <c r="F50" s="96">
        <v>0</v>
      </c>
      <c r="G50" s="206">
        <f t="shared" si="31"/>
        <v>0</v>
      </c>
      <c r="H50" s="206">
        <f t="shared" si="32"/>
        <v>0</v>
      </c>
      <c r="I50" s="206">
        <f t="shared" si="33"/>
        <v>0</v>
      </c>
      <c r="J50" s="96" t="s">
        <v>210</v>
      </c>
      <c r="K50" s="96">
        <v>0</v>
      </c>
      <c r="L50" s="245">
        <f t="shared" si="58"/>
        <v>0</v>
      </c>
      <c r="M50" s="96">
        <v>0</v>
      </c>
      <c r="N50" s="355">
        <f t="shared" si="34"/>
        <v>0</v>
      </c>
      <c r="O50" s="98">
        <v>0</v>
      </c>
      <c r="P50" s="122">
        <f t="shared" si="35"/>
        <v>0</v>
      </c>
      <c r="Q50" s="99">
        <f t="shared" si="36"/>
        <v>0</v>
      </c>
      <c r="R50" s="99">
        <f t="shared" si="37"/>
        <v>0</v>
      </c>
      <c r="S50" s="99">
        <f t="shared" si="38"/>
        <v>0</v>
      </c>
      <c r="T50" s="99">
        <f t="shared" si="39"/>
        <v>0</v>
      </c>
      <c r="U50" s="98">
        <f t="shared" si="40"/>
        <v>0</v>
      </c>
      <c r="V50" s="99">
        <f t="shared" si="41"/>
        <v>0</v>
      </c>
      <c r="W50" s="99">
        <f t="shared" si="42"/>
        <v>0</v>
      </c>
      <c r="X50" s="99">
        <f t="shared" si="43"/>
        <v>0</v>
      </c>
      <c r="Y50" s="100">
        <f t="shared" si="44"/>
        <v>0</v>
      </c>
      <c r="Z50" s="99">
        <f t="shared" si="45"/>
        <v>0</v>
      </c>
      <c r="AA50" s="100">
        <f t="shared" si="46"/>
        <v>0</v>
      </c>
      <c r="AB50" s="124"/>
      <c r="AC50" s="98">
        <f t="shared" si="47"/>
        <v>0</v>
      </c>
      <c r="AD50" s="98">
        <v>0</v>
      </c>
      <c r="AE50" s="98">
        <v>0</v>
      </c>
      <c r="AF50" s="98">
        <v>0</v>
      </c>
      <c r="AG50" s="98">
        <v>0</v>
      </c>
      <c r="AH50" s="98">
        <v>0</v>
      </c>
      <c r="AI50" s="98">
        <v>0</v>
      </c>
      <c r="AJ50" s="98">
        <v>0</v>
      </c>
      <c r="AK50" s="98">
        <v>0</v>
      </c>
      <c r="AL50" s="98">
        <v>0</v>
      </c>
      <c r="AM50" s="98">
        <v>0</v>
      </c>
      <c r="AN50" s="98">
        <v>0</v>
      </c>
      <c r="AO50" s="98">
        <v>0</v>
      </c>
      <c r="AP50" s="98">
        <v>0</v>
      </c>
      <c r="AQ50" s="98">
        <v>0</v>
      </c>
      <c r="AR50" s="190">
        <v>0</v>
      </c>
      <c r="AS50" s="154">
        <v>0</v>
      </c>
      <c r="AT50" s="191">
        <v>0</v>
      </c>
      <c r="AU50" s="219"/>
      <c r="AV50" s="125">
        <f t="shared" si="48"/>
        <v>0</v>
      </c>
      <c r="AW50" s="125">
        <f t="shared" si="49"/>
        <v>0</v>
      </c>
      <c r="AX50" s="124">
        <f t="shared" si="50"/>
        <v>0</v>
      </c>
      <c r="AY50" s="124">
        <f t="shared" si="51"/>
        <v>0</v>
      </c>
      <c r="AZ50" s="209"/>
      <c r="BA50" s="98">
        <v>0</v>
      </c>
      <c r="BB50" s="98">
        <v>0</v>
      </c>
      <c r="BC50" s="98">
        <v>0</v>
      </c>
      <c r="BD50" s="240">
        <f t="shared" si="52"/>
        <v>0</v>
      </c>
      <c r="BE50" s="98">
        <v>0</v>
      </c>
      <c r="BF50" s="98">
        <v>0</v>
      </c>
      <c r="BG50" s="98">
        <v>0</v>
      </c>
      <c r="BH50" s="98">
        <v>0</v>
      </c>
      <c r="BI50" s="98">
        <v>0</v>
      </c>
      <c r="BJ50" s="240">
        <f t="shared" si="53"/>
        <v>0</v>
      </c>
      <c r="BK50" s="98">
        <v>0</v>
      </c>
      <c r="BL50" s="98">
        <v>0</v>
      </c>
      <c r="BM50" s="209"/>
      <c r="BN50" s="125">
        <f t="shared" si="54"/>
        <v>0</v>
      </c>
      <c r="BO50" s="125">
        <f t="shared" si="55"/>
        <v>0</v>
      </c>
      <c r="BP50" s="124">
        <f t="shared" si="56"/>
        <v>0</v>
      </c>
      <c r="BQ50" s="124">
        <f t="shared" si="57"/>
        <v>0</v>
      </c>
      <c r="BR50" s="117"/>
      <c r="BS50"/>
      <c r="BT50"/>
      <c r="BU50"/>
      <c r="BV50"/>
      <c r="BW50"/>
      <c r="BX50"/>
      <c r="BY50"/>
      <c r="BZ50"/>
      <c r="CA50"/>
    </row>
    <row r="51" spans="1:79" ht="15.75">
      <c r="A51"/>
      <c r="B51" s="96" t="s">
        <v>209</v>
      </c>
      <c r="C51" s="602" t="s">
        <v>78</v>
      </c>
      <c r="D51" s="602"/>
      <c r="E51" s="96">
        <v>0</v>
      </c>
      <c r="F51" s="96">
        <v>0</v>
      </c>
      <c r="G51" s="206">
        <f t="shared" si="31"/>
        <v>0</v>
      </c>
      <c r="H51" s="206">
        <f t="shared" si="32"/>
        <v>0</v>
      </c>
      <c r="I51" s="206">
        <f t="shared" si="33"/>
        <v>0</v>
      </c>
      <c r="J51" s="96" t="s">
        <v>210</v>
      </c>
      <c r="K51" s="96">
        <v>0</v>
      </c>
      <c r="L51" s="245">
        <f t="shared" si="58"/>
        <v>0</v>
      </c>
      <c r="M51" s="96">
        <v>0</v>
      </c>
      <c r="N51" s="355">
        <f t="shared" si="34"/>
        <v>0</v>
      </c>
      <c r="O51" s="98">
        <v>0</v>
      </c>
      <c r="P51" s="122">
        <f t="shared" si="35"/>
        <v>0</v>
      </c>
      <c r="Q51" s="99">
        <f t="shared" si="36"/>
        <v>0</v>
      </c>
      <c r="R51" s="99">
        <f t="shared" si="37"/>
        <v>0</v>
      </c>
      <c r="S51" s="99">
        <f t="shared" si="38"/>
        <v>0</v>
      </c>
      <c r="T51" s="99">
        <f t="shared" si="39"/>
        <v>0</v>
      </c>
      <c r="U51" s="98">
        <f t="shared" si="40"/>
        <v>0</v>
      </c>
      <c r="V51" s="99">
        <f t="shared" si="41"/>
        <v>0</v>
      </c>
      <c r="W51" s="99">
        <f t="shared" si="42"/>
        <v>0</v>
      </c>
      <c r="X51" s="99">
        <f t="shared" si="43"/>
        <v>0</v>
      </c>
      <c r="Y51" s="100">
        <f t="shared" si="44"/>
        <v>0</v>
      </c>
      <c r="Z51" s="99">
        <f t="shared" si="45"/>
        <v>0</v>
      </c>
      <c r="AA51" s="100">
        <f t="shared" si="46"/>
        <v>0</v>
      </c>
      <c r="AB51" s="124"/>
      <c r="AC51" s="98">
        <f t="shared" si="47"/>
        <v>0</v>
      </c>
      <c r="AD51" s="98">
        <v>0</v>
      </c>
      <c r="AE51" s="98">
        <v>0</v>
      </c>
      <c r="AF51" s="98">
        <v>0</v>
      </c>
      <c r="AG51" s="98">
        <v>0</v>
      </c>
      <c r="AH51" s="98">
        <v>0</v>
      </c>
      <c r="AI51" s="98">
        <v>0</v>
      </c>
      <c r="AJ51" s="98">
        <v>0</v>
      </c>
      <c r="AK51" s="98">
        <v>0</v>
      </c>
      <c r="AL51" s="98">
        <v>0</v>
      </c>
      <c r="AM51" s="98">
        <v>0</v>
      </c>
      <c r="AN51" s="98">
        <v>0</v>
      </c>
      <c r="AO51" s="98">
        <v>0</v>
      </c>
      <c r="AP51" s="98">
        <v>0</v>
      </c>
      <c r="AQ51" s="98">
        <v>0</v>
      </c>
      <c r="AR51" s="190">
        <v>0</v>
      </c>
      <c r="AS51" s="154">
        <v>0</v>
      </c>
      <c r="AT51" s="191">
        <v>0</v>
      </c>
      <c r="AU51" s="219"/>
      <c r="AV51" s="125">
        <f>SUM(AC51:AQ51)</f>
        <v>0</v>
      </c>
      <c r="AW51" s="125">
        <f t="shared" si="49"/>
        <v>0</v>
      </c>
      <c r="AX51" s="124">
        <f t="shared" si="50"/>
        <v>0</v>
      </c>
      <c r="AY51" s="124">
        <f t="shared" si="51"/>
        <v>0</v>
      </c>
      <c r="AZ51" s="209"/>
      <c r="BA51" s="98">
        <v>0</v>
      </c>
      <c r="BB51" s="98">
        <v>0</v>
      </c>
      <c r="BC51" s="98">
        <v>0</v>
      </c>
      <c r="BD51" s="240">
        <f t="shared" si="52"/>
        <v>0</v>
      </c>
      <c r="BE51" s="98">
        <v>0</v>
      </c>
      <c r="BF51" s="98">
        <v>0</v>
      </c>
      <c r="BG51" s="98">
        <v>0</v>
      </c>
      <c r="BH51" s="98">
        <v>0</v>
      </c>
      <c r="BI51" s="98">
        <v>0</v>
      </c>
      <c r="BJ51" s="240">
        <f t="shared" si="53"/>
        <v>0</v>
      </c>
      <c r="BK51" s="98">
        <v>0</v>
      </c>
      <c r="BL51" s="98">
        <v>0</v>
      </c>
      <c r="BM51" s="209"/>
      <c r="BN51" s="125">
        <f t="shared" si="54"/>
        <v>0</v>
      </c>
      <c r="BO51" s="125">
        <f t="shared" si="55"/>
        <v>0</v>
      </c>
      <c r="BP51" s="124">
        <f t="shared" si="56"/>
        <v>0</v>
      </c>
      <c r="BQ51" s="124">
        <f t="shared" si="57"/>
        <v>0</v>
      </c>
      <c r="BR51" s="117"/>
      <c r="BS51"/>
      <c r="BT51"/>
      <c r="BU51"/>
      <c r="BV51"/>
      <c r="BW51"/>
      <c r="BX51"/>
      <c r="BY51"/>
      <c r="BZ51"/>
      <c r="CA51"/>
    </row>
    <row r="52" spans="1:79" ht="15.75">
      <c r="A52"/>
      <c r="B52" s="96" t="s">
        <v>209</v>
      </c>
      <c r="C52" s="608" t="s">
        <v>328</v>
      </c>
      <c r="D52" s="608"/>
      <c r="E52" s="96">
        <v>0</v>
      </c>
      <c r="F52" s="96">
        <v>0</v>
      </c>
      <c r="G52" s="206">
        <v>0</v>
      </c>
      <c r="H52" s="206">
        <v>0</v>
      </c>
      <c r="I52" s="242">
        <f>E52</f>
        <v>0</v>
      </c>
      <c r="J52" s="96" t="s">
        <v>210</v>
      </c>
      <c r="K52" s="96">
        <v>0</v>
      </c>
      <c r="L52" s="245">
        <f t="shared" si="58"/>
        <v>0</v>
      </c>
      <c r="M52" s="96">
        <v>0</v>
      </c>
      <c r="N52" s="355">
        <f t="shared" si="34"/>
        <v>0</v>
      </c>
      <c r="O52" s="98">
        <v>0</v>
      </c>
      <c r="P52" s="122">
        <f t="shared" si="35"/>
        <v>0</v>
      </c>
      <c r="Q52" s="99">
        <f t="shared" si="36"/>
        <v>0</v>
      </c>
      <c r="R52" s="99">
        <f t="shared" si="37"/>
        <v>0</v>
      </c>
      <c r="S52" s="99">
        <f t="shared" si="38"/>
        <v>0</v>
      </c>
      <c r="T52" s="99">
        <f t="shared" si="39"/>
        <v>0</v>
      </c>
      <c r="U52" s="98">
        <f t="shared" si="40"/>
        <v>0</v>
      </c>
      <c r="V52" s="99">
        <f t="shared" si="41"/>
        <v>0</v>
      </c>
      <c r="W52" s="99">
        <f t="shared" si="42"/>
        <v>0</v>
      </c>
      <c r="X52" s="99">
        <f t="shared" si="43"/>
        <v>0</v>
      </c>
      <c r="Y52" s="100">
        <f t="shared" si="44"/>
        <v>0</v>
      </c>
      <c r="Z52" s="99">
        <f t="shared" si="45"/>
        <v>0</v>
      </c>
      <c r="AA52" s="100">
        <f t="shared" si="46"/>
        <v>0</v>
      </c>
      <c r="AB52" s="124"/>
      <c r="AC52" s="98">
        <f t="shared" si="47"/>
        <v>0</v>
      </c>
      <c r="AD52" s="98">
        <f>$AI$4*I52</f>
        <v>0</v>
      </c>
      <c r="AE52" s="98">
        <f>$AI$5*I52</f>
        <v>0</v>
      </c>
      <c r="AF52" s="98">
        <f>$AI$6*I52</f>
        <v>0</v>
      </c>
      <c r="AG52" s="98">
        <v>0</v>
      </c>
      <c r="AH52" s="123">
        <v>0</v>
      </c>
      <c r="AI52" s="98">
        <f>$AI$9*I52</f>
        <v>0</v>
      </c>
      <c r="AJ52" s="98">
        <f>$AI$10*I52</f>
        <v>0</v>
      </c>
      <c r="AK52" s="98">
        <v>0</v>
      </c>
      <c r="AL52" s="98">
        <f>I52*K52*$O$7</f>
        <v>0</v>
      </c>
      <c r="AM52" s="98">
        <v>0</v>
      </c>
      <c r="AN52" s="98">
        <v>0</v>
      </c>
      <c r="AO52" s="98">
        <v>0</v>
      </c>
      <c r="AP52" s="98">
        <v>0</v>
      </c>
      <c r="AQ52" s="98">
        <v>0</v>
      </c>
      <c r="AR52" s="190">
        <v>0</v>
      </c>
      <c r="AS52" s="154">
        <v>0</v>
      </c>
      <c r="AT52" s="191">
        <v>0</v>
      </c>
      <c r="AU52" s="219"/>
      <c r="AV52" s="125">
        <f t="shared" si="48"/>
        <v>0</v>
      </c>
      <c r="AW52" s="125">
        <f t="shared" si="49"/>
        <v>0</v>
      </c>
      <c r="AX52" s="124">
        <f t="shared" si="50"/>
        <v>0</v>
      </c>
      <c r="AY52" s="124">
        <f t="shared" si="51"/>
        <v>0</v>
      </c>
      <c r="AZ52" s="209"/>
      <c r="BA52" s="98">
        <v>0</v>
      </c>
      <c r="BB52" s="98">
        <v>0</v>
      </c>
      <c r="BC52" s="98">
        <v>0</v>
      </c>
      <c r="BD52" s="240">
        <f>I52*$AI$6</f>
        <v>0</v>
      </c>
      <c r="BE52" s="240">
        <f>I52*12</f>
        <v>0</v>
      </c>
      <c r="BF52" s="240">
        <f>I52*25</f>
        <v>0</v>
      </c>
      <c r="BG52" s="240">
        <f>I52*15</f>
        <v>0</v>
      </c>
      <c r="BH52" s="98">
        <v>0</v>
      </c>
      <c r="BI52" s="98">
        <v>0</v>
      </c>
      <c r="BJ52" s="240">
        <f>I52*$O$7</f>
        <v>0</v>
      </c>
      <c r="BK52" s="98">
        <v>0</v>
      </c>
      <c r="BL52" s="98">
        <v>0</v>
      </c>
      <c r="BM52" s="209"/>
      <c r="BN52" s="125">
        <f>IF(K52=0,AV52,AV52+SUM(BA52:BL52)+Z52)</f>
        <v>0</v>
      </c>
      <c r="BO52" s="125">
        <f>IF(K52=0,AW52,BN52+X52-Z52)</f>
        <v>0</v>
      </c>
      <c r="BP52" s="124">
        <f>IF(K52=0,AX52,BN52/N52)</f>
        <v>0</v>
      </c>
      <c r="BQ52" s="124">
        <f>IF(K52=0,AY52,BO52/N52)</f>
        <v>0</v>
      </c>
      <c r="BR52" s="117"/>
      <c r="BS52"/>
      <c r="BT52"/>
      <c r="BU52"/>
      <c r="BV52"/>
      <c r="BW52"/>
      <c r="BX52"/>
      <c r="BY52"/>
      <c r="BZ52"/>
      <c r="CA52"/>
    </row>
    <row r="53" spans="1:79" ht="15.75">
      <c r="A53"/>
      <c r="B53" s="96" t="s">
        <v>209</v>
      </c>
      <c r="C53" s="608" t="s">
        <v>330</v>
      </c>
      <c r="D53" s="608"/>
      <c r="E53" s="96">
        <v>0</v>
      </c>
      <c r="F53" s="96">
        <v>0</v>
      </c>
      <c r="G53" s="206">
        <v>0</v>
      </c>
      <c r="H53" s="206">
        <v>0</v>
      </c>
      <c r="I53" s="242">
        <f>E53</f>
        <v>0</v>
      </c>
      <c r="J53" s="96" t="s">
        <v>210</v>
      </c>
      <c r="K53" s="96">
        <v>0</v>
      </c>
      <c r="L53" s="245">
        <f t="shared" si="58"/>
        <v>0</v>
      </c>
      <c r="M53" s="96">
        <v>0</v>
      </c>
      <c r="N53" s="355">
        <f t="shared" si="34"/>
        <v>0</v>
      </c>
      <c r="O53" s="98">
        <v>0</v>
      </c>
      <c r="P53" s="122">
        <f t="shared" si="35"/>
        <v>0</v>
      </c>
      <c r="Q53" s="99">
        <f t="shared" si="36"/>
        <v>0</v>
      </c>
      <c r="R53" s="99">
        <f t="shared" si="37"/>
        <v>0</v>
      </c>
      <c r="S53" s="99">
        <f t="shared" si="38"/>
        <v>0</v>
      </c>
      <c r="T53" s="99">
        <f t="shared" si="39"/>
        <v>0</v>
      </c>
      <c r="U53" s="98">
        <f t="shared" si="40"/>
        <v>0</v>
      </c>
      <c r="V53" s="99">
        <f t="shared" si="41"/>
        <v>0</v>
      </c>
      <c r="W53" s="99">
        <f t="shared" si="42"/>
        <v>0</v>
      </c>
      <c r="X53" s="99">
        <f t="shared" si="43"/>
        <v>0</v>
      </c>
      <c r="Y53" s="100">
        <f t="shared" si="44"/>
        <v>0</v>
      </c>
      <c r="Z53" s="99">
        <f t="shared" si="45"/>
        <v>0</v>
      </c>
      <c r="AA53" s="100">
        <f t="shared" si="46"/>
        <v>0</v>
      </c>
      <c r="AB53" s="124"/>
      <c r="AC53" s="98">
        <f t="shared" si="47"/>
        <v>0</v>
      </c>
      <c r="AD53" s="98">
        <f>$AI$4*I53</f>
        <v>0</v>
      </c>
      <c r="AE53" s="98">
        <f>$AI$5*I53</f>
        <v>0</v>
      </c>
      <c r="AF53" s="98">
        <f>$AI$6*I53</f>
        <v>0</v>
      </c>
      <c r="AG53" s="98">
        <v>0</v>
      </c>
      <c r="AH53" s="123">
        <v>0</v>
      </c>
      <c r="AI53" s="98">
        <f>$AI$9*I53</f>
        <v>0</v>
      </c>
      <c r="AJ53" s="98">
        <f>$AI$10*I53</f>
        <v>0</v>
      </c>
      <c r="AK53" s="98">
        <v>0</v>
      </c>
      <c r="AL53" s="98">
        <f>I53*K53*$O$7</f>
        <v>0</v>
      </c>
      <c r="AM53" s="98">
        <v>0</v>
      </c>
      <c r="AN53" s="98">
        <v>0</v>
      </c>
      <c r="AO53" s="98">
        <v>0</v>
      </c>
      <c r="AP53" s="98">
        <v>0</v>
      </c>
      <c r="AQ53" s="98">
        <v>0</v>
      </c>
      <c r="AR53" s="190">
        <v>0</v>
      </c>
      <c r="AS53" s="154">
        <v>0</v>
      </c>
      <c r="AT53" s="191">
        <v>0</v>
      </c>
      <c r="AU53" s="219"/>
      <c r="AV53" s="125">
        <f t="shared" si="48"/>
        <v>0</v>
      </c>
      <c r="AW53" s="125">
        <f t="shared" si="49"/>
        <v>0</v>
      </c>
      <c r="AX53" s="124">
        <f t="shared" si="50"/>
        <v>0</v>
      </c>
      <c r="AY53" s="124">
        <f t="shared" si="51"/>
        <v>0</v>
      </c>
      <c r="AZ53" s="209"/>
      <c r="BA53" s="98">
        <v>0</v>
      </c>
      <c r="BB53" s="98">
        <v>0</v>
      </c>
      <c r="BC53" s="98">
        <v>0</v>
      </c>
      <c r="BD53" s="240">
        <f>I53*$AI$6</f>
        <v>0</v>
      </c>
      <c r="BE53" s="240">
        <f>I53*(12+35)</f>
        <v>0</v>
      </c>
      <c r="BF53" s="240">
        <f>I53*15</f>
        <v>0</v>
      </c>
      <c r="BG53" s="240">
        <f>I53*15</f>
        <v>0</v>
      </c>
      <c r="BH53" s="98">
        <v>0</v>
      </c>
      <c r="BI53" s="98">
        <v>0</v>
      </c>
      <c r="BJ53" s="240">
        <f>I53*$O$7</f>
        <v>0</v>
      </c>
      <c r="BK53" s="98">
        <v>0</v>
      </c>
      <c r="BL53" s="98">
        <v>0</v>
      </c>
      <c r="BM53" s="209"/>
      <c r="BN53" s="125">
        <f>IF(K53=0,AV53,AV53+SUM(BA53:BL53)+Z53)</f>
        <v>0</v>
      </c>
      <c r="BO53" s="125">
        <f>IF(K53=0,AW53,BN53+X53-Z53)</f>
        <v>0</v>
      </c>
      <c r="BP53" s="124">
        <f>IF(K53=0,AX53,BN53/N53)</f>
        <v>0</v>
      </c>
      <c r="BQ53" s="124">
        <f>IF(K53=0,AY53,BO53/N53)</f>
        <v>0</v>
      </c>
      <c r="BR53" s="129"/>
      <c r="BS53"/>
      <c r="BT53"/>
      <c r="BU53"/>
      <c r="BV53"/>
      <c r="BW53"/>
      <c r="BX53"/>
      <c r="BY53"/>
      <c r="BZ53"/>
      <c r="CA53"/>
    </row>
    <row r="54" spans="1:79" ht="15.75">
      <c r="A54"/>
      <c r="B54" s="176" t="s">
        <v>209</v>
      </c>
      <c r="C54" s="608" t="s">
        <v>327</v>
      </c>
      <c r="D54" s="608"/>
      <c r="E54" s="176">
        <v>0</v>
      </c>
      <c r="F54" s="96">
        <v>0</v>
      </c>
      <c r="G54" s="206"/>
      <c r="H54" s="206"/>
      <c r="I54" s="224">
        <v>0</v>
      </c>
      <c r="J54" s="96" t="s">
        <v>210</v>
      </c>
      <c r="K54" s="176">
        <v>0</v>
      </c>
      <c r="L54" s="245">
        <f t="shared" si="58"/>
        <v>0</v>
      </c>
      <c r="M54" s="176">
        <v>0</v>
      </c>
      <c r="N54" s="357">
        <f t="shared" si="34"/>
        <v>0</v>
      </c>
      <c r="O54" s="154">
        <v>0</v>
      </c>
      <c r="P54" s="177">
        <f t="shared" si="35"/>
        <v>0</v>
      </c>
      <c r="Q54" s="150">
        <f t="shared" si="36"/>
        <v>0</v>
      </c>
      <c r="R54" s="150">
        <f t="shared" si="37"/>
        <v>0</v>
      </c>
      <c r="S54" s="150">
        <f t="shared" si="38"/>
        <v>0</v>
      </c>
      <c r="T54" s="150">
        <f t="shared" si="39"/>
        <v>0</v>
      </c>
      <c r="U54" s="154">
        <f t="shared" si="40"/>
        <v>0</v>
      </c>
      <c r="V54" s="150">
        <f t="shared" si="41"/>
        <v>0</v>
      </c>
      <c r="W54" s="150">
        <f t="shared" si="42"/>
        <v>0</v>
      </c>
      <c r="X54" s="150">
        <f t="shared" si="43"/>
        <v>0</v>
      </c>
      <c r="Y54" s="159">
        <f t="shared" si="44"/>
        <v>0</v>
      </c>
      <c r="Z54" s="150">
        <f t="shared" si="45"/>
        <v>0</v>
      </c>
      <c r="AA54" s="159">
        <f t="shared" si="46"/>
        <v>0</v>
      </c>
      <c r="AB54"/>
      <c r="AC54" s="98">
        <f t="shared" si="47"/>
        <v>0</v>
      </c>
      <c r="AD54" s="98">
        <v>0</v>
      </c>
      <c r="AE54" s="98">
        <v>0</v>
      </c>
      <c r="AF54" s="98">
        <v>0</v>
      </c>
      <c r="AG54" s="98">
        <v>0</v>
      </c>
      <c r="AH54" s="98">
        <v>0</v>
      </c>
      <c r="AI54" s="98">
        <v>0</v>
      </c>
      <c r="AJ54" s="98">
        <v>0</v>
      </c>
      <c r="AK54" s="98">
        <v>0</v>
      </c>
      <c r="AL54" s="98">
        <v>0</v>
      </c>
      <c r="AM54" s="154">
        <v>0</v>
      </c>
      <c r="AN54" s="154">
        <v>0</v>
      </c>
      <c r="AO54" s="154">
        <v>0</v>
      </c>
      <c r="AP54" s="154">
        <v>0</v>
      </c>
      <c r="AQ54" s="154">
        <v>0</v>
      </c>
      <c r="AR54" s="190">
        <v>0</v>
      </c>
      <c r="AS54" s="154">
        <v>0</v>
      </c>
      <c r="AT54" s="191">
        <v>0</v>
      </c>
      <c r="AU54" s="219"/>
      <c r="AV54" s="125"/>
      <c r="AW54" s="125"/>
      <c r="AX54" s="124"/>
      <c r="AY54" s="124"/>
      <c r="AZ54" s="209"/>
      <c r="BA54" s="98"/>
      <c r="BB54" s="98"/>
      <c r="BC54" s="98"/>
      <c r="BD54" s="98"/>
      <c r="BE54" s="98"/>
      <c r="BF54" s="98"/>
      <c r="BG54" s="98"/>
      <c r="BH54" s="98"/>
      <c r="BI54" s="98"/>
      <c r="BJ54" s="98"/>
      <c r="BK54" s="98"/>
      <c r="BL54" s="98"/>
      <c r="BM54" s="209"/>
      <c r="BN54" s="125"/>
      <c r="BO54" s="125"/>
      <c r="BP54" s="124"/>
      <c r="BQ54" s="124"/>
      <c r="BR54" s="129"/>
      <c r="BS54"/>
      <c r="BT54"/>
      <c r="BU54"/>
      <c r="BV54"/>
      <c r="BW54"/>
      <c r="BX54"/>
      <c r="BY54"/>
      <c r="BZ54"/>
      <c r="CA54"/>
    </row>
    <row r="55" spans="1:79" ht="15.75">
      <c r="A55"/>
      <c r="B55" s="178"/>
      <c r="C55" s="179"/>
      <c r="D55" s="179"/>
      <c r="E55" s="178"/>
      <c r="F55" s="178"/>
      <c r="G55" s="179"/>
      <c r="H55" s="179"/>
      <c r="I55" s="178"/>
      <c r="J55" s="178"/>
      <c r="K55" s="182" t="s">
        <v>301</v>
      </c>
      <c r="L55" s="358">
        <f>SUM(L44:L54)</f>
        <v>0</v>
      </c>
      <c r="M55" s="359"/>
      <c r="N55" s="358">
        <f>SUM(N44:N54)</f>
        <v>0</v>
      </c>
      <c r="O55" s="180"/>
      <c r="P55" s="178"/>
      <c r="Q55" s="178"/>
      <c r="R55" s="178"/>
      <c r="S55" s="178"/>
      <c r="T55" s="178"/>
      <c r="U55" s="178"/>
      <c r="V55" s="178"/>
      <c r="W55" s="178"/>
      <c r="X55" s="178"/>
      <c r="Y55" s="179"/>
      <c r="Z55" s="179"/>
      <c r="AA55" s="179"/>
      <c r="AB55"/>
      <c r="AC55" s="179"/>
      <c r="AD55" s="179"/>
      <c r="AE55" s="179"/>
      <c r="AF55" s="179"/>
      <c r="AG55" s="179"/>
      <c r="AH55" s="179"/>
      <c r="AI55" s="179"/>
      <c r="AJ55" s="179"/>
      <c r="AK55" s="179"/>
      <c r="AL55" s="179"/>
      <c r="AM55" s="179"/>
      <c r="AN55" s="179"/>
      <c r="AO55" s="179"/>
      <c r="AP55" s="179"/>
      <c r="AQ55" s="179"/>
      <c r="AR55" s="195"/>
      <c r="AS55" s="179"/>
      <c r="AT55" s="196"/>
      <c r="AU55" s="129"/>
      <c r="AV55" s="223"/>
      <c r="AW55" s="223"/>
      <c r="AX55" s="179"/>
      <c r="AY55" s="179"/>
      <c r="AZ55" s="129"/>
      <c r="BA55" s="179"/>
      <c r="BB55" s="179"/>
      <c r="BC55" s="179"/>
      <c r="BD55" s="179"/>
      <c r="BE55" s="179"/>
      <c r="BF55" s="179"/>
      <c r="BG55" s="179"/>
      <c r="BH55" s="179"/>
      <c r="BI55" s="179"/>
      <c r="BJ55" s="179"/>
      <c r="BK55" s="179"/>
      <c r="BL55" s="223"/>
      <c r="BM55" s="129"/>
      <c r="BN55" s="179"/>
      <c r="BO55" s="179"/>
      <c r="BP55" s="179"/>
      <c r="BQ55" s="179"/>
      <c r="BR55" s="129"/>
      <c r="BS55"/>
      <c r="BT55"/>
      <c r="BU55"/>
      <c r="BV55"/>
      <c r="BW55"/>
      <c r="BX55"/>
      <c r="BY55"/>
      <c r="BZ55"/>
      <c r="CA55"/>
    </row>
    <row r="56" spans="1:79" ht="15.75">
      <c r="A56"/>
      <c r="B56" s="8" t="s">
        <v>212</v>
      </c>
      <c r="C56"/>
      <c r="D56"/>
      <c r="E56" s="131">
        <f>SUM(E24:E51)-E54</f>
        <v>435</v>
      </c>
      <c r="F56" s="131"/>
      <c r="G56" s="131">
        <f>SUM(G24:G51)</f>
        <v>0</v>
      </c>
      <c r="H56" s="131">
        <f>SUM(H24:H51)</f>
        <v>0</v>
      </c>
      <c r="I56" s="131">
        <f>SUM(I24:I55)</f>
        <v>435</v>
      </c>
      <c r="J56" s="1"/>
      <c r="K56" s="1"/>
      <c r="L56" s="131">
        <f>L29+L35+L43+L55</f>
        <v>461.478947368421</v>
      </c>
      <c r="M56" s="1"/>
      <c r="N56" s="131">
        <f>N29+N35+N43+N55</f>
        <v>461.478947368421</v>
      </c>
      <c r="O56" s="99">
        <f>SUMIF(P24:P54,"&gt;0",O24:O54)</f>
        <v>0</v>
      </c>
      <c r="P56" s="99">
        <f aca="true" t="shared" si="59" ref="P56:X56">SUM(P24:P55)</f>
        <v>0</v>
      </c>
      <c r="Q56" s="99">
        <f t="shared" si="59"/>
        <v>0</v>
      </c>
      <c r="R56" s="99">
        <f t="shared" si="59"/>
        <v>0</v>
      </c>
      <c r="S56" s="99">
        <f t="shared" si="59"/>
        <v>0</v>
      </c>
      <c r="T56" s="99">
        <f t="shared" si="59"/>
        <v>0</v>
      </c>
      <c r="U56" s="99">
        <f t="shared" si="59"/>
        <v>10352</v>
      </c>
      <c r="V56" s="99">
        <f t="shared" si="59"/>
        <v>0</v>
      </c>
      <c r="W56" s="99">
        <f t="shared" si="59"/>
        <v>0</v>
      </c>
      <c r="X56" s="99">
        <f t="shared" si="59"/>
        <v>0</v>
      </c>
      <c r="Y56" s="100">
        <f>X56/N56</f>
        <v>0</v>
      </c>
      <c r="Z56" s="99">
        <f>SUM(Z24:Z55)</f>
        <v>0</v>
      </c>
      <c r="AA56" s="100">
        <f>Z56/N56</f>
        <v>0</v>
      </c>
      <c r="AB56"/>
      <c r="AC56" s="99">
        <f aca="true" t="shared" si="60" ref="AC56:AT56">SUM(AC24:AC54)</f>
        <v>0</v>
      </c>
      <c r="AD56" s="99">
        <f t="shared" si="60"/>
        <v>0</v>
      </c>
      <c r="AE56" s="99">
        <f t="shared" si="60"/>
        <v>0</v>
      </c>
      <c r="AF56" s="99">
        <f t="shared" si="60"/>
        <v>0</v>
      </c>
      <c r="AG56" s="99">
        <f t="shared" si="60"/>
        <v>0</v>
      </c>
      <c r="AH56" s="99">
        <f t="shared" si="60"/>
        <v>0</v>
      </c>
      <c r="AI56" s="99">
        <f t="shared" si="60"/>
        <v>0</v>
      </c>
      <c r="AJ56" s="99">
        <f t="shared" si="60"/>
        <v>0</v>
      </c>
      <c r="AK56" s="99">
        <f t="shared" si="60"/>
        <v>0</v>
      </c>
      <c r="AL56" s="236">
        <f t="shared" si="60"/>
        <v>0</v>
      </c>
      <c r="AM56" s="236">
        <f t="shared" si="60"/>
        <v>0</v>
      </c>
      <c r="AN56" s="236">
        <f t="shared" si="60"/>
        <v>0</v>
      </c>
      <c r="AO56" s="236">
        <f t="shared" si="60"/>
        <v>0</v>
      </c>
      <c r="AP56" s="236">
        <f t="shared" si="60"/>
        <v>0</v>
      </c>
      <c r="AQ56" s="236">
        <f t="shared" si="60"/>
        <v>0</v>
      </c>
      <c r="AR56" s="236">
        <f t="shared" si="60"/>
        <v>0</v>
      </c>
      <c r="AS56" s="236">
        <f t="shared" si="60"/>
        <v>0</v>
      </c>
      <c r="AT56" s="236">
        <f t="shared" si="60"/>
        <v>0</v>
      </c>
      <c r="AU56" s="209"/>
      <c r="AV56" s="125">
        <f>SUM(AV24:AV55)</f>
        <v>0</v>
      </c>
      <c r="AW56" s="124"/>
      <c r="AX56" s="124"/>
      <c r="AY56" s="124"/>
      <c r="AZ56" s="209"/>
      <c r="BA56" s="125">
        <f aca="true" t="shared" si="61" ref="BA56:BL56">SUM(BA24:BA55)</f>
        <v>0</v>
      </c>
      <c r="BB56" s="125">
        <f t="shared" si="61"/>
        <v>0</v>
      </c>
      <c r="BC56" s="125">
        <f t="shared" si="61"/>
        <v>0</v>
      </c>
      <c r="BD56" s="125">
        <f t="shared" si="61"/>
        <v>0</v>
      </c>
      <c r="BE56" s="125">
        <f t="shared" si="61"/>
        <v>0</v>
      </c>
      <c r="BF56" s="125">
        <f t="shared" si="61"/>
        <v>0</v>
      </c>
      <c r="BG56" s="125">
        <f t="shared" si="61"/>
        <v>0</v>
      </c>
      <c r="BH56" s="125">
        <f t="shared" si="61"/>
        <v>0</v>
      </c>
      <c r="BI56" s="125">
        <f t="shared" si="61"/>
        <v>0</v>
      </c>
      <c r="BJ56" s="125">
        <f t="shared" si="61"/>
        <v>0</v>
      </c>
      <c r="BK56" s="125">
        <f t="shared" si="61"/>
        <v>0</v>
      </c>
      <c r="BL56" s="125">
        <f t="shared" si="61"/>
        <v>0</v>
      </c>
      <c r="BN56" s="124"/>
      <c r="BO56" s="124"/>
      <c r="BP56" s="124"/>
      <c r="BQ56" s="124"/>
      <c r="BR56" s="117"/>
      <c r="BS56"/>
      <c r="BT56"/>
      <c r="BU56"/>
      <c r="BV56"/>
      <c r="BW56"/>
      <c r="BX56"/>
      <c r="BY56"/>
      <c r="BZ56"/>
      <c r="CA56"/>
    </row>
    <row r="57" spans="1:79" ht="15.75">
      <c r="A57"/>
      <c r="B57" s="1"/>
      <c r="C57"/>
      <c r="D57"/>
      <c r="E57"/>
      <c r="F57"/>
      <c r="G57" s="129"/>
      <c r="H57" s="129"/>
      <c r="I57" s="145"/>
      <c r="J57" s="145"/>
      <c r="K57" s="145"/>
      <c r="L57" s="145"/>
      <c r="M57" s="362" t="s">
        <v>366</v>
      </c>
      <c r="N57" s="363">
        <v>2700</v>
      </c>
      <c r="O57" s="366" t="s">
        <v>298</v>
      </c>
      <c r="P57" s="99"/>
      <c r="Q57" s="99"/>
      <c r="R57" s="99"/>
      <c r="S57" s="99"/>
      <c r="T57" s="99"/>
      <c r="U57" s="99"/>
      <c r="V57" s="99"/>
      <c r="W57" s="99"/>
      <c r="X57" s="99"/>
      <c r="Y57" s="100"/>
      <c r="Z57" s="99"/>
      <c r="AA57" s="100"/>
      <c r="AB57" s="124"/>
      <c r="AC57" s="99"/>
      <c r="AD57" s="99"/>
      <c r="AE57" s="99"/>
      <c r="AF57" s="99"/>
      <c r="AG57" s="99"/>
      <c r="AH57" s="99"/>
      <c r="AI57" s="99"/>
      <c r="AJ57" s="99"/>
      <c r="AK57" s="99"/>
      <c r="AL57" s="155">
        <f>SUM(AC56:AL56)</f>
        <v>0</v>
      </c>
      <c r="AM57" s="124"/>
      <c r="AN57" s="124"/>
      <c r="AO57" s="124"/>
      <c r="AP57" s="124"/>
      <c r="AQ57" s="124"/>
      <c r="AR57" s="124"/>
      <c r="AS57" s="124"/>
      <c r="AT57" s="124"/>
      <c r="AU57" s="209"/>
      <c r="AV57" s="125"/>
      <c r="AW57" s="124"/>
      <c r="AX57" s="124"/>
      <c r="AY57" s="124"/>
      <c r="AZ57" s="209"/>
      <c r="BA57" s="124"/>
      <c r="BB57" s="124"/>
      <c r="BC57" s="124"/>
      <c r="BD57" s="124"/>
      <c r="BE57" s="124"/>
      <c r="BF57" s="124"/>
      <c r="BG57" s="124"/>
      <c r="BH57" s="124"/>
      <c r="BI57" s="124"/>
      <c r="BJ57" s="124"/>
      <c r="BK57" s="232" t="s">
        <v>332</v>
      </c>
      <c r="BL57" s="233">
        <f>SUM(BA56:BL56)</f>
        <v>0</v>
      </c>
      <c r="BM57" s="209"/>
      <c r="BN57" s="124"/>
      <c r="BO57" s="124"/>
      <c r="BP57" s="124"/>
      <c r="BQ57" s="124"/>
      <c r="BR57"/>
      <c r="BS57"/>
      <c r="BT57"/>
      <c r="BU57"/>
      <c r="BV57"/>
      <c r="BW57"/>
      <c r="BX57"/>
      <c r="BY57"/>
      <c r="BZ57"/>
      <c r="CA57"/>
    </row>
    <row r="58" spans="1:79" ht="15.75">
      <c r="A58"/>
      <c r="B58" s="1"/>
      <c r="C58"/>
      <c r="D58"/>
      <c r="E58"/>
      <c r="F58"/>
      <c r="G58" s="129"/>
      <c r="H58" s="129"/>
      <c r="I58" s="129"/>
      <c r="J58" s="129"/>
      <c r="K58" s="129"/>
      <c r="L58" s="129"/>
      <c r="M58" s="362" t="s">
        <v>213</v>
      </c>
      <c r="N58" s="364">
        <f>IF(N56&lt;=N57,0,N56-N57)</f>
        <v>0</v>
      </c>
      <c r="O58" s="367" t="s">
        <v>299</v>
      </c>
      <c r="P58" s="99"/>
      <c r="Q58" s="99"/>
      <c r="R58" s="99"/>
      <c r="S58" s="99"/>
      <c r="T58" s="99"/>
      <c r="U58" s="99"/>
      <c r="V58" s="99"/>
      <c r="W58" s="99"/>
      <c r="X58" s="99"/>
      <c r="Y58" s="100"/>
      <c r="Z58" s="99"/>
      <c r="AA58" s="100"/>
      <c r="AB58" s="124"/>
      <c r="AC58" s="124"/>
      <c r="AD58" s="124"/>
      <c r="AE58" s="124"/>
      <c r="AF58" s="124"/>
      <c r="AG58" s="124"/>
      <c r="AH58" s="124" t="s">
        <v>307</v>
      </c>
      <c r="AI58" s="124" t="s">
        <v>308</v>
      </c>
      <c r="AJ58" s="124" t="s">
        <v>309</v>
      </c>
      <c r="AK58" s="124"/>
      <c r="AL58" s="124"/>
      <c r="AM58" s="124"/>
      <c r="AN58" s="124"/>
      <c r="AO58" s="124"/>
      <c r="AP58" s="124"/>
      <c r="AQ58" s="124"/>
      <c r="AR58" s="124"/>
      <c r="AS58" s="124"/>
      <c r="AT58" s="124"/>
      <c r="AU58" s="209"/>
      <c r="AV58" s="125">
        <f>AV56-AH12</f>
        <v>0</v>
      </c>
      <c r="AW58" s="124"/>
      <c r="AX58" s="124"/>
      <c r="AY58" s="124"/>
      <c r="AZ58" s="209"/>
      <c r="BA58" s="124"/>
      <c r="BB58" s="124"/>
      <c r="BC58" s="124"/>
      <c r="BD58" s="124"/>
      <c r="BE58" s="124"/>
      <c r="BF58" s="124"/>
      <c r="BG58" s="124"/>
      <c r="BH58" s="124"/>
      <c r="BI58" s="124"/>
      <c r="BJ58" s="124"/>
      <c r="BK58" s="124"/>
      <c r="BL58" s="124"/>
      <c r="BM58" s="209"/>
      <c r="BN58" s="124"/>
      <c r="BO58" s="124"/>
      <c r="BP58" s="124"/>
      <c r="BQ58" s="124"/>
      <c r="BR58"/>
      <c r="BS58"/>
      <c r="BT58"/>
      <c r="BU58"/>
      <c r="BV58"/>
      <c r="BW58"/>
      <c r="BX58"/>
      <c r="BY58"/>
      <c r="BZ58"/>
      <c r="CA58"/>
    </row>
    <row r="59" spans="1:79" ht="16.5" thickBot="1">
      <c r="A59"/>
      <c r="B59" s="1"/>
      <c r="C59"/>
      <c r="D59"/>
      <c r="E59"/>
      <c r="F59"/>
      <c r="G59" s="129"/>
      <c r="H59" s="129"/>
      <c r="I59" s="145"/>
      <c r="J59" s="145"/>
      <c r="K59" s="145"/>
      <c r="L59" s="145"/>
      <c r="M59" s="362" t="s">
        <v>214</v>
      </c>
      <c r="N59" s="219">
        <v>70</v>
      </c>
      <c r="O59" s="368" t="s">
        <v>185</v>
      </c>
      <c r="P59" s="99"/>
      <c r="Q59" s="99"/>
      <c r="R59" s="99"/>
      <c r="S59" s="99"/>
      <c r="T59" s="99"/>
      <c r="U59" s="99"/>
      <c r="V59" s="99"/>
      <c r="W59" s="99"/>
      <c r="X59" s="99"/>
      <c r="Y59" s="100"/>
      <c r="Z59" s="99"/>
      <c r="AA59" s="100"/>
      <c r="AB59" s="100"/>
      <c r="AC59" s="100"/>
      <c r="AD59" s="100"/>
      <c r="AE59" s="100"/>
      <c r="AF59" t="s">
        <v>145</v>
      </c>
      <c r="AG59" s="100"/>
      <c r="AH59" s="99">
        <f aca="true" t="shared" si="62" ref="AH59:AH67">AH3</f>
        <v>0</v>
      </c>
      <c r="AI59" s="99">
        <f>AC56</f>
        <v>0</v>
      </c>
      <c r="AJ59" s="99">
        <f>AI59-AH59</f>
        <v>0</v>
      </c>
      <c r="AK59" s="100"/>
      <c r="AL59" s="100"/>
      <c r="AM59" s="100"/>
      <c r="AN59" s="100"/>
      <c r="AO59" s="100"/>
      <c r="AP59" s="100"/>
      <c r="AQ59" s="100"/>
      <c r="AR59" s="100"/>
      <c r="AS59" s="100"/>
      <c r="AT59" s="100"/>
      <c r="AU59" s="209"/>
      <c r="AV59" s="99"/>
      <c r="AW59" s="100"/>
      <c r="AX59" s="100"/>
      <c r="AY59" s="100"/>
      <c r="AZ59" s="209"/>
      <c r="BA59" s="100"/>
      <c r="BB59" s="100"/>
      <c r="BC59" s="100"/>
      <c r="BD59" s="100"/>
      <c r="BE59" s="100"/>
      <c r="BF59" s="100"/>
      <c r="BG59" s="100"/>
      <c r="BH59" s="100"/>
      <c r="BI59" s="100"/>
      <c r="BJ59" s="100"/>
      <c r="BK59" s="100"/>
      <c r="BL59" s="100"/>
      <c r="BM59" s="209"/>
      <c r="BN59" s="100"/>
      <c r="BO59" s="100"/>
      <c r="BP59" s="100"/>
      <c r="BQ59" s="100"/>
      <c r="BR59"/>
      <c r="BS59"/>
      <c r="BT59"/>
      <c r="BU59"/>
      <c r="BV59"/>
      <c r="BW59"/>
      <c r="BX59"/>
      <c r="BY59"/>
      <c r="BZ59"/>
      <c r="CA59"/>
    </row>
    <row r="60" spans="1:79" ht="16.5" thickTop="1">
      <c r="A60"/>
      <c r="B60" s="1"/>
      <c r="C60"/>
      <c r="D60"/>
      <c r="E60"/>
      <c r="F60"/>
      <c r="G60" s="129"/>
      <c r="H60" s="129"/>
      <c r="I60" s="145"/>
      <c r="J60" s="145"/>
      <c r="K60" s="145"/>
      <c r="L60" s="145"/>
      <c r="M60" s="362" t="s">
        <v>215</v>
      </c>
      <c r="N60" s="365">
        <f>N58*N59</f>
        <v>0</v>
      </c>
      <c r="O60" s="125">
        <f>SUM(O24:O55)</f>
        <v>282216</v>
      </c>
      <c r="Q60" s="99"/>
      <c r="R60" s="99"/>
      <c r="S60" s="99"/>
      <c r="T60" s="99"/>
      <c r="U60" s="99"/>
      <c r="V60" s="99"/>
      <c r="W60" s="99"/>
      <c r="X60" s="99"/>
      <c r="Y60" s="100"/>
      <c r="Z60" s="99"/>
      <c r="AA60" s="100"/>
      <c r="AB60" s="100"/>
      <c r="AC60" s="100"/>
      <c r="AD60" s="100"/>
      <c r="AE60" s="100"/>
      <c r="AF60" t="s">
        <v>147</v>
      </c>
      <c r="AG60" s="100"/>
      <c r="AH60" s="99">
        <f t="shared" si="62"/>
        <v>0</v>
      </c>
      <c r="AI60" s="99">
        <f>AD56</f>
        <v>0</v>
      </c>
      <c r="AJ60" s="99">
        <f aca="true" t="shared" si="63" ref="AJ60:AJ67">AI60-AH60</f>
        <v>0</v>
      </c>
      <c r="AK60" s="100"/>
      <c r="AL60" s="100"/>
      <c r="AM60" s="100"/>
      <c r="AN60" s="100"/>
      <c r="AO60" s="100"/>
      <c r="AP60" s="100"/>
      <c r="AQ60" s="100"/>
      <c r="AR60" s="100"/>
      <c r="AS60" s="100"/>
      <c r="AT60" s="100"/>
      <c r="AU60" s="209"/>
      <c r="AV60" s="100"/>
      <c r="AW60" s="100"/>
      <c r="AX60" s="100"/>
      <c r="AY60" s="100"/>
      <c r="AZ60" s="209"/>
      <c r="BA60" s="100"/>
      <c r="BB60" s="100"/>
      <c r="BC60" s="100"/>
      <c r="BD60" s="100"/>
      <c r="BE60" s="100"/>
      <c r="BF60" s="100"/>
      <c r="BG60" s="100"/>
      <c r="BH60" s="100"/>
      <c r="BI60" s="100"/>
      <c r="BJ60" s="100"/>
      <c r="BK60" s="100"/>
      <c r="BL60" s="100"/>
      <c r="BM60" s="209"/>
      <c r="BN60" s="100"/>
      <c r="BO60" s="100"/>
      <c r="BP60" s="100"/>
      <c r="BQ60" s="100"/>
      <c r="BR60"/>
      <c r="BS60"/>
      <c r="BT60"/>
      <c r="BU60"/>
      <c r="BV60"/>
      <c r="BW60"/>
      <c r="BX60"/>
      <c r="BY60"/>
      <c r="BZ60"/>
      <c r="CA60"/>
    </row>
    <row r="61" spans="1:79" ht="15.75">
      <c r="A61"/>
      <c r="B61" s="1"/>
      <c r="C61"/>
      <c r="D61"/>
      <c r="E61"/>
      <c r="F61"/>
      <c r="G61"/>
      <c r="H61"/>
      <c r="I61" s="1"/>
      <c r="J61" s="1"/>
      <c r="K61" s="1"/>
      <c r="L61" s="1"/>
      <c r="M61" s="1"/>
      <c r="N61" s="1"/>
      <c r="O61" s="1"/>
      <c r="P61" s="1"/>
      <c r="Q61" s="1"/>
      <c r="R61" s="1"/>
      <c r="S61" s="1"/>
      <c r="T61" s="1"/>
      <c r="U61" s="1"/>
      <c r="V61" s="1"/>
      <c r="W61" s="1"/>
      <c r="X61" s="1"/>
      <c r="Y61"/>
      <c r="Z61"/>
      <c r="AA61"/>
      <c r="AB61"/>
      <c r="AC61"/>
      <c r="AD61"/>
      <c r="AE61"/>
      <c r="AF61" t="s">
        <v>149</v>
      </c>
      <c r="AG61"/>
      <c r="AH61" s="99">
        <f t="shared" si="62"/>
        <v>0</v>
      </c>
      <c r="AI61" s="99">
        <f>AE56</f>
        <v>0</v>
      </c>
      <c r="AJ61" s="99">
        <f t="shared" si="63"/>
        <v>0</v>
      </c>
      <c r="AK61"/>
      <c r="AL61"/>
      <c r="AM61"/>
      <c r="AN61"/>
      <c r="AO61"/>
      <c r="AP61"/>
      <c r="AQ61"/>
      <c r="AR61"/>
      <c r="AS61"/>
      <c r="AT61"/>
      <c r="AU61" s="129"/>
      <c r="AV61"/>
      <c r="AW61"/>
      <c r="AX61"/>
      <c r="AY61"/>
      <c r="AZ61" s="129"/>
      <c r="BA61"/>
      <c r="BB61"/>
      <c r="BC61"/>
      <c r="BD61"/>
      <c r="BE61"/>
      <c r="BF61"/>
      <c r="BG61"/>
      <c r="BH61"/>
      <c r="BI61"/>
      <c r="BJ61"/>
      <c r="BK61"/>
      <c r="BL61"/>
      <c r="BM61" s="129"/>
      <c r="BN61"/>
      <c r="BO61"/>
      <c r="BP61"/>
      <c r="BQ61"/>
      <c r="BR61"/>
      <c r="BS61"/>
      <c r="BT61"/>
      <c r="BU61"/>
      <c r="BV61"/>
      <c r="BW61"/>
      <c r="BX61"/>
      <c r="BY61"/>
      <c r="BZ61"/>
      <c r="CA61"/>
    </row>
    <row r="62" spans="1:79" ht="15.75">
      <c r="A62"/>
      <c r="B62" s="1"/>
      <c r="C62"/>
      <c r="D62"/>
      <c r="E62"/>
      <c r="F62"/>
      <c r="G62"/>
      <c r="H62"/>
      <c r="I62" s="1"/>
      <c r="J62" s="1"/>
      <c r="K62" s="1"/>
      <c r="L62" s="1"/>
      <c r="M62" s="1"/>
      <c r="N62" s="1"/>
      <c r="O62" s="1"/>
      <c r="P62" s="1"/>
      <c r="Q62" s="1"/>
      <c r="R62" s="1"/>
      <c r="S62" s="1"/>
      <c r="T62" s="1"/>
      <c r="U62" s="1"/>
      <c r="V62" s="1"/>
      <c r="W62" s="1"/>
      <c r="X62" s="1"/>
      <c r="Y62"/>
      <c r="Z62"/>
      <c r="AA62"/>
      <c r="AB62"/>
      <c r="AC62"/>
      <c r="AD62"/>
      <c r="AE62"/>
      <c r="AF62" t="s">
        <v>151</v>
      </c>
      <c r="AG62" s="1"/>
      <c r="AH62" s="99">
        <f t="shared" si="62"/>
        <v>0</v>
      </c>
      <c r="AI62" s="99">
        <f>AF56</f>
        <v>0</v>
      </c>
      <c r="AJ62" s="99">
        <f t="shared" si="63"/>
        <v>0</v>
      </c>
      <c r="AK62" s="1"/>
      <c r="AL62" s="1"/>
      <c r="AM62" s="1"/>
      <c r="AN62" s="1"/>
      <c r="AO62" s="1"/>
      <c r="AP62" s="1"/>
      <c r="AQ62" s="1"/>
      <c r="AR62" s="1"/>
      <c r="AS62" s="1"/>
      <c r="AT62" s="1"/>
      <c r="AU62" s="145"/>
      <c r="AV62" s="1"/>
      <c r="AW62" s="1"/>
      <c r="AX62" s="1"/>
      <c r="AY62" s="1"/>
      <c r="AZ62" s="145"/>
      <c r="BA62" s="1"/>
      <c r="BB62" s="1"/>
      <c r="BC62" s="1"/>
      <c r="BD62" s="1"/>
      <c r="BE62" s="1"/>
      <c r="BF62" s="1"/>
      <c r="BG62" s="1"/>
      <c r="BH62" s="1"/>
      <c r="BI62" s="1"/>
      <c r="BJ62" s="1"/>
      <c r="BK62" s="1"/>
      <c r="BL62" s="1"/>
      <c r="BM62" s="145"/>
      <c r="BN62" s="1"/>
      <c r="BO62" s="1"/>
      <c r="BP62" s="1"/>
      <c r="BQ62" s="1"/>
      <c r="BR62"/>
      <c r="BS62"/>
      <c r="BT62"/>
      <c r="BU62"/>
      <c r="BV62"/>
      <c r="BW62"/>
      <c r="BX62"/>
      <c r="BY62"/>
      <c r="BZ62"/>
      <c r="CA62"/>
    </row>
    <row r="63" spans="1:79" ht="15.75">
      <c r="A63"/>
      <c r="B63" s="1"/>
      <c r="C63"/>
      <c r="D63"/>
      <c r="E63"/>
      <c r="F63"/>
      <c r="G63"/>
      <c r="H63"/>
      <c r="I63" s="1"/>
      <c r="J63" s="1"/>
      <c r="K63" s="1"/>
      <c r="L63" s="1"/>
      <c r="M63" s="1"/>
      <c r="N63" s="1"/>
      <c r="O63" s="1"/>
      <c r="P63" s="1"/>
      <c r="Q63" s="1"/>
      <c r="R63" s="1"/>
      <c r="S63" s="1"/>
      <c r="T63" s="1"/>
      <c r="U63" s="1"/>
      <c r="V63" s="1"/>
      <c r="W63" s="1"/>
      <c r="X63" s="1"/>
      <c r="Y63"/>
      <c r="Z63"/>
      <c r="AA63"/>
      <c r="AB63"/>
      <c r="AC63"/>
      <c r="AD63"/>
      <c r="AE63"/>
      <c r="AF63" t="s">
        <v>152</v>
      </c>
      <c r="AG63" s="1"/>
      <c r="AH63" s="99">
        <f t="shared" si="62"/>
        <v>0</v>
      </c>
      <c r="AI63" s="99">
        <f>AG56</f>
        <v>0</v>
      </c>
      <c r="AJ63" s="99">
        <f t="shared" si="63"/>
        <v>0</v>
      </c>
      <c r="AK63" s="1"/>
      <c r="AL63" s="1"/>
      <c r="AM63" s="1"/>
      <c r="AN63" s="1"/>
      <c r="AO63" s="1"/>
      <c r="AP63" s="1"/>
      <c r="AQ63" s="1"/>
      <c r="AR63" s="1"/>
      <c r="AS63" s="1"/>
      <c r="AT63" s="1"/>
      <c r="AU63" s="145"/>
      <c r="AV63" s="1"/>
      <c r="AW63" s="1"/>
      <c r="AX63" s="1"/>
      <c r="AY63" s="1"/>
      <c r="AZ63" s="145"/>
      <c r="BA63" s="1"/>
      <c r="BB63" s="1"/>
      <c r="BC63" s="1"/>
      <c r="BD63" s="1"/>
      <c r="BE63" s="1"/>
      <c r="BF63" s="1"/>
      <c r="BG63" s="1"/>
      <c r="BH63" s="1"/>
      <c r="BI63" s="1"/>
      <c r="BJ63" s="1"/>
      <c r="BK63" s="1"/>
      <c r="BL63" s="1"/>
      <c r="BM63" s="145"/>
      <c r="BN63" s="1"/>
      <c r="BO63" s="1"/>
      <c r="BP63" s="1"/>
      <c r="BQ63" s="1"/>
      <c r="BR63"/>
      <c r="BS63"/>
      <c r="BT63"/>
      <c r="BU63"/>
      <c r="BV63"/>
      <c r="BW63"/>
      <c r="BX63"/>
      <c r="BY63"/>
      <c r="BZ63"/>
      <c r="CA63"/>
    </row>
    <row r="64" spans="1:79" ht="15.75">
      <c r="A64"/>
      <c r="B64" s="1"/>
      <c r="C64"/>
      <c r="D64"/>
      <c r="E64"/>
      <c r="F64"/>
      <c r="G64"/>
      <c r="H64"/>
      <c r="I64" s="1"/>
      <c r="J64" s="1"/>
      <c r="K64" s="1"/>
      <c r="L64" s="1"/>
      <c r="M64" s="1"/>
      <c r="N64" s="1"/>
      <c r="O64" s="1"/>
      <c r="P64" s="1"/>
      <c r="Q64" s="1"/>
      <c r="R64" s="1"/>
      <c r="S64" s="1"/>
      <c r="T64" s="1"/>
      <c r="U64" s="1"/>
      <c r="V64" s="1"/>
      <c r="W64" s="1"/>
      <c r="X64" s="1"/>
      <c r="Y64"/>
      <c r="Z64"/>
      <c r="AA64"/>
      <c r="AB64"/>
      <c r="AC64"/>
      <c r="AD64"/>
      <c r="AE64"/>
      <c r="AF64" t="s">
        <v>76</v>
      </c>
      <c r="AG64" s="1"/>
      <c r="AH64" s="99">
        <f t="shared" si="62"/>
        <v>0</v>
      </c>
      <c r="AI64" s="99">
        <f>AH56+AL56</f>
        <v>0</v>
      </c>
      <c r="AJ64" s="99">
        <f t="shared" si="63"/>
        <v>0</v>
      </c>
      <c r="AK64" s="1"/>
      <c r="AL64" s="1"/>
      <c r="AM64" s="1"/>
      <c r="AN64" s="1"/>
      <c r="AO64" s="1"/>
      <c r="AP64" s="1"/>
      <c r="AQ64" s="1"/>
      <c r="AR64" s="1"/>
      <c r="AS64" s="1"/>
      <c r="AT64" s="1"/>
      <c r="AU64" s="145"/>
      <c r="AV64" s="1"/>
      <c r="AW64" s="1"/>
      <c r="AX64" s="1"/>
      <c r="AY64" s="1"/>
      <c r="AZ64" s="145"/>
      <c r="BA64" s="1"/>
      <c r="BB64" s="1"/>
      <c r="BC64" s="1"/>
      <c r="BD64" s="1"/>
      <c r="BE64" s="1"/>
      <c r="BF64" s="1"/>
      <c r="BG64" s="1"/>
      <c r="BH64" s="1"/>
      <c r="BI64" s="1"/>
      <c r="BJ64" s="1"/>
      <c r="BK64" s="1"/>
      <c r="BL64" s="1"/>
      <c r="BM64" s="145"/>
      <c r="BN64" s="1"/>
      <c r="BO64" s="1"/>
      <c r="BP64" s="1"/>
      <c r="BQ64" s="1"/>
      <c r="BR64"/>
      <c r="BS64"/>
      <c r="BT64"/>
      <c r="BU64"/>
      <c r="BV64"/>
      <c r="BW64"/>
      <c r="BX64"/>
      <c r="BY64"/>
      <c r="BZ64"/>
      <c r="CA64"/>
    </row>
    <row r="65" spans="1:79" ht="15.75">
      <c r="A65"/>
      <c r="B65" s="1"/>
      <c r="C65"/>
      <c r="D65"/>
      <c r="E65"/>
      <c r="F65"/>
      <c r="G65"/>
      <c r="H65"/>
      <c r="I65" s="1"/>
      <c r="J65" s="1"/>
      <c r="K65" s="1"/>
      <c r="L65" s="1"/>
      <c r="M65" s="1"/>
      <c r="N65" s="1"/>
      <c r="O65" s="1"/>
      <c r="P65" s="1"/>
      <c r="Q65" s="1"/>
      <c r="R65" s="1"/>
      <c r="S65" s="1"/>
      <c r="T65" s="1"/>
      <c r="U65" s="1"/>
      <c r="V65" s="1"/>
      <c r="W65" s="1"/>
      <c r="X65" s="1"/>
      <c r="Y65"/>
      <c r="Z65"/>
      <c r="AA65"/>
      <c r="AB65"/>
      <c r="AC65"/>
      <c r="AD65"/>
      <c r="AE65"/>
      <c r="AF65" t="s">
        <v>75</v>
      </c>
      <c r="AG65" s="1"/>
      <c r="AH65" s="99">
        <f t="shared" si="62"/>
        <v>0</v>
      </c>
      <c r="AI65" s="99">
        <f>AI56</f>
        <v>0</v>
      </c>
      <c r="AJ65" s="99">
        <f t="shared" si="63"/>
        <v>0</v>
      </c>
      <c r="AK65" s="1"/>
      <c r="AL65" s="1"/>
      <c r="AM65" s="1"/>
      <c r="AN65" s="1"/>
      <c r="AO65" s="1"/>
      <c r="AP65" s="1"/>
      <c r="AQ65" s="1"/>
      <c r="AR65" s="1"/>
      <c r="AS65" s="1"/>
      <c r="AT65" s="1"/>
      <c r="AU65" s="145"/>
      <c r="AV65" s="1"/>
      <c r="AW65" s="1"/>
      <c r="AX65" s="1"/>
      <c r="AY65" s="1"/>
      <c r="AZ65" s="145"/>
      <c r="BA65" s="1"/>
      <c r="BB65" s="1"/>
      <c r="BC65" s="1"/>
      <c r="BD65" s="1"/>
      <c r="BE65" s="1"/>
      <c r="BF65" s="1"/>
      <c r="BG65" s="1"/>
      <c r="BH65" s="1"/>
      <c r="BI65" s="1"/>
      <c r="BJ65" s="1"/>
      <c r="BK65" s="1"/>
      <c r="BL65" s="1"/>
      <c r="BM65" s="145"/>
      <c r="BN65" s="1"/>
      <c r="BO65" s="1"/>
      <c r="BP65" s="1"/>
      <c r="BQ65" s="1"/>
      <c r="BR65"/>
      <c r="BS65"/>
      <c r="BT65"/>
      <c r="BU65"/>
      <c r="BV65"/>
      <c r="BW65"/>
      <c r="BX65"/>
      <c r="BY65"/>
      <c r="BZ65"/>
      <c r="CA65"/>
    </row>
    <row r="66" spans="1:79" ht="15.75">
      <c r="A66"/>
      <c r="B66" s="1"/>
      <c r="C66"/>
      <c r="D66"/>
      <c r="E66"/>
      <c r="F66"/>
      <c r="G66"/>
      <c r="H66"/>
      <c r="I66" s="1"/>
      <c r="J66" s="1"/>
      <c r="K66" s="1"/>
      <c r="L66" s="1"/>
      <c r="M66" s="1"/>
      <c r="N66" s="1"/>
      <c r="O66" s="1"/>
      <c r="P66" s="1"/>
      <c r="Q66" s="1"/>
      <c r="R66" s="1"/>
      <c r="S66" s="1"/>
      <c r="T66" s="1"/>
      <c r="U66" s="1"/>
      <c r="V66" s="1"/>
      <c r="W66" s="1"/>
      <c r="X66" s="1"/>
      <c r="Y66"/>
      <c r="Z66"/>
      <c r="AA66"/>
      <c r="AB66"/>
      <c r="AC66"/>
      <c r="AD66"/>
      <c r="AE66"/>
      <c r="AF66" t="s">
        <v>153</v>
      </c>
      <c r="AG66" s="107"/>
      <c r="AH66" s="175">
        <f t="shared" si="62"/>
        <v>0</v>
      </c>
      <c r="AI66" s="99">
        <f>AJ56</f>
        <v>0</v>
      </c>
      <c r="AJ66" s="99">
        <f t="shared" si="63"/>
        <v>0</v>
      </c>
      <c r="AK66" s="107"/>
      <c r="AL66" s="107"/>
      <c r="AM66" s="107"/>
      <c r="AN66" s="107"/>
      <c r="AO66" s="107"/>
      <c r="AP66" s="107"/>
      <c r="AQ66" s="107"/>
      <c r="AR66" s="107"/>
      <c r="AS66" s="107"/>
      <c r="AT66" s="107"/>
      <c r="AU66" s="169"/>
      <c r="AV66" s="107"/>
      <c r="AW66" s="107"/>
      <c r="AX66" s="107"/>
      <c r="AY66" s="107"/>
      <c r="AZ66" s="169"/>
      <c r="BA66" s="107"/>
      <c r="BB66" s="107"/>
      <c r="BC66" s="107"/>
      <c r="BD66" s="107"/>
      <c r="BE66" s="107"/>
      <c r="BF66" s="107"/>
      <c r="BG66" s="107"/>
      <c r="BH66" s="107"/>
      <c r="BI66" s="107"/>
      <c r="BJ66" s="107"/>
      <c r="BK66" s="107"/>
      <c r="BL66" s="107"/>
      <c r="BM66" s="107"/>
      <c r="BN66" s="107"/>
      <c r="BO66" s="107"/>
      <c r="BP66" s="107"/>
      <c r="BQ66" s="107"/>
      <c r="BR66"/>
      <c r="BS66"/>
      <c r="BT66"/>
      <c r="BU66"/>
      <c r="BV66"/>
      <c r="BW66"/>
      <c r="BX66"/>
      <c r="BY66"/>
      <c r="BZ66"/>
      <c r="CA66"/>
    </row>
    <row r="67" spans="1:79" ht="15.75">
      <c r="A67"/>
      <c r="B67" s="1"/>
      <c r="C67"/>
      <c r="D67"/>
      <c r="E67"/>
      <c r="F67"/>
      <c r="G67"/>
      <c r="H67"/>
      <c r="I67" s="1"/>
      <c r="J67" s="1"/>
      <c r="K67" s="1"/>
      <c r="L67" s="1"/>
      <c r="M67" s="1"/>
      <c r="N67" s="1"/>
      <c r="O67" s="1"/>
      <c r="P67" s="1"/>
      <c r="Q67" s="1"/>
      <c r="R67" s="1"/>
      <c r="S67" s="1"/>
      <c r="T67" s="1"/>
      <c r="U67" s="1"/>
      <c r="V67" s="1"/>
      <c r="W67" s="1"/>
      <c r="X67" s="1"/>
      <c r="Y67"/>
      <c r="Z67"/>
      <c r="AA67"/>
      <c r="AB67"/>
      <c r="AC67"/>
      <c r="AD67"/>
      <c r="AE67"/>
      <c r="AF67" t="s">
        <v>139</v>
      </c>
      <c r="AG67" s="158"/>
      <c r="AH67" s="104">
        <f t="shared" si="62"/>
        <v>0</v>
      </c>
      <c r="AI67" s="104">
        <f>AK56</f>
        <v>0</v>
      </c>
      <c r="AJ67" s="104">
        <f t="shared" si="63"/>
        <v>0</v>
      </c>
      <c r="AK67" s="158"/>
      <c r="AL67" s="158"/>
      <c r="AM67" s="158"/>
      <c r="AN67" s="158"/>
      <c r="AO67" s="158"/>
      <c r="AP67" s="158"/>
      <c r="AQ67" s="158"/>
      <c r="AR67" s="158"/>
      <c r="AS67" s="158"/>
      <c r="AT67" s="158"/>
      <c r="AU67" s="158"/>
      <c r="AV67" s="158"/>
      <c r="AW67" s="158"/>
      <c r="AX67" s="158"/>
      <c r="AY67" s="158"/>
      <c r="AZ67" s="158"/>
      <c r="BA67" s="158"/>
      <c r="BB67" s="158"/>
      <c r="BC67" s="158"/>
      <c r="BD67" s="158"/>
      <c r="BE67" s="158"/>
      <c r="BF67" s="158"/>
      <c r="BG67" s="158"/>
      <c r="BH67" s="158"/>
      <c r="BI67" s="158"/>
      <c r="BJ67" s="158"/>
      <c r="BK67" s="158"/>
      <c r="BL67" s="158"/>
      <c r="BM67" s="158"/>
      <c r="BN67" s="158"/>
      <c r="BO67" s="158"/>
      <c r="BP67" s="158"/>
      <c r="BQ67" s="158"/>
      <c r="BR67"/>
      <c r="BS67"/>
      <c r="BT67"/>
      <c r="BU67"/>
      <c r="BV67"/>
      <c r="BW67"/>
      <c r="BX67"/>
      <c r="BY67"/>
      <c r="BZ67"/>
      <c r="CA67"/>
    </row>
    <row r="68" spans="1:79" ht="15.75">
      <c r="A68"/>
      <c r="B68" s="1"/>
      <c r="C68"/>
      <c r="D68"/>
      <c r="E68"/>
      <c r="F68"/>
      <c r="G68"/>
      <c r="H68"/>
      <c r="I68" s="1"/>
      <c r="J68" s="1"/>
      <c r="K68" s="1"/>
      <c r="L68" s="1"/>
      <c r="M68" s="1"/>
      <c r="N68" s="1"/>
      <c r="O68" s="1"/>
      <c r="P68" s="1"/>
      <c r="Q68" s="1"/>
      <c r="R68" s="1"/>
      <c r="S68" s="1"/>
      <c r="T68" s="1"/>
      <c r="U68" s="1"/>
      <c r="V68" s="1"/>
      <c r="W68" s="1"/>
      <c r="X68" s="1"/>
      <c r="Y68"/>
      <c r="Z68"/>
      <c r="AA68"/>
      <c r="AB68"/>
      <c r="AC68"/>
      <c r="AD68"/>
      <c r="AE68"/>
      <c r="AF68" s="159"/>
      <c r="AG68" s="159"/>
      <c r="AH68" s="150">
        <f>SUM(AH59:AH67)</f>
        <v>0</v>
      </c>
      <c r="AI68" s="150">
        <f>SUM(AI59:AI67)</f>
        <v>0</v>
      </c>
      <c r="AJ68" s="150">
        <f>SUM(AJ59:AJ67)</f>
        <v>0</v>
      </c>
      <c r="AK68" s="159"/>
      <c r="AL68" s="159"/>
      <c r="AM68" s="159"/>
      <c r="AN68" s="159"/>
      <c r="AO68" s="159"/>
      <c r="AP68" s="159"/>
      <c r="AQ68" s="159"/>
      <c r="AR68" s="159"/>
      <c r="AS68" s="159"/>
      <c r="AT68" s="159"/>
      <c r="AU68" s="209"/>
      <c r="AV68" s="159"/>
      <c r="AW68" s="159"/>
      <c r="AX68" s="159"/>
      <c r="AY68" s="159"/>
      <c r="AZ68" s="209"/>
      <c r="BA68" s="159"/>
      <c r="BB68" s="159"/>
      <c r="BC68" s="159"/>
      <c r="BD68" s="159"/>
      <c r="BE68" s="159"/>
      <c r="BF68" s="159"/>
      <c r="BG68" s="159"/>
      <c r="BH68" s="159"/>
      <c r="BI68" s="159"/>
      <c r="BJ68" s="159"/>
      <c r="BK68" s="159"/>
      <c r="BL68" s="159"/>
      <c r="BM68" s="159"/>
      <c r="BN68" s="159"/>
      <c r="BO68" s="159"/>
      <c r="BP68" s="159"/>
      <c r="BQ68" s="159"/>
      <c r="BR68"/>
      <c r="BS68"/>
      <c r="BT68"/>
      <c r="BU68"/>
      <c r="BV68"/>
      <c r="BW68"/>
      <c r="BX68"/>
      <c r="BY68"/>
      <c r="BZ68"/>
      <c r="CA68"/>
    </row>
    <row r="69" spans="1:79" ht="15.75">
      <c r="A69"/>
      <c r="B69" s="1"/>
      <c r="C69"/>
      <c r="D69"/>
      <c r="E69"/>
      <c r="F69"/>
      <c r="G69"/>
      <c r="H69"/>
      <c r="I69" s="1"/>
      <c r="J69" s="1"/>
      <c r="K69" s="1"/>
      <c r="L69" s="1"/>
      <c r="M69" s="1"/>
      <c r="N69" s="1"/>
      <c r="O69" s="1"/>
      <c r="P69" s="1"/>
      <c r="Q69" s="1"/>
      <c r="R69" s="1"/>
      <c r="S69" s="1"/>
      <c r="T69" s="1"/>
      <c r="U69" s="1"/>
      <c r="V69" s="1"/>
      <c r="W69" s="1"/>
      <c r="X69" s="1"/>
      <c r="Y69"/>
      <c r="Z69"/>
      <c r="AA69"/>
      <c r="AB69"/>
      <c r="AC69"/>
      <c r="AD69"/>
      <c r="AE69"/>
      <c r="AO69" s="100"/>
      <c r="AP69" s="100"/>
      <c r="AQ69" s="100"/>
      <c r="AR69" s="100"/>
      <c r="AS69" s="100"/>
      <c r="AT69" s="100"/>
      <c r="AU69" s="209"/>
      <c r="AV69" s="100"/>
      <c r="AW69" s="100"/>
      <c r="AX69" s="100"/>
      <c r="AY69" s="100"/>
      <c r="AZ69" s="209"/>
      <c r="BA69" s="100"/>
      <c r="BB69" s="100"/>
      <c r="BC69" s="100"/>
      <c r="BD69" s="100"/>
      <c r="BE69" s="100"/>
      <c r="BF69" s="100"/>
      <c r="BG69" s="100"/>
      <c r="BH69" s="100"/>
      <c r="BI69" s="100"/>
      <c r="BJ69" s="100"/>
      <c r="BK69" s="100"/>
      <c r="BL69" s="100"/>
      <c r="BM69" s="100"/>
      <c r="BN69" s="100"/>
      <c r="BO69" s="100"/>
      <c r="BP69" s="100"/>
      <c r="BQ69" s="100"/>
      <c r="BR69"/>
      <c r="BS69"/>
      <c r="BT69"/>
      <c r="BU69"/>
      <c r="BV69"/>
      <c r="BW69"/>
      <c r="BX69"/>
      <c r="BY69"/>
      <c r="BZ69"/>
      <c r="CA69"/>
    </row>
    <row r="70" spans="1:79" ht="15.75">
      <c r="A70"/>
      <c r="B70" s="1"/>
      <c r="C70"/>
      <c r="D70"/>
      <c r="E70"/>
      <c r="F70"/>
      <c r="G70"/>
      <c r="H70"/>
      <c r="I70" s="1"/>
      <c r="J70" s="1"/>
      <c r="K70" s="1"/>
      <c r="L70" s="1"/>
      <c r="M70" s="1"/>
      <c r="N70" s="1"/>
      <c r="O70" s="1"/>
      <c r="P70" s="1"/>
      <c r="Q70" s="1"/>
      <c r="R70" s="1"/>
      <c r="S70" s="1"/>
      <c r="T70" s="1"/>
      <c r="U70" s="1"/>
      <c r="V70" s="1"/>
      <c r="W70" s="1"/>
      <c r="X70" s="1"/>
      <c r="Y70"/>
      <c r="Z70"/>
      <c r="AA70"/>
      <c r="AB70"/>
      <c r="AC70"/>
      <c r="AD70"/>
      <c r="AE70"/>
      <c r="AF70" s="100"/>
      <c r="AG70" s="100"/>
      <c r="AH70" s="100"/>
      <c r="AI70" s="100"/>
      <c r="AJ70" s="100"/>
      <c r="AK70" s="100"/>
      <c r="AL70" s="100"/>
      <c r="AM70" s="100"/>
      <c r="AN70" s="100"/>
      <c r="AO70" s="100"/>
      <c r="AP70" s="100"/>
      <c r="AQ70" s="100"/>
      <c r="AR70" s="100"/>
      <c r="AS70" s="100"/>
      <c r="AT70" s="100"/>
      <c r="AU70" s="209"/>
      <c r="AV70" s="100"/>
      <c r="AW70" s="100"/>
      <c r="AX70" s="100"/>
      <c r="AY70" s="100"/>
      <c r="AZ70" s="209"/>
      <c r="BA70" s="100"/>
      <c r="BB70" s="100"/>
      <c r="BC70" s="100"/>
      <c r="BD70" s="100"/>
      <c r="BE70" s="100"/>
      <c r="BF70" s="100"/>
      <c r="BG70" s="100"/>
      <c r="BH70" s="100"/>
      <c r="BI70" s="100"/>
      <c r="BJ70" s="100"/>
      <c r="BK70" s="100"/>
      <c r="BL70" s="100"/>
      <c r="BM70" s="100"/>
      <c r="BN70" s="100"/>
      <c r="BO70" s="100"/>
      <c r="BP70" s="100"/>
      <c r="BQ70" s="100"/>
      <c r="BR70"/>
      <c r="BS70"/>
      <c r="BT70"/>
      <c r="BU70"/>
      <c r="BV70"/>
      <c r="BW70"/>
      <c r="BX70"/>
      <c r="BY70"/>
      <c r="BZ70"/>
      <c r="CA70"/>
    </row>
    <row r="71" spans="1:79" ht="15.75">
      <c r="A71"/>
      <c r="B71" s="1"/>
      <c r="C71"/>
      <c r="D71"/>
      <c r="E71"/>
      <c r="F71"/>
      <c r="G71"/>
      <c r="H71"/>
      <c r="I71" s="1"/>
      <c r="J71" s="1"/>
      <c r="K71" s="1"/>
      <c r="L71" s="1"/>
      <c r="M71" s="1"/>
      <c r="N71" s="1"/>
      <c r="O71" s="1"/>
      <c r="P71" s="1"/>
      <c r="Q71" s="1"/>
      <c r="R71" s="1"/>
      <c r="S71" s="1"/>
      <c r="T71" s="1"/>
      <c r="U71" s="1"/>
      <c r="V71" s="1"/>
      <c r="W71" s="1"/>
      <c r="X71" s="1"/>
      <c r="Y71"/>
      <c r="Z71"/>
      <c r="AA71"/>
      <c r="AB71"/>
      <c r="AC71"/>
      <c r="AD71"/>
      <c r="AE71"/>
      <c r="AF71" s="100"/>
      <c r="AG71" s="100"/>
      <c r="AH71" s="100"/>
      <c r="AI71" s="100"/>
      <c r="AJ71" s="100"/>
      <c r="AK71" s="100"/>
      <c r="AL71" s="100"/>
      <c r="AM71" s="100"/>
      <c r="AN71" s="100"/>
      <c r="AO71" s="100"/>
      <c r="AP71" s="100"/>
      <c r="AQ71" s="100"/>
      <c r="AR71" s="100"/>
      <c r="AS71" s="100"/>
      <c r="AT71" s="100"/>
      <c r="AU71" s="209"/>
      <c r="AV71" s="100"/>
      <c r="AW71" s="100"/>
      <c r="AX71" s="100"/>
      <c r="AY71" s="100"/>
      <c r="AZ71" s="209"/>
      <c r="BA71" s="100"/>
      <c r="BB71" s="100"/>
      <c r="BC71" s="100"/>
      <c r="BD71" s="100"/>
      <c r="BE71" s="100"/>
      <c r="BF71" s="100"/>
      <c r="BG71" s="100"/>
      <c r="BH71" s="100"/>
      <c r="BI71" s="100"/>
      <c r="BJ71" s="100"/>
      <c r="BK71" s="100"/>
      <c r="BL71" s="100"/>
      <c r="BM71" s="100"/>
      <c r="BN71" s="100"/>
      <c r="BO71" s="100"/>
      <c r="BP71" s="100"/>
      <c r="BQ71" s="100"/>
      <c r="BR71"/>
      <c r="BS71"/>
      <c r="BT71"/>
      <c r="BU71"/>
      <c r="BV71"/>
      <c r="BW71"/>
      <c r="BX71"/>
      <c r="BY71"/>
      <c r="BZ71"/>
      <c r="CA71"/>
    </row>
    <row r="72" spans="1:79" ht="15.75">
      <c r="A72"/>
      <c r="B72" s="1"/>
      <c r="C72"/>
      <c r="D72"/>
      <c r="E72"/>
      <c r="F72"/>
      <c r="G72"/>
      <c r="H72"/>
      <c r="I72" s="1"/>
      <c r="J72" s="1"/>
      <c r="K72" s="1"/>
      <c r="L72" s="1"/>
      <c r="M72" s="1"/>
      <c r="N72" s="1"/>
      <c r="O72" s="1"/>
      <c r="P72" s="1"/>
      <c r="Q72" s="1"/>
      <c r="R72" s="1"/>
      <c r="S72" s="1"/>
      <c r="T72" s="1"/>
      <c r="U72" s="1"/>
      <c r="V72" s="1"/>
      <c r="W72" s="1"/>
      <c r="X72" s="1"/>
      <c r="Y72"/>
      <c r="Z72"/>
      <c r="AA72"/>
      <c r="AB72"/>
      <c r="AC72"/>
      <c r="AD72"/>
      <c r="AE72"/>
      <c r="AF72" s="100"/>
      <c r="AG72" s="100"/>
      <c r="AH72" s="100"/>
      <c r="AI72" s="100"/>
      <c r="AJ72" s="100"/>
      <c r="AK72" s="100"/>
      <c r="AL72" s="100"/>
      <c r="AM72" s="100"/>
      <c r="AN72" s="100"/>
      <c r="AO72" s="100"/>
      <c r="AP72" s="100"/>
      <c r="AQ72" s="100"/>
      <c r="AR72" s="100"/>
      <c r="AS72" s="100"/>
      <c r="AT72" s="100"/>
      <c r="AU72" s="209"/>
      <c r="AV72" s="100"/>
      <c r="AW72" s="100"/>
      <c r="AX72" s="100"/>
      <c r="AY72" s="100"/>
      <c r="AZ72" s="209"/>
      <c r="BA72" s="100"/>
      <c r="BB72" s="100"/>
      <c r="BC72" s="100"/>
      <c r="BD72" s="100"/>
      <c r="BE72" s="100"/>
      <c r="BF72" s="100"/>
      <c r="BG72" s="100"/>
      <c r="BH72" s="100"/>
      <c r="BI72" s="100"/>
      <c r="BJ72" s="100"/>
      <c r="BK72" s="100"/>
      <c r="BL72" s="100"/>
      <c r="BM72" s="100"/>
      <c r="BN72" s="100"/>
      <c r="BO72" s="100"/>
      <c r="BP72" s="100"/>
      <c r="BQ72" s="100"/>
      <c r="BR72"/>
      <c r="BS72"/>
      <c r="BT72"/>
      <c r="BU72"/>
      <c r="BV72"/>
      <c r="BW72"/>
      <c r="BX72"/>
      <c r="BY72"/>
      <c r="BZ72"/>
      <c r="CA72"/>
    </row>
    <row r="73" spans="1:79" ht="15.75">
      <c r="A73"/>
      <c r="B73" s="1"/>
      <c r="C73"/>
      <c r="D73"/>
      <c r="E73"/>
      <c r="F73"/>
      <c r="G73"/>
      <c r="H73"/>
      <c r="I73" s="1"/>
      <c r="J73" s="1"/>
      <c r="K73" s="1"/>
      <c r="L73" s="1"/>
      <c r="M73" s="1"/>
      <c r="N73" s="1"/>
      <c r="O73" s="1"/>
      <c r="P73" s="1"/>
      <c r="Q73" s="1"/>
      <c r="R73" s="1"/>
      <c r="S73" s="1"/>
      <c r="T73" s="1"/>
      <c r="U73" s="1"/>
      <c r="V73" s="1"/>
      <c r="W73" s="1"/>
      <c r="X73" s="1"/>
      <c r="Y73"/>
      <c r="Z73"/>
      <c r="AA73"/>
      <c r="AB73"/>
      <c r="AC73"/>
      <c r="AD73"/>
      <c r="AE73"/>
      <c r="AF73" s="100"/>
      <c r="AG73" s="100"/>
      <c r="AH73" s="100"/>
      <c r="AI73" s="100"/>
      <c r="AJ73" s="100"/>
      <c r="AK73" s="100"/>
      <c r="AL73" s="100"/>
      <c r="AM73" s="100"/>
      <c r="AN73" s="100"/>
      <c r="AO73" s="100"/>
      <c r="AP73" s="100"/>
      <c r="AQ73" s="100"/>
      <c r="AR73" s="100"/>
      <c r="AS73" s="100"/>
      <c r="AT73" s="100"/>
      <c r="AU73" s="209"/>
      <c r="AV73" s="100"/>
      <c r="AW73" s="100"/>
      <c r="AX73" s="100"/>
      <c r="AY73" s="100"/>
      <c r="AZ73" s="209"/>
      <c r="BA73" s="100"/>
      <c r="BB73" s="100"/>
      <c r="BC73" s="100"/>
      <c r="BD73" s="100"/>
      <c r="BE73" s="100"/>
      <c r="BF73" s="100"/>
      <c r="BG73" s="100"/>
      <c r="BH73" s="100"/>
      <c r="BI73" s="100"/>
      <c r="BJ73" s="100"/>
      <c r="BK73" s="100"/>
      <c r="BL73" s="100"/>
      <c r="BM73" s="100"/>
      <c r="BN73" s="100"/>
      <c r="BO73" s="100"/>
      <c r="BP73" s="100"/>
      <c r="BQ73" s="100"/>
      <c r="BR73"/>
      <c r="BS73"/>
      <c r="BT73"/>
      <c r="BU73"/>
      <c r="BV73"/>
      <c r="BW73"/>
      <c r="BX73"/>
      <c r="BY73"/>
      <c r="BZ73"/>
      <c r="CA73"/>
    </row>
    <row r="74" spans="1:79" ht="15.75">
      <c r="A74"/>
      <c r="B74" s="1"/>
      <c r="C74"/>
      <c r="D74"/>
      <c r="E74"/>
      <c r="F74"/>
      <c r="G74"/>
      <c r="H74"/>
      <c r="I74" s="1"/>
      <c r="J74" s="1"/>
      <c r="K74" s="1"/>
      <c r="L74" s="1"/>
      <c r="M74" s="1"/>
      <c r="N74" s="1"/>
      <c r="O74" s="1"/>
      <c r="P74" s="1"/>
      <c r="Q74" s="1"/>
      <c r="R74" s="1"/>
      <c r="S74" s="1"/>
      <c r="T74" s="1"/>
      <c r="U74" s="1"/>
      <c r="V74" s="1"/>
      <c r="W74" s="1"/>
      <c r="X74" s="1"/>
      <c r="Y74"/>
      <c r="Z74"/>
      <c r="AA74"/>
      <c r="AB74"/>
      <c r="AC74"/>
      <c r="AD74"/>
      <c r="AE74"/>
      <c r="AF74" s="100"/>
      <c r="AG74" s="100"/>
      <c r="AH74" s="100"/>
      <c r="AI74" s="100"/>
      <c r="AJ74" s="100"/>
      <c r="AK74" s="100"/>
      <c r="AL74" s="100"/>
      <c r="AM74" s="100"/>
      <c r="AN74" s="100"/>
      <c r="AO74" s="100"/>
      <c r="AP74" s="100"/>
      <c r="AQ74" s="100"/>
      <c r="AR74" s="100"/>
      <c r="AS74" s="100"/>
      <c r="AT74" s="100"/>
      <c r="AU74" s="209"/>
      <c r="AV74" s="100"/>
      <c r="AW74" s="100"/>
      <c r="AX74" s="100"/>
      <c r="AY74" s="100"/>
      <c r="AZ74" s="209"/>
      <c r="BA74" s="100"/>
      <c r="BB74" s="100"/>
      <c r="BC74" s="100"/>
      <c r="BD74" s="100"/>
      <c r="BE74" s="100"/>
      <c r="BF74" s="100"/>
      <c r="BG74" s="100"/>
      <c r="BH74" s="100"/>
      <c r="BI74" s="100"/>
      <c r="BJ74" s="100"/>
      <c r="BK74" s="100"/>
      <c r="BL74" s="100"/>
      <c r="BM74" s="100"/>
      <c r="BN74" s="100"/>
      <c r="BO74" s="100"/>
      <c r="BP74" s="100"/>
      <c r="BQ74" s="100"/>
      <c r="BR74"/>
      <c r="BS74"/>
      <c r="BT74"/>
      <c r="BU74"/>
      <c r="BV74"/>
      <c r="BW74"/>
      <c r="BX74"/>
      <c r="BY74"/>
      <c r="BZ74"/>
      <c r="CA74"/>
    </row>
    <row r="75" spans="1:79" ht="15.75">
      <c r="A75"/>
      <c r="B75" s="1"/>
      <c r="C75"/>
      <c r="D75"/>
      <c r="E75"/>
      <c r="F75"/>
      <c r="G75"/>
      <c r="H75"/>
      <c r="I75" s="1"/>
      <c r="J75" s="1"/>
      <c r="K75" s="1"/>
      <c r="L75" s="1"/>
      <c r="M75" s="1"/>
      <c r="N75" s="1"/>
      <c r="O75" s="1"/>
      <c r="P75" s="1"/>
      <c r="Q75" s="1"/>
      <c r="R75" s="1"/>
      <c r="S75" s="1"/>
      <c r="T75" s="1"/>
      <c r="U75" s="1"/>
      <c r="V75" s="1"/>
      <c r="W75" s="1"/>
      <c r="X75" s="1"/>
      <c r="Y75"/>
      <c r="Z75"/>
      <c r="AA75"/>
      <c r="AB75"/>
      <c r="AC75"/>
      <c r="AD75"/>
      <c r="AE75"/>
      <c r="AF75" s="100"/>
      <c r="AG75" s="100"/>
      <c r="AH75" s="100"/>
      <c r="AI75" s="100"/>
      <c r="AJ75" s="100"/>
      <c r="AK75" s="100"/>
      <c r="AL75" s="100"/>
      <c r="AM75" s="100"/>
      <c r="AN75" s="100"/>
      <c r="AO75" s="100"/>
      <c r="AP75" s="100"/>
      <c r="AQ75" s="100"/>
      <c r="AR75" s="100"/>
      <c r="AS75" s="100"/>
      <c r="AT75" s="100"/>
      <c r="AU75" s="209"/>
      <c r="AV75" s="100"/>
      <c r="AW75" s="100"/>
      <c r="AX75" s="100"/>
      <c r="AY75" s="100"/>
      <c r="AZ75" s="209"/>
      <c r="BA75" s="100"/>
      <c r="BB75" s="100"/>
      <c r="BC75" s="100"/>
      <c r="BD75" s="100"/>
      <c r="BE75" s="100"/>
      <c r="BF75" s="100"/>
      <c r="BG75" s="100"/>
      <c r="BH75" s="100"/>
      <c r="BI75" s="100"/>
      <c r="BJ75" s="100"/>
      <c r="BK75" s="100"/>
      <c r="BL75" s="100"/>
      <c r="BM75" s="100"/>
      <c r="BN75" s="100"/>
      <c r="BO75" s="100"/>
      <c r="BP75" s="100"/>
      <c r="BQ75" s="100"/>
      <c r="BR75"/>
      <c r="BS75"/>
      <c r="BT75"/>
      <c r="BU75"/>
      <c r="BV75"/>
      <c r="BW75"/>
      <c r="BX75"/>
      <c r="BY75"/>
      <c r="BZ75"/>
      <c r="CA75"/>
    </row>
    <row r="76" spans="1:79" ht="15.75">
      <c r="A76"/>
      <c r="B76" s="1"/>
      <c r="C76"/>
      <c r="D76"/>
      <c r="E76"/>
      <c r="F76"/>
      <c r="G76"/>
      <c r="H76"/>
      <c r="I76" s="1"/>
      <c r="J76" s="1"/>
      <c r="K76" s="1"/>
      <c r="L76" s="1"/>
      <c r="M76" s="1"/>
      <c r="N76" s="1"/>
      <c r="O76" s="1"/>
      <c r="P76" s="1"/>
      <c r="Q76" s="1"/>
      <c r="R76" s="1"/>
      <c r="S76" s="1"/>
      <c r="T76" s="1"/>
      <c r="U76" s="1"/>
      <c r="V76" s="1"/>
      <c r="W76" s="1"/>
      <c r="X76" s="1"/>
      <c r="Y76"/>
      <c r="Z76"/>
      <c r="AA76"/>
      <c r="AB76"/>
      <c r="AC76"/>
      <c r="AD76"/>
      <c r="AE76"/>
      <c r="AF76" s="100"/>
      <c r="AG76" s="100"/>
      <c r="AH76" s="100"/>
      <c r="AI76" s="100"/>
      <c r="AJ76" s="100"/>
      <c r="AK76" s="100"/>
      <c r="AL76" s="100"/>
      <c r="AM76" s="100"/>
      <c r="AN76" s="100"/>
      <c r="AO76" s="100"/>
      <c r="AP76" s="100"/>
      <c r="AQ76" s="100"/>
      <c r="AR76" s="100"/>
      <c r="AS76" s="100"/>
      <c r="AT76" s="100"/>
      <c r="AU76" s="209"/>
      <c r="AV76" s="100"/>
      <c r="AW76" s="100"/>
      <c r="AX76" s="100"/>
      <c r="AY76" s="100"/>
      <c r="AZ76" s="209"/>
      <c r="BA76" s="100"/>
      <c r="BB76" s="100"/>
      <c r="BC76" s="100"/>
      <c r="BD76" s="100"/>
      <c r="BE76" s="100"/>
      <c r="BF76" s="100"/>
      <c r="BG76" s="100"/>
      <c r="BH76" s="100"/>
      <c r="BI76" s="100"/>
      <c r="BJ76" s="100"/>
      <c r="BK76" s="100"/>
      <c r="BL76" s="100"/>
      <c r="BM76" s="100"/>
      <c r="BN76" s="100"/>
      <c r="BO76" s="100"/>
      <c r="BP76" s="100"/>
      <c r="BQ76" s="100"/>
      <c r="BR76"/>
      <c r="BS76"/>
      <c r="BT76"/>
      <c r="BU76"/>
      <c r="BV76"/>
      <c r="BW76"/>
      <c r="BX76"/>
      <c r="BY76"/>
      <c r="BZ76"/>
      <c r="CA76"/>
    </row>
    <row r="77" spans="1:79" ht="23.25">
      <c r="A77"/>
      <c r="B77" s="361"/>
      <c r="C77"/>
      <c r="D77"/>
      <c r="E77"/>
      <c r="F77"/>
      <c r="G77"/>
      <c r="H77"/>
      <c r="I77" s="1"/>
      <c r="J77" s="1"/>
      <c r="K77" s="1"/>
      <c r="L77" s="1"/>
      <c r="M77" s="1"/>
      <c r="N77" s="1"/>
      <c r="O77" s="1"/>
      <c r="P77" s="1"/>
      <c r="Q77" s="1"/>
      <c r="R77" s="1"/>
      <c r="S77" s="1"/>
      <c r="T77" s="1"/>
      <c r="U77" s="1"/>
      <c r="V77" s="1"/>
      <c r="W77" s="1"/>
      <c r="X77" s="1"/>
      <c r="Y77"/>
      <c r="Z77"/>
      <c r="AA77"/>
      <c r="AB77"/>
      <c r="AC77"/>
      <c r="AD77"/>
      <c r="AE77"/>
      <c r="AF77" s="100"/>
      <c r="AG77" s="100"/>
      <c r="AH77" s="100"/>
      <c r="AI77" s="100"/>
      <c r="AJ77" s="100"/>
      <c r="AK77" s="100"/>
      <c r="AL77" s="100"/>
      <c r="AM77" s="100"/>
      <c r="AN77" s="100"/>
      <c r="AO77" s="100"/>
      <c r="AP77" s="100"/>
      <c r="AQ77" s="100"/>
      <c r="AR77" s="100"/>
      <c r="AS77" s="100"/>
      <c r="AT77" s="100"/>
      <c r="AU77" s="209"/>
      <c r="AV77" s="100"/>
      <c r="AW77" s="100"/>
      <c r="AX77" s="100"/>
      <c r="AY77" s="100"/>
      <c r="AZ77" s="209"/>
      <c r="BA77" s="100"/>
      <c r="BB77" s="100"/>
      <c r="BC77" s="100"/>
      <c r="BD77" s="100"/>
      <c r="BE77" s="100"/>
      <c r="BF77" s="100"/>
      <c r="BG77" s="100"/>
      <c r="BH77" s="100"/>
      <c r="BI77" s="100"/>
      <c r="BJ77" s="100"/>
      <c r="BK77" s="100"/>
      <c r="BL77" s="100"/>
      <c r="BM77" s="100"/>
      <c r="BN77" s="100"/>
      <c r="BO77" s="100"/>
      <c r="BP77" s="100"/>
      <c r="BQ77" s="100"/>
      <c r="BR77"/>
      <c r="BS77"/>
      <c r="BT77"/>
      <c r="BU77"/>
      <c r="BV77"/>
      <c r="BW77"/>
      <c r="BX77"/>
      <c r="BY77"/>
      <c r="BZ77"/>
      <c r="CA77"/>
    </row>
    <row r="78" spans="1:79" ht="15.75">
      <c r="A78"/>
      <c r="B78" s="1"/>
      <c r="C78"/>
      <c r="D78"/>
      <c r="E78"/>
      <c r="F78"/>
      <c r="G78"/>
      <c r="H78"/>
      <c r="I78" s="1"/>
      <c r="J78" s="1"/>
      <c r="K78" s="1"/>
      <c r="L78" s="1"/>
      <c r="M78" s="1"/>
      <c r="N78" s="1"/>
      <c r="O78" s="1"/>
      <c r="P78" s="1"/>
      <c r="Q78" s="1"/>
      <c r="R78" s="1"/>
      <c r="S78" s="1"/>
      <c r="T78" s="1"/>
      <c r="U78" s="1"/>
      <c r="V78" s="1"/>
      <c r="W78" s="1"/>
      <c r="X78" s="1"/>
      <c r="Y78"/>
      <c r="Z78"/>
      <c r="AA78"/>
      <c r="AB78"/>
      <c r="AC78"/>
      <c r="AD78"/>
      <c r="AE78"/>
      <c r="AF78" s="100"/>
      <c r="AG78" s="100"/>
      <c r="AH78" s="100"/>
      <c r="AI78" s="100"/>
      <c r="AJ78" s="100"/>
      <c r="AK78" s="100"/>
      <c r="AL78" s="100"/>
      <c r="AM78" s="100"/>
      <c r="AN78" s="100"/>
      <c r="AO78" s="100"/>
      <c r="AP78" s="100"/>
      <c r="AQ78" s="100"/>
      <c r="AR78" s="100"/>
      <c r="AS78" s="100"/>
      <c r="AT78" s="100"/>
      <c r="AU78" s="209"/>
      <c r="AV78" s="100"/>
      <c r="AW78" s="100"/>
      <c r="AX78" s="100"/>
      <c r="AY78" s="100"/>
      <c r="AZ78" s="209"/>
      <c r="BA78" s="100"/>
      <c r="BB78" s="100"/>
      <c r="BC78" s="100"/>
      <c r="BD78" s="100"/>
      <c r="BE78" s="100"/>
      <c r="BF78" s="100"/>
      <c r="BG78" s="100"/>
      <c r="BH78" s="100"/>
      <c r="BI78" s="100"/>
      <c r="BJ78" s="100"/>
      <c r="BK78" s="100"/>
      <c r="BL78" s="100"/>
      <c r="BM78" s="100"/>
      <c r="BN78" s="100"/>
      <c r="BO78" s="100"/>
      <c r="BP78" s="100"/>
      <c r="BQ78" s="100"/>
      <c r="BR78"/>
      <c r="BS78"/>
      <c r="BT78"/>
      <c r="BU78"/>
      <c r="BV78"/>
      <c r="BW78"/>
      <c r="BX78"/>
      <c r="BY78"/>
      <c r="BZ78"/>
      <c r="CA78"/>
    </row>
    <row r="79" spans="1:79" ht="15.75">
      <c r="A79"/>
      <c r="B79" s="1"/>
      <c r="C79"/>
      <c r="D79"/>
      <c r="E79"/>
      <c r="F79"/>
      <c r="G79"/>
      <c r="H79"/>
      <c r="I79" s="1"/>
      <c r="J79" s="1"/>
      <c r="K79" s="1"/>
      <c r="L79" s="1"/>
      <c r="M79" s="1"/>
      <c r="N79" s="1"/>
      <c r="O79" s="1"/>
      <c r="P79" s="1"/>
      <c r="Q79" s="1"/>
      <c r="R79" s="1"/>
      <c r="S79" s="1"/>
      <c r="T79" s="1"/>
      <c r="U79" s="1"/>
      <c r="V79" s="1"/>
      <c r="W79" s="1"/>
      <c r="X79" s="1"/>
      <c r="Y79"/>
      <c r="Z79"/>
      <c r="AA79"/>
      <c r="AB79"/>
      <c r="AC79"/>
      <c r="AD79"/>
      <c r="AE79"/>
      <c r="AF79" s="100"/>
      <c r="AG79" s="100"/>
      <c r="AH79" s="100"/>
      <c r="AI79" s="100"/>
      <c r="AJ79" s="100"/>
      <c r="AK79" s="100"/>
      <c r="AL79" s="100"/>
      <c r="AM79" s="100"/>
      <c r="AN79" s="100"/>
      <c r="AO79" s="100"/>
      <c r="AP79" s="100"/>
      <c r="AQ79" s="100"/>
      <c r="AR79" s="100"/>
      <c r="AS79" s="100"/>
      <c r="AT79" s="100"/>
      <c r="AU79" s="209"/>
      <c r="AV79" s="100"/>
      <c r="AW79" s="100"/>
      <c r="AX79" s="100"/>
      <c r="AY79" s="100"/>
      <c r="AZ79" s="209"/>
      <c r="BA79" s="100"/>
      <c r="BB79" s="100"/>
      <c r="BC79" s="100"/>
      <c r="BD79" s="100"/>
      <c r="BE79" s="100"/>
      <c r="BF79" s="100"/>
      <c r="BG79" s="100"/>
      <c r="BH79" s="100"/>
      <c r="BI79" s="100"/>
      <c r="BJ79" s="100"/>
      <c r="BK79" s="100"/>
      <c r="BL79" s="100"/>
      <c r="BM79" s="100"/>
      <c r="BN79" s="100"/>
      <c r="BO79" s="100"/>
      <c r="BP79" s="100"/>
      <c r="BQ79" s="100"/>
      <c r="BR79"/>
      <c r="BS79"/>
      <c r="BT79"/>
      <c r="BU79"/>
      <c r="BV79"/>
      <c r="BW79"/>
      <c r="BX79"/>
      <c r="BY79"/>
      <c r="BZ79"/>
      <c r="CA79"/>
    </row>
    <row r="80" spans="1:79" ht="15.75">
      <c r="A80"/>
      <c r="B80" s="1"/>
      <c r="C80"/>
      <c r="D80"/>
      <c r="E80"/>
      <c r="F80"/>
      <c r="G80"/>
      <c r="H80"/>
      <c r="I80" s="1"/>
      <c r="J80" s="1"/>
      <c r="K80" s="1"/>
      <c r="L80" s="1"/>
      <c r="M80" s="1"/>
      <c r="N80" s="1"/>
      <c r="O80" s="1"/>
      <c r="P80" s="1"/>
      <c r="Q80" s="1"/>
      <c r="R80" s="1"/>
      <c r="S80" s="1"/>
      <c r="T80" s="1"/>
      <c r="U80" s="1"/>
      <c r="V80" s="1"/>
      <c r="W80" s="1"/>
      <c r="X80" s="1"/>
      <c r="Y80"/>
      <c r="Z80"/>
      <c r="AA80"/>
      <c r="AB80"/>
      <c r="AC80"/>
      <c r="AD80"/>
      <c r="AE80"/>
      <c r="AF80"/>
      <c r="AG80"/>
      <c r="AH80"/>
      <c r="AI80"/>
      <c r="AJ80"/>
      <c r="AK80"/>
      <c r="AL80"/>
      <c r="AM80"/>
      <c r="AN80"/>
      <c r="AO80"/>
      <c r="AP80"/>
      <c r="AQ80"/>
      <c r="AR80"/>
      <c r="AS80"/>
      <c r="AT80"/>
      <c r="AU80" s="129"/>
      <c r="AV80"/>
      <c r="AW80"/>
      <c r="AX80"/>
      <c r="AY80"/>
      <c r="AZ80" s="129"/>
      <c r="BA80"/>
      <c r="BB80"/>
      <c r="BC80"/>
      <c r="BD80"/>
      <c r="BE80"/>
      <c r="BF80"/>
      <c r="BG80"/>
      <c r="BH80"/>
      <c r="BI80"/>
      <c r="BJ80"/>
      <c r="BK80"/>
      <c r="BL80"/>
      <c r="BM80"/>
      <c r="BN80"/>
      <c r="BO80"/>
      <c r="BP80"/>
      <c r="BQ80"/>
      <c r="BR80"/>
      <c r="BS80"/>
      <c r="BT80"/>
      <c r="BU80"/>
      <c r="BV80"/>
      <c r="BW80"/>
      <c r="BX80"/>
      <c r="BY80"/>
      <c r="BZ80"/>
      <c r="CA80"/>
    </row>
    <row r="81" spans="1:79" ht="15.75">
      <c r="A81"/>
      <c r="B81" s="1"/>
      <c r="C81"/>
      <c r="D81"/>
      <c r="E81"/>
      <c r="F81"/>
      <c r="G81"/>
      <c r="H81"/>
      <c r="I81" s="1"/>
      <c r="J81" s="1"/>
      <c r="K81" s="1"/>
      <c r="L81" s="1"/>
      <c r="M81" s="1"/>
      <c r="N81" s="1"/>
      <c r="O81" s="1"/>
      <c r="P81" s="1"/>
      <c r="Q81" s="1"/>
      <c r="R81" s="1"/>
      <c r="S81" s="1"/>
      <c r="T81" s="1"/>
      <c r="U81" s="1"/>
      <c r="V81" s="1"/>
      <c r="W81" s="1"/>
      <c r="X81" s="1"/>
      <c r="Y81"/>
      <c r="Z81"/>
      <c r="AA81"/>
      <c r="AB81"/>
      <c r="AC81"/>
      <c r="AD81"/>
      <c r="AE81"/>
      <c r="AF81"/>
      <c r="AG81"/>
      <c r="AH81"/>
      <c r="AI81"/>
      <c r="AJ81"/>
      <c r="AK81"/>
      <c r="AL81"/>
      <c r="AM81"/>
      <c r="AN81"/>
      <c r="AO81"/>
      <c r="AP81"/>
      <c r="AQ81"/>
      <c r="AR81"/>
      <c r="AS81"/>
      <c r="AT81"/>
      <c r="AU81" s="129"/>
      <c r="AV81"/>
      <c r="AW81"/>
      <c r="AX81"/>
      <c r="AY81"/>
      <c r="AZ81" s="129"/>
      <c r="BA81"/>
      <c r="BB81"/>
      <c r="BC81"/>
      <c r="BD81"/>
      <c r="BE81"/>
      <c r="BF81"/>
      <c r="BG81"/>
      <c r="BH81"/>
      <c r="BI81"/>
      <c r="BJ81"/>
      <c r="BK81"/>
      <c r="BL81"/>
      <c r="BM81"/>
      <c r="BN81"/>
      <c r="BO81"/>
      <c r="BP81"/>
      <c r="BQ81"/>
      <c r="BR81"/>
      <c r="BS81"/>
      <c r="BT81"/>
      <c r="BU81"/>
      <c r="BV81"/>
      <c r="BW81"/>
      <c r="BX81"/>
      <c r="BY81"/>
      <c r="BZ81"/>
      <c r="CA81"/>
    </row>
    <row r="82" spans="1:79" ht="15.75">
      <c r="A82"/>
      <c r="B82" s="1"/>
      <c r="C82"/>
      <c r="D82"/>
      <c r="E82"/>
      <c r="F82"/>
      <c r="G82"/>
      <c r="H82"/>
      <c r="I82" s="1"/>
      <c r="J82" s="1"/>
      <c r="K82" s="1"/>
      <c r="L82" s="1"/>
      <c r="M82" s="1"/>
      <c r="N82" s="1"/>
      <c r="O82" s="1"/>
      <c r="P82" s="1"/>
      <c r="Q82" s="1"/>
      <c r="R82" s="1"/>
      <c r="S82" s="1"/>
      <c r="T82" s="1"/>
      <c r="U82" s="1"/>
      <c r="V82" s="1"/>
      <c r="W82" s="1"/>
      <c r="X82" s="1"/>
      <c r="Y82"/>
      <c r="Z82"/>
      <c r="AA82"/>
      <c r="AB82"/>
      <c r="AC82"/>
      <c r="AD82"/>
      <c r="AE82"/>
      <c r="AF82"/>
      <c r="AG82"/>
      <c r="AH82"/>
      <c r="AI82"/>
      <c r="AJ82"/>
      <c r="AK82"/>
      <c r="AL82"/>
      <c r="AM82"/>
      <c r="AN82"/>
      <c r="AO82"/>
      <c r="AP82"/>
      <c r="AQ82"/>
      <c r="AR82"/>
      <c r="AS82"/>
      <c r="AT82"/>
      <c r="AU82" s="129"/>
      <c r="AV82"/>
      <c r="AW82"/>
      <c r="AX82"/>
      <c r="AY82"/>
      <c r="AZ82" s="129"/>
      <c r="BA82"/>
      <c r="BB82"/>
      <c r="BC82"/>
      <c r="BD82"/>
      <c r="BE82"/>
      <c r="BF82"/>
      <c r="BG82"/>
      <c r="BH82"/>
      <c r="BI82"/>
      <c r="BJ82"/>
      <c r="BK82"/>
      <c r="BL82"/>
      <c r="BM82"/>
      <c r="BN82"/>
      <c r="BO82"/>
      <c r="BP82"/>
      <c r="BQ82"/>
      <c r="BR82"/>
      <c r="BS82"/>
      <c r="BT82"/>
      <c r="BU82"/>
      <c r="BV82"/>
      <c r="BW82"/>
      <c r="BX82"/>
      <c r="BY82"/>
      <c r="BZ82"/>
      <c r="CA82"/>
    </row>
    <row r="83" spans="1:79" ht="15.75">
      <c r="A83"/>
      <c r="B83" s="1"/>
      <c r="C83"/>
      <c r="D83"/>
      <c r="E83"/>
      <c r="F83"/>
      <c r="G83"/>
      <c r="H83"/>
      <c r="I83" s="1"/>
      <c r="J83" s="1"/>
      <c r="K83" s="1"/>
      <c r="L83" s="1"/>
      <c r="M83" s="1"/>
      <c r="N83" s="1"/>
      <c r="O83" s="1"/>
      <c r="P83" s="1"/>
      <c r="Q83" s="1"/>
      <c r="R83" s="1"/>
      <c r="S83" s="1"/>
      <c r="T83" s="1"/>
      <c r="U83" s="1"/>
      <c r="V83" s="1"/>
      <c r="W83" s="1"/>
      <c r="X83" s="1"/>
      <c r="Y83"/>
      <c r="Z83"/>
      <c r="AA83"/>
      <c r="AB83"/>
      <c r="AC83"/>
      <c r="AD83"/>
      <c r="AE83"/>
      <c r="AF83"/>
      <c r="AG83"/>
      <c r="AH83"/>
      <c r="AI83"/>
      <c r="AJ83"/>
      <c r="AK83"/>
      <c r="AL83"/>
      <c r="AM83"/>
      <c r="AN83"/>
      <c r="AO83"/>
      <c r="AP83"/>
      <c r="AQ83"/>
      <c r="AR83"/>
      <c r="AS83"/>
      <c r="AT83"/>
      <c r="AU83" s="129"/>
      <c r="AV83"/>
      <c r="AW83"/>
      <c r="AX83"/>
      <c r="AY83"/>
      <c r="AZ83" s="129"/>
      <c r="BA83"/>
      <c r="BB83"/>
      <c r="BC83"/>
      <c r="BD83"/>
      <c r="BE83"/>
      <c r="BF83"/>
      <c r="BG83"/>
      <c r="BH83"/>
      <c r="BI83"/>
      <c r="BJ83"/>
      <c r="BK83"/>
      <c r="BL83"/>
      <c r="BM83"/>
      <c r="BN83"/>
      <c r="BO83"/>
      <c r="BP83"/>
      <c r="BQ83"/>
      <c r="BR83"/>
      <c r="BS83"/>
      <c r="BT83"/>
      <c r="BU83"/>
      <c r="BV83"/>
      <c r="BW83"/>
      <c r="BX83"/>
      <c r="BY83"/>
      <c r="BZ83"/>
      <c r="CA83"/>
    </row>
    <row r="84" spans="1:75" ht="15.75">
      <c r="A84"/>
      <c r="B84" s="1"/>
      <c r="C84"/>
      <c r="D84"/>
      <c r="E84" s="1"/>
      <c r="F84" s="1"/>
      <c r="G84" s="1"/>
      <c r="H84" s="1"/>
      <c r="I84" s="1"/>
      <c r="J84" s="1"/>
      <c r="K84" s="1"/>
      <c r="L84" s="1"/>
      <c r="M84" s="1"/>
      <c r="N84" s="1"/>
      <c r="O84" s="1"/>
      <c r="P84" s="1"/>
      <c r="Q84" s="1"/>
      <c r="R84" s="1"/>
      <c r="S84" s="1"/>
      <c r="T84" s="1"/>
      <c r="U84"/>
      <c r="V84"/>
      <c r="W84"/>
      <c r="X84"/>
      <c r="Y84"/>
      <c r="Z84"/>
      <c r="AA84"/>
      <c r="AB84"/>
      <c r="AC84"/>
      <c r="AD84"/>
      <c r="AE84"/>
      <c r="AF84"/>
      <c r="AG84"/>
      <c r="AH84"/>
      <c r="AI84"/>
      <c r="AJ84"/>
      <c r="AK84"/>
      <c r="AL84"/>
      <c r="AM84"/>
      <c r="AN84"/>
      <c r="AO84"/>
      <c r="AP84"/>
      <c r="AQ84"/>
      <c r="AR84"/>
      <c r="AS84"/>
      <c r="AT84"/>
      <c r="AU84" s="129"/>
      <c r="AV84"/>
      <c r="AW84"/>
      <c r="AX84"/>
      <c r="AY84"/>
      <c r="AZ84" s="129"/>
      <c r="BA84"/>
      <c r="BB84"/>
      <c r="BC84"/>
      <c r="BD84"/>
      <c r="BE84"/>
      <c r="BF84"/>
      <c r="BG84"/>
      <c r="BH84"/>
      <c r="BI84"/>
      <c r="BJ84"/>
      <c r="BK84"/>
      <c r="BL84"/>
      <c r="BM84"/>
      <c r="BN84"/>
      <c r="BO84"/>
      <c r="BP84"/>
      <c r="BQ84"/>
      <c r="BR84"/>
      <c r="BS84"/>
      <c r="BT84"/>
      <c r="BU84"/>
      <c r="BV84"/>
      <c r="BW84"/>
    </row>
    <row r="85" spans="1:75" ht="15.75">
      <c r="A85"/>
      <c r="B85" s="8" t="s">
        <v>216</v>
      </c>
      <c r="C85"/>
      <c r="D85"/>
      <c r="E85" s="96" t="s">
        <v>207</v>
      </c>
      <c r="F85"/>
      <c r="G85" s="1"/>
      <c r="H85" s="1"/>
      <c r="I85" s="1"/>
      <c r="J85" s="1"/>
      <c r="K85" s="1"/>
      <c r="L85" s="1"/>
      <c r="M85" s="1"/>
      <c r="N85" s="1"/>
      <c r="O85" s="1"/>
      <c r="P85" s="1"/>
      <c r="Q85" s="1"/>
      <c r="R85" s="1"/>
      <c r="S85" s="1"/>
      <c r="T85" s="1"/>
      <c r="U85" s="1"/>
      <c r="V85" s="1"/>
      <c r="W85" s="1"/>
      <c r="X85" s="1"/>
      <c r="Y85" s="1"/>
      <c r="Z85" s="1"/>
      <c r="AA85" s="1"/>
      <c r="AB85"/>
      <c r="AC85"/>
      <c r="AD85"/>
      <c r="AE85"/>
      <c r="AF85"/>
      <c r="AG85"/>
      <c r="AH85"/>
      <c r="AI85"/>
      <c r="AJ85"/>
      <c r="AK85"/>
      <c r="AL85"/>
      <c r="AM85"/>
      <c r="AN85"/>
      <c r="AO85"/>
      <c r="AP85"/>
      <c r="AQ85"/>
      <c r="AR85"/>
      <c r="AS85"/>
      <c r="AT85"/>
      <c r="AU85" s="129"/>
      <c r="AV85"/>
      <c r="AW85"/>
      <c r="AX85"/>
      <c r="AY85"/>
      <c r="AZ85" s="129"/>
      <c r="BA85"/>
      <c r="BB85"/>
      <c r="BC85"/>
      <c r="BD85"/>
      <c r="BE85"/>
      <c r="BF85"/>
      <c r="BG85"/>
      <c r="BH85"/>
      <c r="BI85"/>
      <c r="BJ85"/>
      <c r="BK85"/>
      <c r="BL85"/>
      <c r="BM85"/>
      <c r="BN85"/>
      <c r="BO85"/>
      <c r="BP85"/>
      <c r="BQ85"/>
      <c r="BR85"/>
      <c r="BS85"/>
      <c r="BT85"/>
      <c r="BU85"/>
      <c r="BV85"/>
      <c r="BW85"/>
    </row>
    <row r="86" spans="1:75" ht="15.75">
      <c r="A86"/>
      <c r="B86"/>
      <c r="C86"/>
      <c r="D86"/>
      <c r="E86" s="1"/>
      <c r="F86" s="1"/>
      <c r="G86" s="1"/>
      <c r="H86" s="1"/>
      <c r="I86" s="1"/>
      <c r="J86" s="1"/>
      <c r="K86" s="1" t="s">
        <v>155</v>
      </c>
      <c r="L86" s="1"/>
      <c r="M86" s="1"/>
      <c r="N86" s="1"/>
      <c r="O86" s="1"/>
      <c r="P86" s="1"/>
      <c r="Q86" s="1"/>
      <c r="R86" s="1"/>
      <c r="S86" s="1"/>
      <c r="T86" s="1"/>
      <c r="U86" s="1"/>
      <c r="V86" s="1"/>
      <c r="W86" s="1"/>
      <c r="X86" s="1"/>
      <c r="Y86" s="1"/>
      <c r="Z86" s="1"/>
      <c r="AA86" s="1"/>
      <c r="AB86"/>
      <c r="AC86"/>
      <c r="AD86"/>
      <c r="AE86"/>
      <c r="AF86"/>
      <c r="AG86"/>
      <c r="AH86"/>
      <c r="AI86"/>
      <c r="AJ86"/>
      <c r="AK86"/>
      <c r="AL86"/>
      <c r="AM86"/>
      <c r="AN86"/>
      <c r="AO86"/>
      <c r="AP86"/>
      <c r="AQ86"/>
      <c r="AR86"/>
      <c r="AS86"/>
      <c r="AT86"/>
      <c r="AU86" s="129"/>
      <c r="AV86"/>
      <c r="AW86"/>
      <c r="AX86"/>
      <c r="AY86"/>
      <c r="AZ86" s="129"/>
      <c r="BA86"/>
      <c r="BB86"/>
      <c r="BC86"/>
      <c r="BD86"/>
      <c r="BE86"/>
      <c r="BF86"/>
      <c r="BG86"/>
      <c r="BH86"/>
      <c r="BI86"/>
      <c r="BJ86"/>
      <c r="BK86"/>
      <c r="BL86"/>
      <c r="BM86"/>
      <c r="BN86"/>
      <c r="BO86"/>
      <c r="BP86"/>
      <c r="BQ86"/>
      <c r="BR86"/>
      <c r="BS86"/>
      <c r="BT86"/>
      <c r="BU86"/>
      <c r="BV86"/>
      <c r="BW86"/>
    </row>
    <row r="87" spans="1:75" ht="18.75">
      <c r="A87"/>
      <c r="B87"/>
      <c r="C87"/>
      <c r="D87" s="132" t="s">
        <v>217</v>
      </c>
      <c r="E87"/>
      <c r="F87"/>
      <c r="G87"/>
      <c r="H87" s="107"/>
      <c r="I87" s="107"/>
      <c r="J87" s="107"/>
      <c r="K87" s="1" t="s">
        <v>160</v>
      </c>
      <c r="L87" s="1"/>
      <c r="M87" s="107"/>
      <c r="N87" s="107"/>
      <c r="O87" s="107"/>
      <c r="P87" s="107" t="s">
        <v>162</v>
      </c>
      <c r="Q87"/>
      <c r="R87"/>
      <c r="S87" s="1" t="s">
        <v>162</v>
      </c>
      <c r="T87" s="1" t="s">
        <v>162</v>
      </c>
      <c r="U87" s="1"/>
      <c r="V87" s="1"/>
      <c r="W87" s="1"/>
      <c r="X87" s="1"/>
      <c r="Y87" s="1"/>
      <c r="Z87" s="1"/>
      <c r="AA87" s="1"/>
      <c r="AB87"/>
      <c r="AC87"/>
      <c r="AD87"/>
      <c r="AE87"/>
      <c r="AF87"/>
      <c r="AG87"/>
      <c r="AH87"/>
      <c r="AI87"/>
      <c r="AJ87"/>
      <c r="AK87"/>
      <c r="AL87"/>
      <c r="AM87"/>
      <c r="AN87"/>
      <c r="AO87"/>
      <c r="AP87"/>
      <c r="AQ87"/>
      <c r="AR87"/>
      <c r="AS87"/>
      <c r="AT87"/>
      <c r="AU87" s="129"/>
      <c r="AV87"/>
      <c r="AW87"/>
      <c r="AX87"/>
      <c r="AY87"/>
      <c r="AZ87" s="129"/>
      <c r="BA87"/>
      <c r="BB87"/>
      <c r="BC87"/>
      <c r="BD87"/>
      <c r="BE87"/>
      <c r="BF87"/>
      <c r="BG87"/>
      <c r="BH87"/>
      <c r="BI87"/>
      <c r="BJ87"/>
      <c r="BK87"/>
      <c r="BL87"/>
      <c r="BM87"/>
      <c r="BN87"/>
      <c r="BO87"/>
      <c r="BP87"/>
      <c r="BQ87"/>
      <c r="BR87"/>
      <c r="BS87"/>
      <c r="BT87"/>
      <c r="BU87"/>
      <c r="BV87"/>
      <c r="BW87"/>
    </row>
    <row r="88" spans="1:75" ht="15.75">
      <c r="A88"/>
      <c r="B88"/>
      <c r="C88"/>
      <c r="D88"/>
      <c r="E88" s="1"/>
      <c r="F88" s="1"/>
      <c r="G88"/>
      <c r="H88"/>
      <c r="I88"/>
      <c r="J88" s="107"/>
      <c r="K88" s="113">
        <v>10</v>
      </c>
      <c r="L88" s="244"/>
      <c r="M88" s="107"/>
      <c r="N88" s="107"/>
      <c r="O88" s="107"/>
      <c r="P88" s="114" t="s">
        <v>170</v>
      </c>
      <c r="Q88"/>
      <c r="R88" s="1" t="s">
        <v>172</v>
      </c>
      <c r="S88" s="114" t="s">
        <v>173</v>
      </c>
      <c r="T88" s="1" t="s">
        <v>182</v>
      </c>
      <c r="U88" s="1" t="s">
        <v>170</v>
      </c>
      <c r="V88" s="1" t="s">
        <v>173</v>
      </c>
      <c r="W88" s="1" t="s">
        <v>162</v>
      </c>
      <c r="X88" s="1" t="s">
        <v>162</v>
      </c>
      <c r="Y88" s="1" t="s">
        <v>218</v>
      </c>
      <c r="Z88" s="1"/>
      <c r="AA88" s="1"/>
      <c r="AB88"/>
      <c r="AC88"/>
      <c r="AD88"/>
      <c r="AE88"/>
      <c r="AF88"/>
      <c r="AG88"/>
      <c r="AH88"/>
      <c r="AI88"/>
      <c r="AJ88"/>
      <c r="AK88"/>
      <c r="AL88"/>
      <c r="AM88"/>
      <c r="AN88"/>
      <c r="AO88"/>
      <c r="AP88"/>
      <c r="AQ88"/>
      <c r="AR88"/>
      <c r="AS88"/>
      <c r="AT88"/>
      <c r="AU88" s="129"/>
      <c r="AV88"/>
      <c r="AW88"/>
      <c r="AX88"/>
      <c r="AY88"/>
      <c r="AZ88" s="129"/>
      <c r="BA88"/>
      <c r="BB88"/>
      <c r="BC88"/>
      <c r="BD88"/>
      <c r="BE88"/>
      <c r="BF88"/>
      <c r="BG88"/>
      <c r="BH88"/>
      <c r="BI88"/>
      <c r="BJ88"/>
      <c r="BK88"/>
      <c r="BL88"/>
      <c r="BM88"/>
      <c r="BN88"/>
      <c r="BO88"/>
      <c r="BP88"/>
      <c r="BQ88"/>
      <c r="BR88"/>
      <c r="BS88"/>
      <c r="BT88"/>
      <c r="BU88"/>
      <c r="BV88"/>
      <c r="BW88"/>
    </row>
    <row r="89" spans="1:75" ht="15.75">
      <c r="A89"/>
      <c r="B89" t="s">
        <v>219</v>
      </c>
      <c r="C89"/>
      <c r="D89"/>
      <c r="E89" s="1" t="s">
        <v>220</v>
      </c>
      <c r="F89" s="1" t="s">
        <v>172</v>
      </c>
      <c r="G89" t="s">
        <v>221</v>
      </c>
      <c r="H89" s="1" t="s">
        <v>222</v>
      </c>
      <c r="I89" s="107" t="s">
        <v>222</v>
      </c>
      <c r="J89" s="107" t="s">
        <v>223</v>
      </c>
      <c r="K89" s="107" t="s">
        <v>224</v>
      </c>
      <c r="L89" s="107"/>
      <c r="M89" s="107" t="s">
        <v>181</v>
      </c>
      <c r="N89" s="107"/>
      <c r="O89" s="107"/>
      <c r="P89" s="107" t="s">
        <v>182</v>
      </c>
      <c r="Q89" s="1" t="s">
        <v>163</v>
      </c>
      <c r="R89" s="107" t="s">
        <v>184</v>
      </c>
      <c r="S89" s="107" t="s">
        <v>185</v>
      </c>
      <c r="T89" s="110" t="s">
        <v>170</v>
      </c>
      <c r="U89" s="107" t="s">
        <v>225</v>
      </c>
      <c r="V89" s="107" t="s">
        <v>226</v>
      </c>
      <c r="W89" s="107" t="s">
        <v>226</v>
      </c>
      <c r="X89" s="107" t="s">
        <v>226</v>
      </c>
      <c r="Y89" s="107" t="s">
        <v>227</v>
      </c>
      <c r="Z89" s="107"/>
      <c r="AA89" s="107"/>
      <c r="AB89"/>
      <c r="AC89"/>
      <c r="AD89"/>
      <c r="AE89"/>
      <c r="AF89"/>
      <c r="AG89"/>
      <c r="AH89"/>
      <c r="AI89"/>
      <c r="AJ89"/>
      <c r="AK89"/>
      <c r="AL89"/>
      <c r="AM89"/>
      <c r="AN89"/>
      <c r="AO89"/>
      <c r="AP89"/>
      <c r="AQ89"/>
      <c r="AR89"/>
      <c r="AS89"/>
      <c r="AT89"/>
      <c r="AU89" s="129"/>
      <c r="AV89"/>
      <c r="AW89"/>
      <c r="AX89"/>
      <c r="AY89"/>
      <c r="AZ89" s="129"/>
      <c r="BA89"/>
      <c r="BB89"/>
      <c r="BC89"/>
      <c r="BD89"/>
      <c r="BE89"/>
      <c r="BF89"/>
      <c r="BG89"/>
      <c r="BH89"/>
      <c r="BI89"/>
      <c r="BJ89"/>
      <c r="BK89"/>
      <c r="BL89"/>
      <c r="BM89"/>
      <c r="BN89"/>
      <c r="BO89"/>
      <c r="BP89"/>
      <c r="BQ89"/>
      <c r="BR89"/>
      <c r="BS89"/>
      <c r="BT89"/>
      <c r="BU89"/>
      <c r="BV89"/>
      <c r="BW89"/>
    </row>
    <row r="90" spans="1:75" ht="15.75">
      <c r="A90"/>
      <c r="B90" s="105" t="s">
        <v>191</v>
      </c>
      <c r="C90" s="133" t="s">
        <v>228</v>
      </c>
      <c r="D90" s="105"/>
      <c r="E90" s="4" t="s">
        <v>229</v>
      </c>
      <c r="F90" s="4" t="s">
        <v>230</v>
      </c>
      <c r="G90" s="105" t="s">
        <v>231</v>
      </c>
      <c r="H90" s="134" t="s">
        <v>232</v>
      </c>
      <c r="I90" s="134" t="s">
        <v>233</v>
      </c>
      <c r="J90" s="118" t="s">
        <v>234</v>
      </c>
      <c r="K90" s="118" t="s">
        <v>180</v>
      </c>
      <c r="L90" s="118"/>
      <c r="M90" s="118" t="s">
        <v>185</v>
      </c>
      <c r="N90" s="118" t="s">
        <v>198</v>
      </c>
      <c r="O90" s="118" t="s">
        <v>74</v>
      </c>
      <c r="P90" s="118" t="s">
        <v>197</v>
      </c>
      <c r="Q90" s="118" t="s">
        <v>235</v>
      </c>
      <c r="R90" s="118" t="s">
        <v>149</v>
      </c>
      <c r="S90" s="118" t="s">
        <v>197</v>
      </c>
      <c r="T90" s="135" t="s">
        <v>200</v>
      </c>
      <c r="U90" s="136" t="s">
        <v>236</v>
      </c>
      <c r="V90" s="136" t="s">
        <v>237</v>
      </c>
      <c r="W90" s="136" t="s">
        <v>236</v>
      </c>
      <c r="X90" s="136" t="s">
        <v>238</v>
      </c>
      <c r="Y90" s="118" t="s">
        <v>72</v>
      </c>
      <c r="Z90" s="158"/>
      <c r="AA90" s="158"/>
      <c r="AB90"/>
      <c r="AC90"/>
      <c r="AD90"/>
      <c r="AE90"/>
      <c r="AF90"/>
      <c r="AG90"/>
      <c r="AH90"/>
      <c r="AI90"/>
      <c r="AJ90"/>
      <c r="AK90"/>
      <c r="AL90"/>
      <c r="AM90"/>
      <c r="AN90"/>
      <c r="AO90"/>
      <c r="AP90"/>
      <c r="AQ90"/>
      <c r="AR90"/>
      <c r="AS90"/>
      <c r="AT90"/>
      <c r="AU90" s="129"/>
      <c r="AV90"/>
      <c r="AW90"/>
      <c r="AX90"/>
      <c r="AY90"/>
      <c r="AZ90" s="129"/>
      <c r="BA90"/>
      <c r="BB90"/>
      <c r="BC90"/>
      <c r="BD90"/>
      <c r="BE90"/>
      <c r="BF90"/>
      <c r="BG90"/>
      <c r="BH90"/>
      <c r="BI90"/>
      <c r="BJ90"/>
      <c r="BK90"/>
      <c r="BL90"/>
      <c r="BM90"/>
      <c r="BN90"/>
      <c r="BO90"/>
      <c r="BP90"/>
      <c r="BQ90"/>
      <c r="BR90"/>
      <c r="BS90"/>
      <c r="BT90"/>
      <c r="BU90"/>
      <c r="BV90"/>
      <c r="BW90"/>
    </row>
    <row r="91" spans="1:75" ht="15.75">
      <c r="A91"/>
      <c r="B91" s="96" t="s">
        <v>211</v>
      </c>
      <c r="C91" s="137" t="s">
        <v>239</v>
      </c>
      <c r="D91" s="137"/>
      <c r="E91" s="96">
        <v>150</v>
      </c>
      <c r="F91" s="96">
        <v>0.8</v>
      </c>
      <c r="G91" s="102">
        <v>12000</v>
      </c>
      <c r="H91" s="102">
        <v>400</v>
      </c>
      <c r="I91" s="102">
        <f>200*6</f>
        <v>1200</v>
      </c>
      <c r="J91" s="98">
        <v>100358</v>
      </c>
      <c r="K91" s="99">
        <f>IF(OR(J91=0,B91="N",$E$85="N"),0,J91/$K$88)</f>
        <v>10035.8</v>
      </c>
      <c r="L91" s="99"/>
      <c r="M91" s="99">
        <f aca="true" t="shared" si="64" ref="M91:M102">IF(OR(J91=0,B91="n",$E$85="N"),0,J91/2*$Q$20)</f>
        <v>2508.9500000000003</v>
      </c>
      <c r="N91" s="99">
        <f aca="true" t="shared" si="65" ref="N91:N102">IF(OR(J91=0,B91="N",$E$85="N"),0,J91/2*$O$2/100*$O$3)</f>
        <v>0</v>
      </c>
      <c r="O91" s="99">
        <f aca="true" t="shared" si="66" ref="O91:O102">IF(OR(J91=0,B91="N",$E$85="n"),0,J91/2/100*$O$4)</f>
        <v>150.537</v>
      </c>
      <c r="P91" s="99">
        <f>SUM(K91:O91)</f>
        <v>12695.287</v>
      </c>
      <c r="Q91" s="99">
        <f aca="true" t="shared" si="67" ref="Q91:Q102">IF(OR(J91=0,B91="N",$E$85="n"),0,$O$5*E91*0.044*H91)</f>
        <v>5940</v>
      </c>
      <c r="R91" s="99">
        <f>IF(OR(J91=0,B91="N",$E$85="n"),0,J91*F91*H91/G91)</f>
        <v>2676.2133333333336</v>
      </c>
      <c r="S91" s="99">
        <f>SUM(Q91:R91)</f>
        <v>8616.213333333333</v>
      </c>
      <c r="T91" s="99">
        <f>P91+S91</f>
        <v>21311.500333333333</v>
      </c>
      <c r="U91" s="100">
        <f>IF(OR(J91=0,B91="N",$E$85="n"),0,P91/H91)</f>
        <v>31.7382175</v>
      </c>
      <c r="V91" s="100">
        <f>IF(OR(J91=0,B91="N",$E$85="n"),0,S91/H91)</f>
        <v>21.540533333333332</v>
      </c>
      <c r="W91" s="100">
        <f>SUM(U91:V91)</f>
        <v>53.27875083333333</v>
      </c>
      <c r="X91" s="100">
        <f aca="true" t="shared" si="68" ref="X91:X102">IF(OR(J91=0,B91="n",$E$85="n"),0,(T91/I91))</f>
        <v>17.75958361111111</v>
      </c>
      <c r="Y91" s="21">
        <f aca="true" t="shared" si="69" ref="Y91:Y102">IF(OR(J91=0,B91="N",$E$85="n"),0,G91/H91)</f>
        <v>30</v>
      </c>
      <c r="Z91" s="159"/>
      <c r="AA91" s="159"/>
      <c r="AB91"/>
      <c r="AC91"/>
      <c r="AD91"/>
      <c r="AE91"/>
      <c r="AF91"/>
      <c r="AG91"/>
      <c r="AH91"/>
      <c r="AI91"/>
      <c r="AJ91"/>
      <c r="AK91"/>
      <c r="AL91"/>
      <c r="AM91"/>
      <c r="AN91"/>
      <c r="AO91"/>
      <c r="AP91"/>
      <c r="AQ91"/>
      <c r="AR91"/>
      <c r="AS91"/>
      <c r="AT91"/>
      <c r="AU91" s="129"/>
      <c r="AV91"/>
      <c r="AW91"/>
      <c r="AX91"/>
      <c r="AY91"/>
      <c r="AZ91" s="129"/>
      <c r="BA91"/>
      <c r="BB91"/>
      <c r="BC91"/>
      <c r="BD91"/>
      <c r="BE91"/>
      <c r="BF91"/>
      <c r="BG91"/>
      <c r="BH91"/>
      <c r="BI91"/>
      <c r="BJ91"/>
      <c r="BK91"/>
      <c r="BL91"/>
      <c r="BM91"/>
      <c r="BN91"/>
      <c r="BO91"/>
      <c r="BP91"/>
      <c r="BQ91"/>
      <c r="BR91"/>
      <c r="BS91"/>
      <c r="BT91"/>
      <c r="BU91"/>
      <c r="BV91"/>
      <c r="BW91"/>
    </row>
    <row r="92" spans="1:75" ht="15.75">
      <c r="A92"/>
      <c r="B92" s="96" t="s">
        <v>207</v>
      </c>
      <c r="C92" s="137" t="s">
        <v>240</v>
      </c>
      <c r="D92" s="137"/>
      <c r="E92" s="96">
        <v>0</v>
      </c>
      <c r="F92" s="96">
        <v>0.8</v>
      </c>
      <c r="G92" s="102">
        <v>2500</v>
      </c>
      <c r="H92" s="102">
        <v>60</v>
      </c>
      <c r="I92" s="102">
        <v>200</v>
      </c>
      <c r="J92" s="98">
        <v>8500</v>
      </c>
      <c r="K92" s="99">
        <f aca="true" t="shared" si="70" ref="K92:K102">IF(OR(J92=0,B92="N",$E$85="N"),0,J92/$K$88)</f>
        <v>850</v>
      </c>
      <c r="L92" s="99"/>
      <c r="M92" s="99">
        <f t="shared" si="64"/>
        <v>212.5</v>
      </c>
      <c r="N92" s="99">
        <f t="shared" si="65"/>
        <v>0</v>
      </c>
      <c r="O92" s="99">
        <f t="shared" si="66"/>
        <v>12.75</v>
      </c>
      <c r="P92" s="99">
        <f aca="true" t="shared" si="71" ref="P92:P102">SUM(K92:O92)</f>
        <v>1075.25</v>
      </c>
      <c r="Q92" s="99">
        <f t="shared" si="67"/>
        <v>0</v>
      </c>
      <c r="R92" s="99">
        <f aca="true" t="shared" si="72" ref="R92:R102">IF(OR(J92=0,B92="N",$E$85="n"),0,J92*F92*H92/G92)</f>
        <v>163.2</v>
      </c>
      <c r="S92" s="99">
        <f aca="true" t="shared" si="73" ref="S92:S102">SUM(Q92:R92)</f>
        <v>163.2</v>
      </c>
      <c r="T92" s="99">
        <f aca="true" t="shared" si="74" ref="T92:T102">P92+S92</f>
        <v>1238.45</v>
      </c>
      <c r="U92" s="100">
        <f aca="true" t="shared" si="75" ref="U92:U102">IF(OR(J92=0,B92="N",$E$85="n"),0,P92/H92)</f>
        <v>17.920833333333334</v>
      </c>
      <c r="V92" s="100">
        <f aca="true" t="shared" si="76" ref="V92:V102">IF(OR(J92=0,B92="N",$E$85="n"),0,S92/H92)</f>
        <v>2.7199999999999998</v>
      </c>
      <c r="W92" s="100">
        <f aca="true" t="shared" si="77" ref="W92:W102">SUM(U92:V92)</f>
        <v>20.640833333333333</v>
      </c>
      <c r="X92" s="100">
        <f t="shared" si="68"/>
        <v>6.1922500000000005</v>
      </c>
      <c r="Y92" s="21">
        <f t="shared" si="69"/>
        <v>41.666666666666664</v>
      </c>
      <c r="Z92" s="100"/>
      <c r="AA92" s="100"/>
      <c r="AB92"/>
      <c r="AC92"/>
      <c r="AD92"/>
      <c r="AE92"/>
      <c r="AF92"/>
      <c r="AG92"/>
      <c r="AH92"/>
      <c r="AI92"/>
      <c r="AJ92"/>
      <c r="AK92"/>
      <c r="AL92"/>
      <c r="AM92"/>
      <c r="AN92"/>
      <c r="AO92"/>
      <c r="AP92"/>
      <c r="AQ92"/>
      <c r="AR92"/>
      <c r="AS92"/>
      <c r="AT92"/>
      <c r="AU92" s="129"/>
      <c r="AV92"/>
      <c r="AW92"/>
      <c r="AX92"/>
      <c r="AY92"/>
      <c r="AZ92" s="129"/>
      <c r="BA92"/>
      <c r="BB92"/>
      <c r="BC92"/>
      <c r="BD92"/>
      <c r="BE92"/>
      <c r="BF92"/>
      <c r="BG92"/>
      <c r="BH92"/>
      <c r="BI92"/>
      <c r="BJ92"/>
      <c r="BK92"/>
      <c r="BL92"/>
      <c r="BM92"/>
      <c r="BN92"/>
      <c r="BO92"/>
      <c r="BP92"/>
      <c r="BQ92"/>
      <c r="BR92"/>
      <c r="BS92"/>
      <c r="BT92"/>
      <c r="BU92"/>
      <c r="BV92"/>
      <c r="BW92"/>
    </row>
    <row r="93" spans="1:75" ht="15.75">
      <c r="A93"/>
      <c r="B93" s="96" t="s">
        <v>207</v>
      </c>
      <c r="C93" s="137" t="s">
        <v>241</v>
      </c>
      <c r="D93" s="137"/>
      <c r="E93" s="96">
        <v>0</v>
      </c>
      <c r="F93" s="96">
        <v>0.75</v>
      </c>
      <c r="G93" s="102">
        <v>2500</v>
      </c>
      <c r="H93" s="102">
        <v>260</v>
      </c>
      <c r="I93" s="102">
        <v>1200</v>
      </c>
      <c r="J93" s="98">
        <v>38628</v>
      </c>
      <c r="K93" s="99">
        <f t="shared" si="70"/>
        <v>3862.8</v>
      </c>
      <c r="L93" s="99"/>
      <c r="M93" s="99">
        <f t="shared" si="64"/>
        <v>965.7</v>
      </c>
      <c r="N93" s="99">
        <f t="shared" si="65"/>
        <v>0</v>
      </c>
      <c r="O93" s="99">
        <f t="shared" si="66"/>
        <v>57.94199999999999</v>
      </c>
      <c r="P93" s="99">
        <f t="shared" si="71"/>
        <v>4886.442</v>
      </c>
      <c r="Q93" s="99">
        <f t="shared" si="67"/>
        <v>0</v>
      </c>
      <c r="R93" s="99">
        <f t="shared" si="72"/>
        <v>3012.984</v>
      </c>
      <c r="S93" s="99">
        <f t="shared" si="73"/>
        <v>3012.984</v>
      </c>
      <c r="T93" s="99">
        <f t="shared" si="74"/>
        <v>7899.4259999999995</v>
      </c>
      <c r="U93" s="100">
        <f t="shared" si="75"/>
        <v>18.79400769230769</v>
      </c>
      <c r="V93" s="100">
        <f t="shared" si="76"/>
        <v>11.5884</v>
      </c>
      <c r="W93" s="100">
        <f t="shared" si="77"/>
        <v>30.38240769230769</v>
      </c>
      <c r="X93" s="100">
        <f t="shared" si="68"/>
        <v>6.5828549999999995</v>
      </c>
      <c r="Y93" s="21">
        <f t="shared" si="69"/>
        <v>9.615384615384615</v>
      </c>
      <c r="Z93" s="100"/>
      <c r="AA93" s="100"/>
      <c r="AB93"/>
      <c r="AC93"/>
      <c r="AD93"/>
      <c r="AE93"/>
      <c r="AF93"/>
      <c r="AG93"/>
      <c r="AH93"/>
      <c r="AI93"/>
      <c r="AJ93"/>
      <c r="AK93"/>
      <c r="AL93"/>
      <c r="AM93"/>
      <c r="AN93"/>
      <c r="AO93"/>
      <c r="AP93"/>
      <c r="AQ93"/>
      <c r="AR93"/>
      <c r="AS93"/>
      <c r="AT93"/>
      <c r="AU93" s="129"/>
      <c r="AV93"/>
      <c r="AW93"/>
      <c r="AX93"/>
      <c r="AY93"/>
      <c r="AZ93" s="129"/>
      <c r="BA93"/>
      <c r="BB93"/>
      <c r="BC93"/>
      <c r="BD93"/>
      <c r="BE93"/>
      <c r="BF93"/>
      <c r="BG93"/>
      <c r="BH93"/>
      <c r="BI93"/>
      <c r="BJ93"/>
      <c r="BK93"/>
      <c r="BL93"/>
      <c r="BM93"/>
      <c r="BN93"/>
      <c r="BO93"/>
      <c r="BP93"/>
      <c r="BQ93"/>
      <c r="BR93"/>
      <c r="BS93"/>
      <c r="BT93"/>
      <c r="BU93"/>
      <c r="BV93"/>
      <c r="BW93"/>
    </row>
    <row r="94" spans="1:75" ht="15.75">
      <c r="A94"/>
      <c r="B94" s="96" t="s">
        <v>207</v>
      </c>
      <c r="C94" s="137" t="s">
        <v>242</v>
      </c>
      <c r="D94" s="137"/>
      <c r="E94" s="96">
        <v>0</v>
      </c>
      <c r="F94" s="96">
        <v>0.75</v>
      </c>
      <c r="G94" s="102">
        <v>2500</v>
      </c>
      <c r="H94" s="102">
        <v>40</v>
      </c>
      <c r="I94" s="102">
        <v>400</v>
      </c>
      <c r="J94" s="98">
        <v>18098</v>
      </c>
      <c r="K94" s="99">
        <f t="shared" si="70"/>
        <v>1809.8</v>
      </c>
      <c r="L94" s="99"/>
      <c r="M94" s="99">
        <f t="shared" si="64"/>
        <v>452.45000000000005</v>
      </c>
      <c r="N94" s="99">
        <f t="shared" si="65"/>
        <v>0</v>
      </c>
      <c r="O94" s="99">
        <f t="shared" si="66"/>
        <v>27.147</v>
      </c>
      <c r="P94" s="99">
        <f t="shared" si="71"/>
        <v>2289.397</v>
      </c>
      <c r="Q94" s="99">
        <f t="shared" si="67"/>
        <v>0</v>
      </c>
      <c r="R94" s="99">
        <f t="shared" si="72"/>
        <v>217.176</v>
      </c>
      <c r="S94" s="99">
        <f t="shared" si="73"/>
        <v>217.176</v>
      </c>
      <c r="T94" s="99">
        <f t="shared" si="74"/>
        <v>2506.573</v>
      </c>
      <c r="U94" s="100">
        <f t="shared" si="75"/>
        <v>57.234925</v>
      </c>
      <c r="V94" s="100">
        <f t="shared" si="76"/>
        <v>5.429399999999999</v>
      </c>
      <c r="W94" s="100">
        <f t="shared" si="77"/>
        <v>62.664325</v>
      </c>
      <c r="X94" s="100">
        <f t="shared" si="68"/>
        <v>6.2664325</v>
      </c>
      <c r="Y94" s="21">
        <f t="shared" si="69"/>
        <v>62.5</v>
      </c>
      <c r="Z94" s="100"/>
      <c r="AA94" s="100"/>
      <c r="AB94"/>
      <c r="AC94"/>
      <c r="AD94"/>
      <c r="AE94"/>
      <c r="AF94"/>
      <c r="AG94"/>
      <c r="AH94"/>
      <c r="AI94"/>
      <c r="AJ94"/>
      <c r="AK94"/>
      <c r="AL94"/>
      <c r="AM94"/>
      <c r="AN94"/>
      <c r="AO94"/>
      <c r="AP94"/>
      <c r="AQ94"/>
      <c r="AR94"/>
      <c r="AS94"/>
      <c r="AT94"/>
      <c r="AU94" s="129"/>
      <c r="AV94"/>
      <c r="AW94"/>
      <c r="AX94"/>
      <c r="AY94"/>
      <c r="AZ94" s="129"/>
      <c r="BA94"/>
      <c r="BB94"/>
      <c r="BC94"/>
      <c r="BD94"/>
      <c r="BE94"/>
      <c r="BF94"/>
      <c r="BG94"/>
      <c r="BH94"/>
      <c r="BI94"/>
      <c r="BJ94"/>
      <c r="BK94"/>
      <c r="BL94"/>
      <c r="BM94"/>
      <c r="BN94"/>
      <c r="BO94"/>
      <c r="BP94"/>
      <c r="BQ94"/>
      <c r="BR94"/>
      <c r="BS94"/>
      <c r="BT94"/>
      <c r="BU94"/>
      <c r="BV94"/>
      <c r="BW94"/>
    </row>
    <row r="95" spans="1:75" ht="15.75">
      <c r="A95"/>
      <c r="B95" s="96" t="s">
        <v>207</v>
      </c>
      <c r="C95" s="137" t="s">
        <v>243</v>
      </c>
      <c r="D95" s="137"/>
      <c r="E95" s="96">
        <v>0</v>
      </c>
      <c r="F95" s="96">
        <v>0.75</v>
      </c>
      <c r="G95" s="102">
        <v>1200</v>
      </c>
      <c r="H95" s="102">
        <v>80</v>
      </c>
      <c r="I95" s="102">
        <v>400</v>
      </c>
      <c r="J95" s="98">
        <v>17651</v>
      </c>
      <c r="K95" s="99">
        <f t="shared" si="70"/>
        <v>1765.1</v>
      </c>
      <c r="L95" s="99"/>
      <c r="M95" s="99">
        <f t="shared" si="64"/>
        <v>441.27500000000003</v>
      </c>
      <c r="N95" s="99">
        <f t="shared" si="65"/>
        <v>0</v>
      </c>
      <c r="O95" s="99">
        <f t="shared" si="66"/>
        <v>26.476499999999998</v>
      </c>
      <c r="P95" s="99">
        <f t="shared" si="71"/>
        <v>2232.8515</v>
      </c>
      <c r="Q95" s="99">
        <f t="shared" si="67"/>
        <v>0</v>
      </c>
      <c r="R95" s="99">
        <f t="shared" si="72"/>
        <v>882.55</v>
      </c>
      <c r="S95" s="99">
        <f t="shared" si="73"/>
        <v>882.55</v>
      </c>
      <c r="T95" s="99">
        <f t="shared" si="74"/>
        <v>3115.4015</v>
      </c>
      <c r="U95" s="100">
        <f t="shared" si="75"/>
        <v>27.910643750000002</v>
      </c>
      <c r="V95" s="100">
        <f t="shared" si="76"/>
        <v>11.031875</v>
      </c>
      <c r="W95" s="100">
        <f t="shared" si="77"/>
        <v>38.942518750000005</v>
      </c>
      <c r="X95" s="100">
        <f t="shared" si="68"/>
        <v>7.78850375</v>
      </c>
      <c r="Y95" s="21">
        <f t="shared" si="69"/>
        <v>15</v>
      </c>
      <c r="Z95" s="100"/>
      <c r="AA95" s="100"/>
      <c r="AB95"/>
      <c r="AC95"/>
      <c r="AD95"/>
      <c r="AE95"/>
      <c r="AF95"/>
      <c r="AG95"/>
      <c r="AH95"/>
      <c r="AI95"/>
      <c r="AJ95"/>
      <c r="AK95"/>
      <c r="AL95"/>
      <c r="AM95"/>
      <c r="AN95"/>
      <c r="AO95"/>
      <c r="AP95"/>
      <c r="AQ95"/>
      <c r="AR95"/>
      <c r="AS95"/>
      <c r="AT95"/>
      <c r="AU95" s="129"/>
      <c r="AV95"/>
      <c r="AW95"/>
      <c r="AX95"/>
      <c r="AY95"/>
      <c r="AZ95" s="129"/>
      <c r="BA95"/>
      <c r="BB95"/>
      <c r="BC95"/>
      <c r="BD95"/>
      <c r="BE95"/>
      <c r="BF95"/>
      <c r="BG95"/>
      <c r="BH95"/>
      <c r="BI95"/>
      <c r="BJ95"/>
      <c r="BK95"/>
      <c r="BL95"/>
      <c r="BM95"/>
      <c r="BN95"/>
      <c r="BO95"/>
      <c r="BP95"/>
      <c r="BQ95"/>
      <c r="BR95"/>
      <c r="BS95"/>
      <c r="BT95"/>
      <c r="BU95"/>
      <c r="BV95"/>
      <c r="BW95"/>
    </row>
    <row r="96" spans="1:75" ht="15.75">
      <c r="A96"/>
      <c r="B96" s="96" t="s">
        <v>207</v>
      </c>
      <c r="C96" s="137" t="s">
        <v>244</v>
      </c>
      <c r="D96" s="137"/>
      <c r="E96" s="96">
        <v>0</v>
      </c>
      <c r="F96" s="96">
        <v>0.5</v>
      </c>
      <c r="G96" s="102">
        <v>2000</v>
      </c>
      <c r="H96" s="102">
        <v>50</v>
      </c>
      <c r="I96" s="102">
        <v>800</v>
      </c>
      <c r="J96" s="98">
        <v>3800</v>
      </c>
      <c r="K96" s="99">
        <f t="shared" si="70"/>
        <v>380</v>
      </c>
      <c r="L96" s="99"/>
      <c r="M96" s="99">
        <f t="shared" si="64"/>
        <v>95</v>
      </c>
      <c r="N96" s="99">
        <f t="shared" si="65"/>
        <v>0</v>
      </c>
      <c r="O96" s="99">
        <f t="shared" si="66"/>
        <v>5.7</v>
      </c>
      <c r="P96" s="99">
        <f t="shared" si="71"/>
        <v>480.7</v>
      </c>
      <c r="Q96" s="99">
        <f t="shared" si="67"/>
        <v>0</v>
      </c>
      <c r="R96" s="99">
        <f t="shared" si="72"/>
        <v>47.5</v>
      </c>
      <c r="S96" s="99">
        <f t="shared" si="73"/>
        <v>47.5</v>
      </c>
      <c r="T96" s="99">
        <f t="shared" si="74"/>
        <v>528.2</v>
      </c>
      <c r="U96" s="100">
        <f t="shared" si="75"/>
        <v>9.613999999999999</v>
      </c>
      <c r="V96" s="100">
        <f t="shared" si="76"/>
        <v>0.95</v>
      </c>
      <c r="W96" s="100">
        <f t="shared" si="77"/>
        <v>10.563999999999998</v>
      </c>
      <c r="X96" s="100">
        <f t="shared" si="68"/>
        <v>0.66025</v>
      </c>
      <c r="Y96" s="21">
        <f t="shared" si="69"/>
        <v>40</v>
      </c>
      <c r="Z96" s="100"/>
      <c r="AA96" s="100"/>
      <c r="AB96"/>
      <c r="AC96"/>
      <c r="AD96"/>
      <c r="AE96"/>
      <c r="AF96"/>
      <c r="AG96"/>
      <c r="AH96"/>
      <c r="AI96"/>
      <c r="AJ96"/>
      <c r="AK96"/>
      <c r="AL96"/>
      <c r="AM96"/>
      <c r="AN96"/>
      <c r="AO96"/>
      <c r="AP96"/>
      <c r="AQ96"/>
      <c r="AR96"/>
      <c r="AS96"/>
      <c r="AT96"/>
      <c r="AU96" s="129"/>
      <c r="AV96"/>
      <c r="AW96"/>
      <c r="AX96"/>
      <c r="AY96"/>
      <c r="AZ96" s="129"/>
      <c r="BA96"/>
      <c r="BB96"/>
      <c r="BC96"/>
      <c r="BD96"/>
      <c r="BE96"/>
      <c r="BF96"/>
      <c r="BG96"/>
      <c r="BH96"/>
      <c r="BI96"/>
      <c r="BJ96"/>
      <c r="BK96"/>
      <c r="BL96"/>
      <c r="BM96"/>
      <c r="BN96"/>
      <c r="BO96"/>
      <c r="BP96"/>
      <c r="BQ96"/>
      <c r="BR96"/>
      <c r="BS96"/>
      <c r="BT96"/>
      <c r="BU96"/>
      <c r="BV96"/>
      <c r="BW96"/>
    </row>
    <row r="97" spans="1:75" ht="15.75">
      <c r="A97"/>
      <c r="B97" s="96" t="s">
        <v>207</v>
      </c>
      <c r="C97" s="137" t="s">
        <v>245</v>
      </c>
      <c r="D97" s="137"/>
      <c r="E97" s="96">
        <v>0</v>
      </c>
      <c r="F97" s="96">
        <v>0.75</v>
      </c>
      <c r="G97" s="102">
        <v>2500</v>
      </c>
      <c r="H97" s="102">
        <v>100</v>
      </c>
      <c r="I97" s="102">
        <v>400</v>
      </c>
      <c r="J97" s="98">
        <v>10228</v>
      </c>
      <c r="K97" s="99">
        <f t="shared" si="70"/>
        <v>1022.8</v>
      </c>
      <c r="L97" s="99"/>
      <c r="M97" s="99">
        <f t="shared" si="64"/>
        <v>255.70000000000002</v>
      </c>
      <c r="N97" s="99">
        <f t="shared" si="65"/>
        <v>0</v>
      </c>
      <c r="O97" s="99">
        <f t="shared" si="66"/>
        <v>15.341999999999999</v>
      </c>
      <c r="P97" s="99">
        <f t="shared" si="71"/>
        <v>1293.842</v>
      </c>
      <c r="Q97" s="99">
        <f t="shared" si="67"/>
        <v>0</v>
      </c>
      <c r="R97" s="99">
        <f t="shared" si="72"/>
        <v>306.84</v>
      </c>
      <c r="S97" s="99">
        <f t="shared" si="73"/>
        <v>306.84</v>
      </c>
      <c r="T97" s="99">
        <f t="shared" si="74"/>
        <v>1600.682</v>
      </c>
      <c r="U97" s="100">
        <f t="shared" si="75"/>
        <v>12.93842</v>
      </c>
      <c r="V97" s="100">
        <f t="shared" si="76"/>
        <v>3.0683999999999996</v>
      </c>
      <c r="W97" s="100">
        <f t="shared" si="77"/>
        <v>16.00682</v>
      </c>
      <c r="X97" s="100">
        <f t="shared" si="68"/>
        <v>4.001705</v>
      </c>
      <c r="Y97" s="21">
        <f t="shared" si="69"/>
        <v>25</v>
      </c>
      <c r="Z97" s="100"/>
      <c r="AA97" s="100"/>
      <c r="AB97"/>
      <c r="AC97"/>
      <c r="AD97"/>
      <c r="AE97"/>
      <c r="AF97"/>
      <c r="AG97"/>
      <c r="AH97"/>
      <c r="AI97"/>
      <c r="AJ97"/>
      <c r="AK97"/>
      <c r="AL97"/>
      <c r="AM97"/>
      <c r="AN97"/>
      <c r="AO97"/>
      <c r="AP97"/>
      <c r="AQ97"/>
      <c r="AR97"/>
      <c r="AS97"/>
      <c r="AT97"/>
      <c r="AU97" s="129"/>
      <c r="AV97"/>
      <c r="AW97"/>
      <c r="AX97"/>
      <c r="AY97"/>
      <c r="AZ97" s="129"/>
      <c r="BA97"/>
      <c r="BB97"/>
      <c r="BC97"/>
      <c r="BD97"/>
      <c r="BE97"/>
      <c r="BF97"/>
      <c r="BG97"/>
      <c r="BH97"/>
      <c r="BI97"/>
      <c r="BJ97"/>
      <c r="BK97"/>
      <c r="BL97"/>
      <c r="BM97"/>
      <c r="BN97"/>
      <c r="BO97"/>
      <c r="BP97"/>
      <c r="BQ97"/>
      <c r="BR97"/>
      <c r="BS97"/>
      <c r="BT97"/>
      <c r="BU97"/>
      <c r="BV97"/>
      <c r="BW97"/>
    </row>
    <row r="98" spans="1:75" ht="15.75">
      <c r="A98"/>
      <c r="B98" s="96" t="s">
        <v>207</v>
      </c>
      <c r="C98" s="137" t="s">
        <v>246</v>
      </c>
      <c r="D98" s="137"/>
      <c r="E98" s="96">
        <v>0</v>
      </c>
      <c r="F98" s="96">
        <v>0.5</v>
      </c>
      <c r="G98" s="102">
        <v>2000</v>
      </c>
      <c r="H98" s="102">
        <v>75</v>
      </c>
      <c r="I98" s="102">
        <v>20000</v>
      </c>
      <c r="J98" s="98">
        <v>13333</v>
      </c>
      <c r="K98" s="99">
        <f t="shared" si="70"/>
        <v>1333.3</v>
      </c>
      <c r="L98" s="99"/>
      <c r="M98" s="99">
        <f t="shared" si="64"/>
        <v>333.32500000000005</v>
      </c>
      <c r="N98" s="99">
        <f t="shared" si="65"/>
        <v>0</v>
      </c>
      <c r="O98" s="99">
        <f t="shared" si="66"/>
        <v>19.9995</v>
      </c>
      <c r="P98" s="99">
        <f t="shared" si="71"/>
        <v>1686.6245</v>
      </c>
      <c r="Q98" s="99">
        <f t="shared" si="67"/>
        <v>0</v>
      </c>
      <c r="R98" s="99">
        <f t="shared" si="72"/>
        <v>249.99375</v>
      </c>
      <c r="S98" s="99">
        <f t="shared" si="73"/>
        <v>249.99375</v>
      </c>
      <c r="T98" s="99">
        <f t="shared" si="74"/>
        <v>1936.61825</v>
      </c>
      <c r="U98" s="100">
        <f t="shared" si="75"/>
        <v>22.488326666666666</v>
      </c>
      <c r="V98" s="100">
        <f t="shared" si="76"/>
        <v>3.33325</v>
      </c>
      <c r="W98" s="100">
        <f t="shared" si="77"/>
        <v>25.821576666666665</v>
      </c>
      <c r="X98" s="100">
        <f t="shared" si="68"/>
        <v>0.0968309125</v>
      </c>
      <c r="Y98" s="21">
        <f t="shared" si="69"/>
        <v>26.666666666666668</v>
      </c>
      <c r="Z98" s="100"/>
      <c r="AA98" s="100"/>
      <c r="AB98"/>
      <c r="AC98"/>
      <c r="AD98"/>
      <c r="AE98"/>
      <c r="AF98"/>
      <c r="AG98"/>
      <c r="AH98"/>
      <c r="AI98"/>
      <c r="AJ98"/>
      <c r="AK98"/>
      <c r="AL98"/>
      <c r="AM98"/>
      <c r="AN98"/>
      <c r="AO98"/>
      <c r="AP98"/>
      <c r="AQ98"/>
      <c r="AR98"/>
      <c r="AS98"/>
      <c r="AT98"/>
      <c r="AU98" s="129"/>
      <c r="AV98"/>
      <c r="AW98"/>
      <c r="AX98"/>
      <c r="AY98"/>
      <c r="AZ98" s="129"/>
      <c r="BA98"/>
      <c r="BB98"/>
      <c r="BC98"/>
      <c r="BD98"/>
      <c r="BE98"/>
      <c r="BF98"/>
      <c r="BG98"/>
      <c r="BH98"/>
      <c r="BI98"/>
      <c r="BJ98"/>
      <c r="BK98"/>
      <c r="BL98"/>
      <c r="BM98"/>
      <c r="BN98"/>
      <c r="BO98"/>
      <c r="BP98"/>
      <c r="BQ98"/>
      <c r="BR98"/>
      <c r="BS98"/>
      <c r="BT98"/>
      <c r="BU98"/>
      <c r="BV98"/>
      <c r="BW98"/>
    </row>
    <row r="99" spans="1:75" ht="15.75">
      <c r="A99"/>
      <c r="B99" s="96" t="s">
        <v>207</v>
      </c>
      <c r="C99" s="137" t="s">
        <v>77</v>
      </c>
      <c r="D99" s="137"/>
      <c r="E99" s="96">
        <v>0</v>
      </c>
      <c r="F99" s="96">
        <v>0</v>
      </c>
      <c r="G99" s="102">
        <v>0</v>
      </c>
      <c r="H99" s="102">
        <v>0</v>
      </c>
      <c r="I99" s="102">
        <v>0</v>
      </c>
      <c r="J99" s="98">
        <v>0</v>
      </c>
      <c r="K99" s="99">
        <f t="shared" si="70"/>
        <v>0</v>
      </c>
      <c r="L99" s="99"/>
      <c r="M99" s="99">
        <f t="shared" si="64"/>
        <v>0</v>
      </c>
      <c r="N99" s="99">
        <f t="shared" si="65"/>
        <v>0</v>
      </c>
      <c r="O99" s="99">
        <f t="shared" si="66"/>
        <v>0</v>
      </c>
      <c r="P99" s="99">
        <f t="shared" si="71"/>
        <v>0</v>
      </c>
      <c r="Q99" s="99">
        <f t="shared" si="67"/>
        <v>0</v>
      </c>
      <c r="R99" s="99">
        <f t="shared" si="72"/>
        <v>0</v>
      </c>
      <c r="S99" s="99">
        <f t="shared" si="73"/>
        <v>0</v>
      </c>
      <c r="T99" s="99">
        <f t="shared" si="74"/>
        <v>0</v>
      </c>
      <c r="U99" s="100">
        <f t="shared" si="75"/>
        <v>0</v>
      </c>
      <c r="V99" s="100">
        <f t="shared" si="76"/>
        <v>0</v>
      </c>
      <c r="W99" s="100">
        <f t="shared" si="77"/>
        <v>0</v>
      </c>
      <c r="X99" s="100">
        <f t="shared" si="68"/>
        <v>0</v>
      </c>
      <c r="Y99" s="21">
        <f t="shared" si="69"/>
        <v>0</v>
      </c>
      <c r="Z99" s="100"/>
      <c r="AA99" s="100"/>
      <c r="AB99"/>
      <c r="AC99"/>
      <c r="AD99"/>
      <c r="AE99"/>
      <c r="AF99"/>
      <c r="AG99"/>
      <c r="AH99"/>
      <c r="AI99"/>
      <c r="AJ99"/>
      <c r="AK99"/>
      <c r="AL99"/>
      <c r="AM99"/>
      <c r="AN99"/>
      <c r="AO99"/>
      <c r="AP99"/>
      <c r="AQ99"/>
      <c r="AR99"/>
      <c r="AS99"/>
      <c r="AT99"/>
      <c r="AU99" s="129"/>
      <c r="AV99"/>
      <c r="AW99"/>
      <c r="AX99"/>
      <c r="AY99"/>
      <c r="AZ99" s="129"/>
      <c r="BA99"/>
      <c r="BB99"/>
      <c r="BC99"/>
      <c r="BD99"/>
      <c r="BE99"/>
      <c r="BF99"/>
      <c r="BG99"/>
      <c r="BH99"/>
      <c r="BI99"/>
      <c r="BJ99"/>
      <c r="BK99"/>
      <c r="BL99"/>
      <c r="BM99"/>
      <c r="BN99"/>
      <c r="BO99"/>
      <c r="BP99"/>
      <c r="BQ99"/>
      <c r="BR99"/>
      <c r="BS99"/>
      <c r="BT99"/>
      <c r="BU99"/>
      <c r="BV99"/>
      <c r="BW99"/>
    </row>
    <row r="100" spans="1:75" ht="15.75">
      <c r="A100"/>
      <c r="B100" s="96" t="s">
        <v>207</v>
      </c>
      <c r="C100" s="137" t="s">
        <v>77</v>
      </c>
      <c r="D100" s="137"/>
      <c r="E100" s="96">
        <v>0</v>
      </c>
      <c r="F100" s="96">
        <v>0</v>
      </c>
      <c r="G100" s="102">
        <v>0</v>
      </c>
      <c r="H100" s="102">
        <v>0</v>
      </c>
      <c r="I100" s="102">
        <v>0</v>
      </c>
      <c r="J100" s="98">
        <v>0</v>
      </c>
      <c r="K100" s="99">
        <f t="shared" si="70"/>
        <v>0</v>
      </c>
      <c r="L100" s="99"/>
      <c r="M100" s="99">
        <f t="shared" si="64"/>
        <v>0</v>
      </c>
      <c r="N100" s="99">
        <f t="shared" si="65"/>
        <v>0</v>
      </c>
      <c r="O100" s="99">
        <f t="shared" si="66"/>
        <v>0</v>
      </c>
      <c r="P100" s="99">
        <f t="shared" si="71"/>
        <v>0</v>
      </c>
      <c r="Q100" s="99">
        <f t="shared" si="67"/>
        <v>0</v>
      </c>
      <c r="R100" s="99">
        <f t="shared" si="72"/>
        <v>0</v>
      </c>
      <c r="S100" s="99">
        <f t="shared" si="73"/>
        <v>0</v>
      </c>
      <c r="T100" s="99">
        <f t="shared" si="74"/>
        <v>0</v>
      </c>
      <c r="U100" s="100">
        <f t="shared" si="75"/>
        <v>0</v>
      </c>
      <c r="V100" s="100">
        <f t="shared" si="76"/>
        <v>0</v>
      </c>
      <c r="W100" s="100">
        <f t="shared" si="77"/>
        <v>0</v>
      </c>
      <c r="X100" s="100">
        <f t="shared" si="68"/>
        <v>0</v>
      </c>
      <c r="Y100" s="21">
        <f t="shared" si="69"/>
        <v>0</v>
      </c>
      <c r="Z100" s="100"/>
      <c r="AA100" s="100"/>
      <c r="AB100"/>
      <c r="AC100"/>
      <c r="AD100"/>
      <c r="AE100"/>
      <c r="AF100"/>
      <c r="AG100"/>
      <c r="AH100"/>
      <c r="AI100"/>
      <c r="AJ100"/>
      <c r="AK100"/>
      <c r="AL100"/>
      <c r="AM100"/>
      <c r="AN100"/>
      <c r="AO100"/>
      <c r="AP100"/>
      <c r="AQ100"/>
      <c r="AR100"/>
      <c r="AS100"/>
      <c r="AT100"/>
      <c r="AU100" s="129"/>
      <c r="AV100"/>
      <c r="AW100"/>
      <c r="AX100"/>
      <c r="AY100"/>
      <c r="AZ100" s="129"/>
      <c r="BA100"/>
      <c r="BB100"/>
      <c r="BC100"/>
      <c r="BD100"/>
      <c r="BE100"/>
      <c r="BF100"/>
      <c r="BG100"/>
      <c r="BH100"/>
      <c r="BI100"/>
      <c r="BJ100"/>
      <c r="BK100"/>
      <c r="BL100"/>
      <c r="BM100"/>
      <c r="BN100"/>
      <c r="BO100"/>
      <c r="BP100"/>
      <c r="BQ100"/>
      <c r="BR100"/>
      <c r="BS100"/>
      <c r="BT100"/>
      <c r="BU100"/>
      <c r="BV100"/>
      <c r="BW100"/>
    </row>
    <row r="101" spans="1:75" ht="15.75">
      <c r="A101"/>
      <c r="B101" s="96" t="s">
        <v>207</v>
      </c>
      <c r="C101" s="137" t="s">
        <v>77</v>
      </c>
      <c r="D101" s="137"/>
      <c r="E101" s="96">
        <v>0</v>
      </c>
      <c r="F101" s="96">
        <v>0</v>
      </c>
      <c r="G101" s="102">
        <v>0</v>
      </c>
      <c r="H101" s="102">
        <v>0</v>
      </c>
      <c r="I101" s="102">
        <v>0</v>
      </c>
      <c r="J101" s="98">
        <v>0</v>
      </c>
      <c r="K101" s="99">
        <f t="shared" si="70"/>
        <v>0</v>
      </c>
      <c r="L101" s="99"/>
      <c r="M101" s="99">
        <f t="shared" si="64"/>
        <v>0</v>
      </c>
      <c r="N101" s="99">
        <f t="shared" si="65"/>
        <v>0</v>
      </c>
      <c r="O101" s="99">
        <f t="shared" si="66"/>
        <v>0</v>
      </c>
      <c r="P101" s="99">
        <f t="shared" si="71"/>
        <v>0</v>
      </c>
      <c r="Q101" s="99">
        <f t="shared" si="67"/>
        <v>0</v>
      </c>
      <c r="R101" s="99">
        <f t="shared" si="72"/>
        <v>0</v>
      </c>
      <c r="S101" s="99">
        <f t="shared" si="73"/>
        <v>0</v>
      </c>
      <c r="T101" s="99">
        <f t="shared" si="74"/>
        <v>0</v>
      </c>
      <c r="U101" s="100">
        <f t="shared" si="75"/>
        <v>0</v>
      </c>
      <c r="V101" s="100">
        <f t="shared" si="76"/>
        <v>0</v>
      </c>
      <c r="W101" s="100">
        <f t="shared" si="77"/>
        <v>0</v>
      </c>
      <c r="X101" s="100">
        <f t="shared" si="68"/>
        <v>0</v>
      </c>
      <c r="Y101" s="21">
        <f t="shared" si="69"/>
        <v>0</v>
      </c>
      <c r="Z101" s="100"/>
      <c r="AA101" s="100"/>
      <c r="AB101"/>
      <c r="AC101"/>
      <c r="AD101"/>
      <c r="AE101"/>
      <c r="AF101"/>
      <c r="AG101"/>
      <c r="AH101"/>
      <c r="AI101"/>
      <c r="AJ101"/>
      <c r="AK101"/>
      <c r="AL101"/>
      <c r="AM101"/>
      <c r="AN101"/>
      <c r="AO101"/>
      <c r="AP101"/>
      <c r="AQ101"/>
      <c r="AR101"/>
      <c r="AS101"/>
      <c r="AT101"/>
      <c r="AU101" s="129"/>
      <c r="AV101"/>
      <c r="AW101"/>
      <c r="AX101"/>
      <c r="AY101"/>
      <c r="AZ101" s="129"/>
      <c r="BA101"/>
      <c r="BB101"/>
      <c r="BC101"/>
      <c r="BD101"/>
      <c r="BE101"/>
      <c r="BF101"/>
      <c r="BG101"/>
      <c r="BH101"/>
      <c r="BI101"/>
      <c r="BJ101"/>
      <c r="BK101"/>
      <c r="BL101"/>
      <c r="BM101"/>
      <c r="BN101"/>
      <c r="BO101"/>
      <c r="BP101"/>
      <c r="BQ101"/>
      <c r="BR101"/>
      <c r="BS101"/>
      <c r="BT101"/>
      <c r="BU101"/>
      <c r="BV101"/>
      <c r="BW101"/>
    </row>
    <row r="102" spans="1:75" ht="15.75">
      <c r="A102"/>
      <c r="B102" s="96" t="s">
        <v>207</v>
      </c>
      <c r="C102" s="137" t="s">
        <v>77</v>
      </c>
      <c r="D102" s="137"/>
      <c r="E102" s="96">
        <v>0</v>
      </c>
      <c r="F102" s="96">
        <v>0</v>
      </c>
      <c r="G102" s="102">
        <v>0</v>
      </c>
      <c r="H102" s="102">
        <v>0</v>
      </c>
      <c r="I102" s="102">
        <v>0</v>
      </c>
      <c r="J102" s="98">
        <v>0</v>
      </c>
      <c r="K102" s="99">
        <f t="shared" si="70"/>
        <v>0</v>
      </c>
      <c r="L102" s="99"/>
      <c r="M102" s="99">
        <f t="shared" si="64"/>
        <v>0</v>
      </c>
      <c r="N102" s="99">
        <f t="shared" si="65"/>
        <v>0</v>
      </c>
      <c r="O102" s="99">
        <f t="shared" si="66"/>
        <v>0</v>
      </c>
      <c r="P102" s="99">
        <f t="shared" si="71"/>
        <v>0</v>
      </c>
      <c r="Q102" s="99">
        <f t="shared" si="67"/>
        <v>0</v>
      </c>
      <c r="R102" s="99">
        <f t="shared" si="72"/>
        <v>0</v>
      </c>
      <c r="S102" s="99">
        <f t="shared" si="73"/>
        <v>0</v>
      </c>
      <c r="T102" s="99">
        <f t="shared" si="74"/>
        <v>0</v>
      </c>
      <c r="U102" s="100">
        <f t="shared" si="75"/>
        <v>0</v>
      </c>
      <c r="V102" s="100">
        <f t="shared" si="76"/>
        <v>0</v>
      </c>
      <c r="W102" s="100">
        <f t="shared" si="77"/>
        <v>0</v>
      </c>
      <c r="X102" s="100">
        <f t="shared" si="68"/>
        <v>0</v>
      </c>
      <c r="Y102" s="21">
        <f t="shared" si="69"/>
        <v>0</v>
      </c>
      <c r="Z102" s="100"/>
      <c r="AA102" s="100"/>
      <c r="AB102"/>
      <c r="AC102"/>
      <c r="AD102"/>
      <c r="AE102"/>
      <c r="AF102"/>
      <c r="AG102"/>
      <c r="AH102"/>
      <c r="AI102"/>
      <c r="AJ102"/>
      <c r="AK102"/>
      <c r="AL102"/>
      <c r="AM102"/>
      <c r="AN102"/>
      <c r="AO102"/>
      <c r="AP102"/>
      <c r="AQ102"/>
      <c r="AR102"/>
      <c r="AS102"/>
      <c r="AT102"/>
      <c r="AU102" s="129"/>
      <c r="AV102"/>
      <c r="AW102"/>
      <c r="AX102"/>
      <c r="AY102"/>
      <c r="AZ102" s="129"/>
      <c r="BA102"/>
      <c r="BB102"/>
      <c r="BC102"/>
      <c r="BD102"/>
      <c r="BE102"/>
      <c r="BF102"/>
      <c r="BG102"/>
      <c r="BH102"/>
      <c r="BI102"/>
      <c r="BJ102"/>
      <c r="BK102"/>
      <c r="BL102"/>
      <c r="BM102"/>
      <c r="BN102"/>
      <c r="BO102"/>
      <c r="BP102"/>
      <c r="BQ102"/>
      <c r="BR102"/>
      <c r="BS102"/>
      <c r="BT102"/>
      <c r="BU102"/>
      <c r="BV102"/>
      <c r="BW102"/>
    </row>
    <row r="103" spans="1:75" ht="15.75">
      <c r="A103"/>
      <c r="B103"/>
      <c r="C103"/>
      <c r="D103"/>
      <c r="E103" s="1"/>
      <c r="F103" s="1"/>
      <c r="G103" s="1"/>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s="129"/>
      <c r="AV103"/>
      <c r="AW103"/>
      <c r="AX103"/>
      <c r="AY103"/>
      <c r="AZ103" s="129"/>
      <c r="BA103"/>
      <c r="BB103"/>
      <c r="BC103"/>
      <c r="BD103"/>
      <c r="BE103"/>
      <c r="BF103"/>
      <c r="BG103"/>
      <c r="BH103"/>
      <c r="BI103"/>
      <c r="BJ103"/>
      <c r="BK103"/>
      <c r="BL103"/>
      <c r="BM103"/>
      <c r="BN103"/>
      <c r="BO103"/>
      <c r="BP103"/>
      <c r="BQ103"/>
      <c r="BR103"/>
      <c r="BS103"/>
      <c r="BT103"/>
      <c r="BU103"/>
      <c r="BV103"/>
      <c r="BW103"/>
    </row>
    <row r="104" spans="1:75" ht="15.75">
      <c r="A104"/>
      <c r="B104" s="8" t="s">
        <v>212</v>
      </c>
      <c r="C104"/>
      <c r="D104"/>
      <c r="E104" s="1"/>
      <c r="F104" s="1"/>
      <c r="G104" s="1"/>
      <c r="H104"/>
      <c r="I104"/>
      <c r="J104" s="99">
        <f aca="true" t="shared" si="78" ref="J104:T104">SUM(J91:J103)</f>
        <v>210596</v>
      </c>
      <c r="K104" s="99">
        <f t="shared" si="78"/>
        <v>21059.599999999995</v>
      </c>
      <c r="L104" s="99"/>
      <c r="M104" s="99">
        <f t="shared" si="78"/>
        <v>5264.9</v>
      </c>
      <c r="N104" s="99">
        <f t="shared" si="78"/>
        <v>0</v>
      </c>
      <c r="O104" s="99">
        <f t="shared" si="78"/>
        <v>315.89399999999995</v>
      </c>
      <c r="P104" s="99">
        <f t="shared" si="78"/>
        <v>26640.394</v>
      </c>
      <c r="Q104" s="99">
        <f t="shared" si="78"/>
        <v>5940</v>
      </c>
      <c r="R104" s="99">
        <f t="shared" si="78"/>
        <v>7556.457083333334</v>
      </c>
      <c r="S104" s="99">
        <f t="shared" si="78"/>
        <v>13496.457083333333</v>
      </c>
      <c r="T104" s="99">
        <f t="shared" si="78"/>
        <v>40136.85108333333</v>
      </c>
      <c r="U104"/>
      <c r="V104"/>
      <c r="W104"/>
      <c r="X104"/>
      <c r="Y104"/>
      <c r="Z104"/>
      <c r="AA104"/>
      <c r="AB104"/>
      <c r="AC104"/>
      <c r="AD104"/>
      <c r="AE104"/>
      <c r="AF104"/>
      <c r="AG104"/>
      <c r="AH104"/>
      <c r="AI104"/>
      <c r="AJ104"/>
      <c r="AK104"/>
      <c r="AL104"/>
      <c r="AM104"/>
      <c r="AN104"/>
      <c r="AO104"/>
      <c r="AP104"/>
      <c r="AQ104"/>
      <c r="AR104"/>
      <c r="AS104"/>
      <c r="AT104"/>
      <c r="AU104" s="129"/>
      <c r="AV104"/>
      <c r="AW104"/>
      <c r="AX104"/>
      <c r="AY104"/>
      <c r="AZ104" s="129"/>
      <c r="BA104"/>
      <c r="BB104"/>
      <c r="BC104"/>
      <c r="BD104"/>
      <c r="BE104"/>
      <c r="BF104"/>
      <c r="BG104"/>
      <c r="BH104"/>
      <c r="BI104"/>
      <c r="BJ104"/>
      <c r="BK104"/>
      <c r="BL104"/>
      <c r="BM104"/>
      <c r="BN104"/>
      <c r="BO104"/>
      <c r="BP104"/>
      <c r="BQ104"/>
      <c r="BR104"/>
      <c r="BS104"/>
      <c r="BT104"/>
      <c r="BU104"/>
      <c r="BV104"/>
      <c r="BW104"/>
    </row>
    <row r="105" spans="1:75" ht="15.75">
      <c r="A105"/>
      <c r="B105"/>
      <c r="C10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s="129"/>
      <c r="AV105"/>
      <c r="AW105"/>
      <c r="AX105"/>
      <c r="AY105"/>
      <c r="AZ105" s="2"/>
      <c r="BA105"/>
      <c r="BB105"/>
      <c r="BC105"/>
      <c r="BD105"/>
      <c r="BE105"/>
      <c r="BF105"/>
      <c r="BG105"/>
      <c r="BH105"/>
      <c r="BI105"/>
      <c r="BJ105"/>
      <c r="BK105"/>
      <c r="BL105"/>
      <c r="BM105"/>
      <c r="BN105"/>
      <c r="BO105"/>
      <c r="BP105"/>
      <c r="BQ105"/>
      <c r="BR105"/>
      <c r="BS105"/>
      <c r="BT105"/>
      <c r="BU105"/>
      <c r="BV105"/>
      <c r="BW105"/>
    </row>
    <row r="106" spans="1:75" ht="15.75">
      <c r="A106"/>
      <c r="B106" s="596" t="s">
        <v>247</v>
      </c>
      <c r="C106" s="597"/>
      <c r="D106" s="597"/>
      <c r="E106" s="597"/>
      <c r="F106" s="597"/>
      <c r="G106" s="597"/>
      <c r="H106" s="597"/>
      <c r="I106" s="597"/>
      <c r="J106" s="598"/>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s="129"/>
      <c r="AV106"/>
      <c r="AW106"/>
      <c r="AX106"/>
      <c r="AY106"/>
      <c r="AZ106" s="2"/>
      <c r="BA106"/>
      <c r="BB106"/>
      <c r="BC106"/>
      <c r="BD106"/>
      <c r="BE106"/>
      <c r="BF106"/>
      <c r="BG106"/>
      <c r="BH106"/>
      <c r="BI106"/>
      <c r="BJ106"/>
      <c r="BK106"/>
      <c r="BL106"/>
      <c r="BM106"/>
      <c r="BN106"/>
      <c r="BO106"/>
      <c r="BP106"/>
      <c r="BQ106"/>
      <c r="BR106"/>
      <c r="BS106"/>
      <c r="BT106"/>
      <c r="BU106"/>
      <c r="BV106"/>
      <c r="BW106"/>
    </row>
    <row r="107" spans="1:75" ht="15.75">
      <c r="A107"/>
      <c r="B107" s="8"/>
      <c r="C107" s="138" t="s">
        <v>248</v>
      </c>
      <c r="D107" s="138"/>
      <c r="E107"/>
      <c r="F107" s="1"/>
      <c r="G107" s="1" t="s">
        <v>140</v>
      </c>
      <c r="H107" s="1" t="s">
        <v>155</v>
      </c>
      <c r="I107" s="107" t="s">
        <v>120</v>
      </c>
      <c r="J107" s="1"/>
      <c r="K107" s="1"/>
      <c r="L107" s="1"/>
      <c r="M107" s="1"/>
      <c r="N107" s="1"/>
      <c r="O107" s="1"/>
      <c r="P107" s="1"/>
      <c r="Q107" s="1"/>
      <c r="R107"/>
      <c r="S107"/>
      <c r="T107"/>
      <c r="U107"/>
      <c r="V107"/>
      <c r="W107"/>
      <c r="X107"/>
      <c r="Y107"/>
      <c r="Z107"/>
      <c r="AA107"/>
      <c r="AB107"/>
      <c r="AC107"/>
      <c r="AD107"/>
      <c r="AE107"/>
      <c r="AF107"/>
      <c r="AG107"/>
      <c r="AH107"/>
      <c r="AI107"/>
      <c r="AJ107"/>
      <c r="AK107"/>
      <c r="AL107"/>
      <c r="AM107"/>
      <c r="AN107"/>
      <c r="AO107"/>
      <c r="AP107"/>
      <c r="AQ107"/>
      <c r="AR107"/>
      <c r="AS107"/>
      <c r="AT107"/>
      <c r="AU107" s="129"/>
      <c r="AV107"/>
      <c r="AW107"/>
      <c r="AX107"/>
      <c r="AY107"/>
      <c r="AZ107" s="2"/>
      <c r="BA107"/>
      <c r="BB107"/>
      <c r="BC107"/>
      <c r="BD107"/>
      <c r="BE107"/>
      <c r="BF107"/>
      <c r="BG107"/>
      <c r="BH107"/>
      <c r="BI107"/>
      <c r="BJ107"/>
      <c r="BK107"/>
      <c r="BL107"/>
      <c r="BM107"/>
      <c r="BN107"/>
      <c r="BO107"/>
      <c r="BP107"/>
      <c r="BQ107"/>
      <c r="BR107"/>
      <c r="BS107"/>
      <c r="BT107"/>
      <c r="BU107"/>
      <c r="BV107"/>
      <c r="BW107"/>
    </row>
    <row r="108" spans="1:75" ht="15.75">
      <c r="A108"/>
      <c r="B108" s="8"/>
      <c r="C108" s="138" t="s">
        <v>249</v>
      </c>
      <c r="D108" s="138"/>
      <c r="E108"/>
      <c r="F108" s="1" t="s">
        <v>158</v>
      </c>
      <c r="G108" s="1" t="s">
        <v>250</v>
      </c>
      <c r="H108" s="1" t="s">
        <v>234</v>
      </c>
      <c r="I108" s="107" t="s">
        <v>251</v>
      </c>
      <c r="J108" s="1"/>
      <c r="K108" s="1"/>
      <c r="L108" s="1"/>
      <c r="M108" s="1"/>
      <c r="N108" s="1"/>
      <c r="O108" s="1"/>
      <c r="P108" s="1"/>
      <c r="Q108" s="1"/>
      <c r="R108"/>
      <c r="S108"/>
      <c r="T108"/>
      <c r="U108"/>
      <c r="V108"/>
      <c r="W108"/>
      <c r="X108"/>
      <c r="Y108"/>
      <c r="Z108"/>
      <c r="AA108"/>
      <c r="AB108"/>
      <c r="AC108"/>
      <c r="AD108"/>
      <c r="AE108"/>
      <c r="AF108"/>
      <c r="AG108"/>
      <c r="AH108"/>
      <c r="AI108"/>
      <c r="AJ108"/>
      <c r="AK108"/>
      <c r="AL108"/>
      <c r="AM108"/>
      <c r="AN108"/>
      <c r="AO108"/>
      <c r="AP108"/>
      <c r="AQ108"/>
      <c r="AR108"/>
      <c r="AS108"/>
      <c r="AT108"/>
      <c r="AU108" s="129"/>
      <c r="AV108"/>
      <c r="AW108"/>
      <c r="AX108"/>
      <c r="AY108"/>
      <c r="AZ108" s="2"/>
      <c r="BA108"/>
      <c r="BB108"/>
      <c r="BC108"/>
      <c r="BD108"/>
      <c r="BE108"/>
      <c r="BF108"/>
      <c r="BG108"/>
      <c r="BH108"/>
      <c r="BI108"/>
      <c r="BJ108"/>
      <c r="BK108"/>
      <c r="BL108"/>
      <c r="BM108"/>
      <c r="BN108"/>
      <c r="BO108"/>
      <c r="BP108"/>
      <c r="BQ108"/>
      <c r="BR108"/>
      <c r="BS108"/>
      <c r="BT108"/>
      <c r="BU108"/>
      <c r="BV108"/>
      <c r="BW108"/>
    </row>
    <row r="109" spans="1:75" ht="15.75">
      <c r="A109"/>
      <c r="B109" s="139"/>
      <c r="C109" s="140" t="s">
        <v>252</v>
      </c>
      <c r="D109" s="140"/>
      <c r="E109" s="105"/>
      <c r="F109" s="4" t="s">
        <v>253</v>
      </c>
      <c r="G109" s="4" t="s">
        <v>197</v>
      </c>
      <c r="H109" s="4" t="s">
        <v>254</v>
      </c>
      <c r="I109" s="118" t="s">
        <v>255</v>
      </c>
      <c r="J109" s="1"/>
      <c r="K109" s="1"/>
      <c r="L109" s="1"/>
      <c r="M109" s="1"/>
      <c r="N109" s="1"/>
      <c r="O109" s="1"/>
      <c r="P109" s="1"/>
      <c r="Q109" s="1"/>
      <c r="R109"/>
      <c r="S109"/>
      <c r="T109"/>
      <c r="U109"/>
      <c r="V109"/>
      <c r="W109"/>
      <c r="X109"/>
      <c r="Y109"/>
      <c r="Z109"/>
      <c r="AA109"/>
      <c r="AB109"/>
      <c r="AC109"/>
      <c r="AD109"/>
      <c r="AE109"/>
      <c r="AF109"/>
      <c r="AG109"/>
      <c r="AH109"/>
      <c r="AI109"/>
      <c r="AJ109"/>
      <c r="AK109"/>
      <c r="AL109"/>
      <c r="AM109"/>
      <c r="AN109"/>
      <c r="AO109"/>
      <c r="AP109"/>
      <c r="AQ109"/>
      <c r="AR109"/>
      <c r="AS109"/>
      <c r="AT109"/>
      <c r="AU109" s="129"/>
      <c r="AV109"/>
      <c r="AW109"/>
      <c r="AX109"/>
      <c r="AY109"/>
      <c r="AZ109" s="2"/>
      <c r="BA109"/>
      <c r="BB109"/>
      <c r="BC109"/>
      <c r="BD109"/>
      <c r="BE109"/>
      <c r="BF109"/>
      <c r="BG109"/>
      <c r="BH109"/>
      <c r="BI109"/>
      <c r="BJ109"/>
      <c r="BK109"/>
      <c r="BL109"/>
      <c r="BM109"/>
      <c r="BN109"/>
      <c r="BO109"/>
      <c r="BP109"/>
      <c r="BQ109"/>
      <c r="BR109"/>
      <c r="BS109"/>
      <c r="BT109"/>
      <c r="BU109"/>
      <c r="BV109"/>
      <c r="BW109"/>
    </row>
    <row r="110" spans="1:75" ht="15.75">
      <c r="A110"/>
      <c r="B110" s="2"/>
      <c r="C110" s="141"/>
      <c r="D110" s="605" t="s">
        <v>208</v>
      </c>
      <c r="E110" s="605"/>
      <c r="F110" s="96">
        <v>80</v>
      </c>
      <c r="G110" s="96">
        <v>400</v>
      </c>
      <c r="H110" s="101">
        <v>3</v>
      </c>
      <c r="I110" s="99">
        <f>F110*G110*H110</f>
        <v>96000</v>
      </c>
      <c r="J110" s="1"/>
      <c r="K110" s="1"/>
      <c r="L110" s="1"/>
      <c r="M110" s="1"/>
      <c r="N110" s="1"/>
      <c r="O110" s="1"/>
      <c r="P110" s="1"/>
      <c r="Q110" s="1"/>
      <c r="R110"/>
      <c r="S110"/>
      <c r="T110"/>
      <c r="U110"/>
      <c r="V110"/>
      <c r="W110"/>
      <c r="X110"/>
      <c r="Y110"/>
      <c r="Z110"/>
      <c r="AA110"/>
      <c r="AB110"/>
      <c r="AC110"/>
      <c r="AD110"/>
      <c r="AE110"/>
      <c r="AF110"/>
      <c r="AG110"/>
      <c r="AH110"/>
      <c r="AI110"/>
      <c r="AJ110"/>
      <c r="AK110"/>
      <c r="AL110"/>
      <c r="AM110"/>
      <c r="AN110"/>
      <c r="AO110"/>
      <c r="AP110"/>
      <c r="AQ110"/>
      <c r="AR110"/>
      <c r="AS110"/>
      <c r="AT110"/>
      <c r="AU110" s="129"/>
      <c r="AV110"/>
      <c r="AW110"/>
      <c r="AX110"/>
      <c r="AY110"/>
      <c r="AZ110" s="2"/>
      <c r="BA110"/>
      <c r="BB110"/>
      <c r="BC110"/>
      <c r="BD110"/>
      <c r="BE110"/>
      <c r="BF110"/>
      <c r="BG110"/>
      <c r="BH110"/>
      <c r="BI110"/>
      <c r="BJ110"/>
      <c r="BK110"/>
      <c r="BL110"/>
      <c r="BM110"/>
      <c r="BN110"/>
      <c r="BO110"/>
      <c r="BP110"/>
      <c r="BQ110"/>
      <c r="BR110"/>
      <c r="BS110"/>
      <c r="BT110"/>
      <c r="BU110"/>
      <c r="BV110"/>
      <c r="BW110"/>
    </row>
    <row r="111" spans="1:75" ht="15.75">
      <c r="A111"/>
      <c r="B111"/>
      <c r="C111"/>
      <c r="D111" s="606" t="s">
        <v>256</v>
      </c>
      <c r="E111" s="606"/>
      <c r="F111" s="96">
        <v>0</v>
      </c>
      <c r="G111" s="96">
        <v>0</v>
      </c>
      <c r="H111" s="101">
        <v>0</v>
      </c>
      <c r="I111" s="99">
        <f>F111*G111*H111</f>
        <v>0</v>
      </c>
      <c r="J111" s="1"/>
      <c r="K111" s="1"/>
      <c r="L111" s="1"/>
      <c r="M111" s="1"/>
      <c r="N111" s="1"/>
      <c r="O111" s="1"/>
      <c r="P111" s="1"/>
      <c r="Q111" s="1"/>
      <c r="R111"/>
      <c r="S111"/>
      <c r="T111"/>
      <c r="U111"/>
      <c r="V111"/>
      <c r="W111"/>
      <c r="X111"/>
      <c r="Y111"/>
      <c r="Z111"/>
      <c r="AA111"/>
      <c r="AB111"/>
      <c r="AC111"/>
      <c r="AD111"/>
      <c r="AE111"/>
      <c r="AF111"/>
      <c r="AG111"/>
      <c r="AH111"/>
      <c r="AI111"/>
      <c r="AJ111"/>
      <c r="AK111"/>
      <c r="AL111"/>
      <c r="AM111"/>
      <c r="AN111"/>
      <c r="AO111"/>
      <c r="AP111"/>
      <c r="AQ111"/>
      <c r="AR111"/>
      <c r="AS111"/>
      <c r="AT111"/>
      <c r="AU111" s="129"/>
      <c r="AV111"/>
      <c r="AW111"/>
      <c r="AX111"/>
      <c r="AY111"/>
      <c r="AZ111" s="2"/>
      <c r="BA111"/>
      <c r="BB111"/>
      <c r="BC111"/>
      <c r="BD111"/>
      <c r="BE111"/>
      <c r="BF111"/>
      <c r="BG111"/>
      <c r="BH111"/>
      <c r="BI111"/>
      <c r="BJ111"/>
      <c r="BK111"/>
      <c r="BL111"/>
      <c r="BM111"/>
      <c r="BN111"/>
      <c r="BO111"/>
      <c r="BP111"/>
      <c r="BQ111"/>
      <c r="BR111"/>
      <c r="BS111"/>
      <c r="BT111"/>
      <c r="BU111"/>
      <c r="BV111"/>
      <c r="BW111"/>
    </row>
    <row r="112" spans="1:75" ht="15.75">
      <c r="A112"/>
      <c r="B112"/>
      <c r="C112"/>
      <c r="D112" s="607" t="s">
        <v>257</v>
      </c>
      <c r="E112" s="607"/>
      <c r="F112" s="130">
        <v>0</v>
      </c>
      <c r="G112" s="130">
        <v>0</v>
      </c>
      <c r="H112" s="142">
        <v>0</v>
      </c>
      <c r="I112" s="104">
        <f>F112*G112*H112</f>
        <v>0</v>
      </c>
      <c r="J112" s="1"/>
      <c r="K112" s="1"/>
      <c r="L112" s="1"/>
      <c r="M112" s="1"/>
      <c r="N112" s="1"/>
      <c r="O112" s="1"/>
      <c r="P112" s="1"/>
      <c r="Q112" s="1"/>
      <c r="R112"/>
      <c r="S112"/>
      <c r="T112"/>
      <c r="U112"/>
      <c r="V112"/>
      <c r="W112"/>
      <c r="X112"/>
      <c r="Y112"/>
      <c r="Z112"/>
      <c r="AA112"/>
      <c r="AB112"/>
      <c r="AC112"/>
      <c r="AD112"/>
      <c r="AE112"/>
      <c r="AF112"/>
      <c r="AG112"/>
      <c r="AH112"/>
      <c r="AI112"/>
      <c r="AJ112"/>
      <c r="AK112"/>
      <c r="AL112"/>
      <c r="AM112"/>
      <c r="AN112"/>
      <c r="AO112"/>
      <c r="AP112"/>
      <c r="AQ112"/>
      <c r="AR112"/>
      <c r="AS112"/>
      <c r="AT112"/>
      <c r="AU112" s="129"/>
      <c r="AV112"/>
      <c r="AW112"/>
      <c r="AX112"/>
      <c r="AY112"/>
      <c r="AZ112" s="2"/>
      <c r="BA112"/>
      <c r="BB112"/>
      <c r="BC112"/>
      <c r="BD112"/>
      <c r="BE112"/>
      <c r="BF112"/>
      <c r="BG112"/>
      <c r="BH112"/>
      <c r="BI112"/>
      <c r="BJ112"/>
      <c r="BK112"/>
      <c r="BL112"/>
      <c r="BM112"/>
      <c r="BN112"/>
      <c r="BO112"/>
      <c r="BP112"/>
      <c r="BQ112"/>
      <c r="BR112"/>
      <c r="BS112"/>
      <c r="BT112"/>
      <c r="BU112"/>
      <c r="BV112"/>
      <c r="BW112"/>
    </row>
    <row r="113" spans="1:75" ht="15.75">
      <c r="A113"/>
      <c r="B113"/>
      <c r="C113"/>
      <c r="D113"/>
      <c r="E113"/>
      <c r="F113"/>
      <c r="G113"/>
      <c r="H113" s="9" t="s">
        <v>258</v>
      </c>
      <c r="I113" s="99">
        <f>SUM(I110:I112)</f>
        <v>96000</v>
      </c>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s="129"/>
      <c r="AV113"/>
      <c r="AW113"/>
      <c r="AX113"/>
      <c r="AY113"/>
      <c r="AZ113" s="2"/>
      <c r="BA113"/>
      <c r="BB113"/>
      <c r="BC113"/>
      <c r="BD113"/>
      <c r="BE113"/>
      <c r="BF113"/>
      <c r="BG113"/>
      <c r="BH113"/>
      <c r="BI113"/>
      <c r="BJ113"/>
      <c r="BK113"/>
      <c r="BL113"/>
      <c r="BM113"/>
      <c r="BN113"/>
      <c r="BO113"/>
      <c r="BP113"/>
      <c r="BQ113"/>
      <c r="BR113"/>
      <c r="BS113"/>
      <c r="BT113"/>
      <c r="BU113"/>
      <c r="BV113"/>
      <c r="BW113"/>
    </row>
    <row r="114" spans="1:75" ht="15.75">
      <c r="A114"/>
      <c r="B114"/>
      <c r="C114"/>
      <c r="D114"/>
      <c r="E114"/>
      <c r="F114"/>
      <c r="G114"/>
      <c r="H114" s="9"/>
      <c r="I114" s="99"/>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s="129"/>
      <c r="AV114"/>
      <c r="AW114"/>
      <c r="AX114"/>
      <c r="AY114"/>
      <c r="AZ114" s="2"/>
      <c r="BA114"/>
      <c r="BB114"/>
      <c r="BC114"/>
      <c r="BD114"/>
      <c r="BE114"/>
      <c r="BF114"/>
      <c r="BG114"/>
      <c r="BH114"/>
      <c r="BI114"/>
      <c r="BJ114"/>
      <c r="BK114"/>
      <c r="BL114"/>
      <c r="BM114"/>
      <c r="BN114"/>
      <c r="BO114"/>
      <c r="BP114"/>
      <c r="BQ114"/>
      <c r="BR114"/>
      <c r="BS114"/>
      <c r="BT114"/>
      <c r="BU114"/>
      <c r="BV114"/>
      <c r="BW114"/>
    </row>
    <row r="115" spans="1:75" ht="15.75">
      <c r="A115"/>
      <c r="B115"/>
      <c r="C115"/>
      <c r="D115"/>
      <c r="E115"/>
      <c r="F115"/>
      <c r="G115"/>
      <c r="H115" s="9" t="s">
        <v>259</v>
      </c>
      <c r="I115" s="104">
        <f>N60</f>
        <v>0</v>
      </c>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s="129"/>
      <c r="AV115"/>
      <c r="AW115"/>
      <c r="AX115"/>
      <c r="AY115"/>
      <c r="AZ115" s="2"/>
      <c r="BA115"/>
      <c r="BB115"/>
      <c r="BC115"/>
      <c r="BD115"/>
      <c r="BE115"/>
      <c r="BF115"/>
      <c r="BG115"/>
      <c r="BH115"/>
      <c r="BI115"/>
      <c r="BJ115"/>
      <c r="BK115"/>
      <c r="BL115"/>
      <c r="BM115"/>
      <c r="BN115"/>
      <c r="BO115"/>
      <c r="BP115"/>
      <c r="BQ115"/>
      <c r="BR115"/>
      <c r="BS115"/>
      <c r="BT115"/>
      <c r="BU115"/>
      <c r="BV115"/>
      <c r="BW115"/>
    </row>
    <row r="116" spans="1:75" ht="15.75">
      <c r="A116"/>
      <c r="B116"/>
      <c r="C116"/>
      <c r="D116"/>
      <c r="E116"/>
      <c r="F116"/>
      <c r="G116"/>
      <c r="H116" s="9" t="s">
        <v>260</v>
      </c>
      <c r="I116" s="99">
        <f>SUM(I113:I115)</f>
        <v>96000</v>
      </c>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s="129"/>
      <c r="AV116"/>
      <c r="AW116"/>
      <c r="AX116"/>
      <c r="AY116"/>
      <c r="AZ116" s="2"/>
      <c r="BA116"/>
      <c r="BB116"/>
      <c r="BC116"/>
      <c r="BD116"/>
      <c r="BE116"/>
      <c r="BF116"/>
      <c r="BG116"/>
      <c r="BH116"/>
      <c r="BI116"/>
      <c r="BJ116"/>
      <c r="BK116"/>
      <c r="BL116"/>
      <c r="BM116"/>
      <c r="BN116"/>
      <c r="BO116"/>
      <c r="BP116"/>
      <c r="BQ116"/>
      <c r="BR116"/>
      <c r="BS116"/>
      <c r="BT116"/>
      <c r="BU116"/>
      <c r="BV116"/>
      <c r="BW116"/>
    </row>
    <row r="117" spans="1:75" ht="15.75">
      <c r="A117"/>
      <c r="B117"/>
      <c r="C117"/>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s="129"/>
      <c r="AV117"/>
      <c r="AW117"/>
      <c r="AX117"/>
      <c r="AY117"/>
      <c r="AZ117" s="2"/>
      <c r="BA117"/>
      <c r="BB117"/>
      <c r="BC117"/>
      <c r="BD117"/>
      <c r="BE117"/>
      <c r="BF117"/>
      <c r="BG117"/>
      <c r="BH117"/>
      <c r="BI117"/>
      <c r="BJ117"/>
      <c r="BK117"/>
      <c r="BL117"/>
      <c r="BM117"/>
      <c r="BN117"/>
      <c r="BO117"/>
      <c r="BP117"/>
      <c r="BQ117"/>
      <c r="BR117"/>
      <c r="BS117"/>
      <c r="BT117"/>
      <c r="BU117"/>
      <c r="BV117"/>
      <c r="BW117"/>
    </row>
    <row r="118" spans="1:75" ht="15.75">
      <c r="A118"/>
      <c r="B118" s="596" t="s">
        <v>261</v>
      </c>
      <c r="C118" s="597"/>
      <c r="D118" s="597"/>
      <c r="E118" s="597"/>
      <c r="F118" s="597"/>
      <c r="G118" s="597"/>
      <c r="H118" s="597"/>
      <c r="I118" s="597"/>
      <c r="J118" s="59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s="129"/>
      <c r="AV118"/>
      <c r="AW118"/>
      <c r="AX118"/>
      <c r="AY118"/>
      <c r="AZ118" s="2"/>
      <c r="BA118"/>
      <c r="BB118"/>
      <c r="BC118"/>
      <c r="BD118"/>
      <c r="BE118"/>
      <c r="BF118"/>
      <c r="BG118"/>
      <c r="BH118"/>
      <c r="BI118"/>
      <c r="BJ118"/>
      <c r="BK118"/>
      <c r="BL118"/>
      <c r="BM118"/>
      <c r="BN118"/>
      <c r="BO118"/>
      <c r="BP118"/>
      <c r="BQ118"/>
      <c r="BR118"/>
      <c r="BS118"/>
      <c r="BT118"/>
      <c r="BU118"/>
      <c r="BV118"/>
      <c r="BW118"/>
    </row>
    <row r="119" spans="1:75" ht="15.75">
      <c r="A119"/>
      <c r="B119"/>
      <c r="C119" t="s">
        <v>262</v>
      </c>
      <c r="D119"/>
      <c r="E119"/>
      <c r="F119"/>
      <c r="G119"/>
      <c r="H119" s="1" t="s">
        <v>173</v>
      </c>
      <c r="I119" s="1" t="s">
        <v>162</v>
      </c>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s="129"/>
      <c r="AV119"/>
      <c r="AW119"/>
      <c r="AX119"/>
      <c r="AY119"/>
      <c r="AZ119" s="2"/>
      <c r="BA119"/>
      <c r="BB119"/>
      <c r="BC119"/>
      <c r="BD119"/>
      <c r="BE119"/>
      <c r="BF119"/>
      <c r="BG119"/>
      <c r="BH119"/>
      <c r="BI119"/>
      <c r="BJ119"/>
      <c r="BK119"/>
      <c r="BL119"/>
      <c r="BM119"/>
      <c r="BN119"/>
      <c r="BO119"/>
      <c r="BP119"/>
      <c r="BQ119"/>
      <c r="BR119"/>
      <c r="BS119"/>
      <c r="BT119"/>
      <c r="BU119"/>
      <c r="BV119"/>
      <c r="BW119"/>
    </row>
    <row r="120" spans="1:75" ht="15.75">
      <c r="A120"/>
      <c r="B120"/>
      <c r="C120" t="s">
        <v>263</v>
      </c>
      <c r="D120"/>
      <c r="E120"/>
      <c r="F120"/>
      <c r="G120"/>
      <c r="H120" s="1" t="s">
        <v>264</v>
      </c>
      <c r="I120" s="1" t="s">
        <v>173</v>
      </c>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s="129"/>
      <c r="AV120"/>
      <c r="AW120"/>
      <c r="AX120"/>
      <c r="AY120"/>
      <c r="AZ120" s="2"/>
      <c r="BA120"/>
      <c r="BB120"/>
      <c r="BC120"/>
      <c r="BD120"/>
      <c r="BE120"/>
      <c r="BF120"/>
      <c r="BG120"/>
      <c r="BH120"/>
      <c r="BI120"/>
      <c r="BJ120"/>
      <c r="BK120"/>
      <c r="BL120"/>
      <c r="BM120"/>
      <c r="BN120"/>
      <c r="BO120"/>
      <c r="BP120"/>
      <c r="BQ120"/>
      <c r="BR120"/>
      <c r="BS120"/>
      <c r="BT120"/>
      <c r="BU120"/>
      <c r="BV120"/>
      <c r="BW120"/>
    </row>
    <row r="121" spans="1:75" ht="15.75">
      <c r="A121"/>
      <c r="B121"/>
      <c r="C121" s="143" t="s">
        <v>265</v>
      </c>
      <c r="D121"/>
      <c r="E121"/>
      <c r="F121"/>
      <c r="G121"/>
      <c r="H121" s="144" t="s">
        <v>143</v>
      </c>
      <c r="I121" s="145" t="s">
        <v>266</v>
      </c>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s="129"/>
      <c r="AV121"/>
      <c r="AW121"/>
      <c r="AX121"/>
      <c r="AY121"/>
      <c r="AZ121" s="2"/>
      <c r="BA121"/>
      <c r="BB121"/>
      <c r="BC121"/>
      <c r="BD121"/>
      <c r="BE121"/>
      <c r="BF121"/>
      <c r="BG121"/>
      <c r="BH121"/>
      <c r="BI121"/>
      <c r="BJ121"/>
      <c r="BK121"/>
      <c r="BL121"/>
      <c r="BM121"/>
      <c r="BN121"/>
      <c r="BO121"/>
      <c r="BP121"/>
      <c r="BQ121"/>
      <c r="BR121"/>
      <c r="BS121"/>
      <c r="BT121"/>
      <c r="BU121"/>
      <c r="BV121"/>
      <c r="BW121"/>
    </row>
    <row r="122" spans="1:75" ht="15.75">
      <c r="A122"/>
      <c r="B122"/>
      <c r="C122" s="105"/>
      <c r="D122" s="105"/>
      <c r="E122" s="105"/>
      <c r="F122" s="4" t="s">
        <v>158</v>
      </c>
      <c r="G122" s="4" t="s">
        <v>193</v>
      </c>
      <c r="H122" s="4" t="s">
        <v>267</v>
      </c>
      <c r="I122" s="120" t="s">
        <v>268</v>
      </c>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s="129"/>
      <c r="AV122"/>
      <c r="AW122"/>
      <c r="AX122"/>
      <c r="AY122"/>
      <c r="AZ122" s="2"/>
      <c r="BA122"/>
      <c r="BB122"/>
      <c r="BC122"/>
      <c r="BD122"/>
      <c r="BE122"/>
      <c r="BF122"/>
      <c r="BG122"/>
      <c r="BH122"/>
      <c r="BI122"/>
      <c r="BJ122"/>
      <c r="BK122"/>
      <c r="BL122"/>
      <c r="BM122"/>
      <c r="BN122"/>
      <c r="BO122"/>
      <c r="BP122"/>
      <c r="BQ122"/>
      <c r="BR122"/>
      <c r="BS122"/>
      <c r="BT122"/>
      <c r="BU122"/>
      <c r="BV122"/>
      <c r="BW122"/>
    </row>
    <row r="123" spans="1:75" ht="15.75">
      <c r="A123"/>
      <c r="B123"/>
      <c r="C123"/>
      <c r="D123" s="603" t="str">
        <f>D110</f>
        <v>Malt Barley</v>
      </c>
      <c r="E123" s="603"/>
      <c r="F123" s="146">
        <f aca="true" t="shared" si="79" ref="F123:G125">F110</f>
        <v>80</v>
      </c>
      <c r="G123" s="146">
        <f t="shared" si="79"/>
        <v>400</v>
      </c>
      <c r="H123" s="101">
        <v>30</v>
      </c>
      <c r="I123" s="99">
        <f>G123*H123</f>
        <v>12000</v>
      </c>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s="129"/>
      <c r="AV123"/>
      <c r="AW123"/>
      <c r="AX123"/>
      <c r="AY123"/>
      <c r="AZ123" s="2"/>
      <c r="BA123"/>
      <c r="BB123"/>
      <c r="BC123"/>
      <c r="BD123"/>
      <c r="BE123"/>
      <c r="BF123"/>
      <c r="BG123"/>
      <c r="BH123"/>
      <c r="BI123"/>
      <c r="BJ123"/>
      <c r="BK123"/>
      <c r="BL123"/>
      <c r="BM123"/>
      <c r="BN123"/>
      <c r="BO123"/>
      <c r="BP123"/>
      <c r="BQ123"/>
      <c r="BR123"/>
      <c r="BS123"/>
      <c r="BT123"/>
      <c r="BU123"/>
      <c r="BV123"/>
      <c r="BW123"/>
    </row>
    <row r="124" spans="1:75" ht="15.75">
      <c r="A124"/>
      <c r="B124"/>
      <c r="C124"/>
      <c r="D124" s="603" t="str">
        <f>D111</f>
        <v>Other Crop #1</v>
      </c>
      <c r="E124" s="603"/>
      <c r="F124" s="146">
        <f t="shared" si="79"/>
        <v>0</v>
      </c>
      <c r="G124" s="146">
        <f t="shared" si="79"/>
        <v>0</v>
      </c>
      <c r="H124" s="101">
        <v>0</v>
      </c>
      <c r="I124" s="99">
        <f>F124*G124</f>
        <v>0</v>
      </c>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s="129"/>
      <c r="AV124"/>
      <c r="AW124"/>
      <c r="AX124"/>
      <c r="AY124"/>
      <c r="AZ124" s="2"/>
      <c r="BA124"/>
      <c r="BB124"/>
      <c r="BC124"/>
      <c r="BD124"/>
      <c r="BE124"/>
      <c r="BF124"/>
      <c r="BG124"/>
      <c r="BH124"/>
      <c r="BI124"/>
      <c r="BJ124"/>
      <c r="BK124"/>
      <c r="BL124"/>
      <c r="BM124"/>
      <c r="BN124"/>
      <c r="BO124"/>
      <c r="BP124"/>
      <c r="BQ124"/>
      <c r="BR124"/>
      <c r="BS124"/>
      <c r="BT124"/>
      <c r="BU124"/>
      <c r="BV124"/>
      <c r="BW124"/>
    </row>
    <row r="125" spans="1:75" ht="15.75">
      <c r="A125"/>
      <c r="B125"/>
      <c r="C125"/>
      <c r="D125" s="601" t="str">
        <f>D112</f>
        <v>Other Crop #2</v>
      </c>
      <c r="E125" s="601"/>
      <c r="F125" s="147">
        <f t="shared" si="79"/>
        <v>0</v>
      </c>
      <c r="G125" s="147">
        <f t="shared" si="79"/>
        <v>0</v>
      </c>
      <c r="H125" s="142">
        <v>0</v>
      </c>
      <c r="I125" s="104">
        <f>F125*G125</f>
        <v>0</v>
      </c>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s="129"/>
      <c r="AV125"/>
      <c r="AW125"/>
      <c r="AX125"/>
      <c r="AY125"/>
      <c r="AZ125" s="2"/>
      <c r="BA125"/>
      <c r="BB125"/>
      <c r="BC125"/>
      <c r="BD125"/>
      <c r="BE125"/>
      <c r="BF125"/>
      <c r="BG125"/>
      <c r="BH125"/>
      <c r="BI125"/>
      <c r="BJ125"/>
      <c r="BK125"/>
      <c r="BL125"/>
      <c r="BM125"/>
      <c r="BN125"/>
      <c r="BO125"/>
      <c r="BP125"/>
      <c r="BQ125"/>
      <c r="BR125"/>
      <c r="BS125"/>
      <c r="BT125"/>
      <c r="BU125"/>
      <c r="BV125"/>
      <c r="BW125"/>
    </row>
    <row r="126" spans="1:75" ht="15.75">
      <c r="A126"/>
      <c r="B126"/>
      <c r="C126"/>
      <c r="D126"/>
      <c r="E126"/>
      <c r="F126" s="9"/>
      <c r="G126" s="1"/>
      <c r="H126" s="148" t="s">
        <v>269</v>
      </c>
      <c r="I126" s="99">
        <f>SUM(I123:I125)</f>
        <v>12000</v>
      </c>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s="129"/>
      <c r="AV126"/>
      <c r="AW126"/>
      <c r="AX126"/>
      <c r="AY126"/>
      <c r="AZ126" s="2"/>
      <c r="BA126"/>
      <c r="BB126"/>
      <c r="BC126"/>
      <c r="BD126"/>
      <c r="BE126"/>
      <c r="BF126"/>
      <c r="BG126"/>
      <c r="BH126"/>
      <c r="BI126"/>
      <c r="BJ126"/>
      <c r="BK126"/>
      <c r="BL126"/>
      <c r="BM126"/>
      <c r="BN126"/>
      <c r="BO126"/>
      <c r="BP126"/>
      <c r="BQ126"/>
      <c r="BR126"/>
      <c r="BS126"/>
      <c r="BT126"/>
      <c r="BU126"/>
      <c r="BV126"/>
      <c r="BW126"/>
    </row>
    <row r="127" spans="1:75" ht="15.75">
      <c r="A127"/>
      <c r="B127"/>
      <c r="C127"/>
      <c r="D127"/>
      <c r="E127"/>
      <c r="F127" s="9"/>
      <c r="G127" s="1"/>
      <c r="H127" s="99"/>
      <c r="I127" s="1"/>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s="129"/>
      <c r="AV127"/>
      <c r="AW127"/>
      <c r="AX127"/>
      <c r="AY127"/>
      <c r="AZ127" s="2"/>
      <c r="BA127"/>
      <c r="BB127"/>
      <c r="BC127"/>
      <c r="BD127"/>
      <c r="BE127"/>
      <c r="BF127"/>
      <c r="BG127"/>
      <c r="BH127"/>
      <c r="BI127"/>
      <c r="BJ127"/>
      <c r="BK127"/>
      <c r="BL127"/>
      <c r="BM127"/>
      <c r="BN127"/>
      <c r="BO127"/>
      <c r="BP127"/>
      <c r="BQ127"/>
      <c r="BR127"/>
      <c r="BS127"/>
      <c r="BT127"/>
      <c r="BU127"/>
      <c r="BV127"/>
      <c r="BW127"/>
    </row>
    <row r="128" spans="1:75" ht="15.75">
      <c r="A128"/>
      <c r="B128"/>
      <c r="C128" t="s">
        <v>270</v>
      </c>
      <c r="D128"/>
      <c r="E128"/>
      <c r="F128" s="9"/>
      <c r="G128" s="1"/>
      <c r="H128"/>
      <c r="I128" s="103">
        <f>SUM(G110:G112)*50</f>
        <v>20000</v>
      </c>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s="129"/>
      <c r="AV128"/>
      <c r="AW128"/>
      <c r="AX128"/>
      <c r="AY128"/>
      <c r="AZ128" s="2"/>
      <c r="BA128"/>
      <c r="BB128"/>
      <c r="BC128"/>
      <c r="BD128"/>
      <c r="BE128"/>
      <c r="BF128"/>
      <c r="BG128"/>
      <c r="BH128"/>
      <c r="BI128"/>
      <c r="BJ128"/>
      <c r="BK128"/>
      <c r="BL128"/>
      <c r="BM128"/>
      <c r="BN128"/>
      <c r="BO128"/>
      <c r="BP128"/>
      <c r="BQ128"/>
      <c r="BR128"/>
      <c r="BS128"/>
      <c r="BT128"/>
      <c r="BU128"/>
      <c r="BV128"/>
      <c r="BW128"/>
    </row>
    <row r="129" spans="1:75" ht="15.75">
      <c r="A129"/>
      <c r="B129"/>
      <c r="C129"/>
      <c r="D129"/>
      <c r="E129"/>
      <c r="F129" s="9"/>
      <c r="G129" s="9" t="s">
        <v>271</v>
      </c>
      <c r="H129"/>
      <c r="I129" s="99">
        <f>SUM(I126:I128)</f>
        <v>32000</v>
      </c>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s="129"/>
      <c r="AV129"/>
      <c r="AW129"/>
      <c r="AX129"/>
      <c r="AY129"/>
      <c r="AZ129" s="2"/>
      <c r="BA129"/>
      <c r="BB129"/>
      <c r="BC129"/>
      <c r="BD129"/>
      <c r="BE129"/>
      <c r="BF129"/>
      <c r="BG129"/>
      <c r="BH129"/>
      <c r="BI129"/>
      <c r="BJ129"/>
      <c r="BK129"/>
      <c r="BL129"/>
      <c r="BM129"/>
      <c r="BN129"/>
      <c r="BO129"/>
      <c r="BP129"/>
      <c r="BQ129"/>
      <c r="BR129"/>
      <c r="BS129"/>
      <c r="BT129"/>
      <c r="BU129"/>
      <c r="BV129"/>
      <c r="BW129"/>
    </row>
    <row r="130" spans="1:75" ht="15.75">
      <c r="A130"/>
      <c r="B130"/>
      <c r="C130"/>
      <c r="D130"/>
      <c r="E130"/>
      <c r="F130" s="9"/>
      <c r="G130" s="1"/>
      <c r="H130" s="149" t="s">
        <v>272</v>
      </c>
      <c r="I130" s="99">
        <f>(I123+I128)/SUM(G110:G112)</f>
        <v>80</v>
      </c>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s="129"/>
      <c r="AV130"/>
      <c r="AW130"/>
      <c r="AX130"/>
      <c r="AY130"/>
      <c r="AZ130" s="2"/>
      <c r="BA130"/>
      <c r="BB130"/>
      <c r="BC130"/>
      <c r="BD130"/>
      <c r="BE130"/>
      <c r="BF130"/>
      <c r="BG130"/>
      <c r="BH130"/>
      <c r="BI130"/>
      <c r="BJ130"/>
      <c r="BK130"/>
      <c r="BL130"/>
      <c r="BM130"/>
      <c r="BN130"/>
      <c r="BO130"/>
      <c r="BP130"/>
      <c r="BQ130"/>
      <c r="BR130"/>
      <c r="BS130"/>
      <c r="BT130"/>
      <c r="BU130"/>
      <c r="BV130"/>
      <c r="BW130"/>
    </row>
    <row r="131" spans="1:75" ht="15.75">
      <c r="A131"/>
      <c r="B131"/>
      <c r="C131"/>
      <c r="D131"/>
      <c r="E131"/>
      <c r="F131" s="9"/>
      <c r="G131" s="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s="129"/>
      <c r="AV131"/>
      <c r="AW131"/>
      <c r="AX131"/>
      <c r="AY131"/>
      <c r="AZ131" s="2"/>
      <c r="BA131"/>
      <c r="BB131"/>
      <c r="BC131"/>
      <c r="BD131"/>
      <c r="BE131"/>
      <c r="BF131"/>
      <c r="BG131"/>
      <c r="BH131"/>
      <c r="BI131"/>
      <c r="BJ131"/>
      <c r="BK131"/>
      <c r="BL131"/>
      <c r="BM131"/>
      <c r="BN131"/>
      <c r="BO131"/>
      <c r="BP131"/>
      <c r="BQ131"/>
      <c r="BR131"/>
      <c r="BS131"/>
      <c r="BT131"/>
      <c r="BU131"/>
      <c r="BV131"/>
      <c r="BW131"/>
    </row>
    <row r="132" spans="1:75" ht="15.75">
      <c r="A132"/>
      <c r="B132" s="596" t="s">
        <v>273</v>
      </c>
      <c r="C132" s="597"/>
      <c r="D132" s="597"/>
      <c r="E132" s="597"/>
      <c r="F132" s="597"/>
      <c r="G132" s="597"/>
      <c r="H132" s="597"/>
      <c r="I132" s="597"/>
      <c r="J132" s="598"/>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s="129"/>
      <c r="AV132"/>
      <c r="AW132"/>
      <c r="AX132"/>
      <c r="AY132"/>
      <c r="AZ132" s="2"/>
      <c r="BA132"/>
      <c r="BB132"/>
      <c r="BC132"/>
      <c r="BD132"/>
      <c r="BE132"/>
      <c r="BF132"/>
      <c r="BG132"/>
      <c r="BH132"/>
      <c r="BI132"/>
      <c r="BJ132"/>
      <c r="BK132"/>
      <c r="BL132"/>
      <c r="BM132"/>
      <c r="BN132"/>
      <c r="BO132"/>
      <c r="BP132"/>
      <c r="BQ132"/>
      <c r="BR132"/>
      <c r="BS132"/>
      <c r="BT132"/>
      <c r="BU132"/>
      <c r="BV132"/>
      <c r="BW132"/>
    </row>
    <row r="133" spans="1:75" ht="15.75">
      <c r="A133"/>
      <c r="B133"/>
      <c r="C133" t="s">
        <v>262</v>
      </c>
      <c r="D133"/>
      <c r="E133"/>
      <c r="F133" s="9"/>
      <c r="G133"/>
      <c r="H133" s="1" t="s">
        <v>173</v>
      </c>
      <c r="I133" s="1" t="s">
        <v>162</v>
      </c>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s="129"/>
      <c r="AV133"/>
      <c r="AW133"/>
      <c r="AX133"/>
      <c r="AY133"/>
      <c r="AZ133" s="2"/>
      <c r="BA133"/>
      <c r="BB133"/>
      <c r="BC133"/>
      <c r="BD133"/>
      <c r="BE133"/>
      <c r="BF133"/>
      <c r="BG133"/>
      <c r="BH133"/>
      <c r="BI133"/>
      <c r="BJ133"/>
      <c r="BK133"/>
      <c r="BL133"/>
      <c r="BM133"/>
      <c r="BN133"/>
      <c r="BO133"/>
      <c r="BP133"/>
      <c r="BQ133"/>
      <c r="BR133"/>
      <c r="BS133"/>
      <c r="BT133"/>
      <c r="BU133"/>
      <c r="BV133"/>
      <c r="BW133"/>
    </row>
    <row r="134" spans="1:75" ht="15.75">
      <c r="A134"/>
      <c r="B134"/>
      <c r="C134" t="s">
        <v>263</v>
      </c>
      <c r="D134"/>
      <c r="E134"/>
      <c r="F134"/>
      <c r="G134"/>
      <c r="H134" s="1" t="s">
        <v>264</v>
      </c>
      <c r="I134" s="1" t="s">
        <v>173</v>
      </c>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s="129"/>
      <c r="AV134"/>
      <c r="AW134"/>
      <c r="AX134"/>
      <c r="AY134"/>
      <c r="AZ134" s="2"/>
      <c r="BA134"/>
      <c r="BB134"/>
      <c r="BC134"/>
      <c r="BD134"/>
      <c r="BE134"/>
      <c r="BF134"/>
      <c r="BG134"/>
      <c r="BH134"/>
      <c r="BI134"/>
      <c r="BJ134"/>
      <c r="BK134"/>
      <c r="BL134"/>
      <c r="BM134"/>
      <c r="BN134"/>
      <c r="BO134"/>
      <c r="BP134"/>
      <c r="BQ134"/>
      <c r="BR134"/>
      <c r="BS134"/>
      <c r="BT134"/>
      <c r="BU134"/>
      <c r="BV134"/>
      <c r="BW134"/>
    </row>
    <row r="135" spans="1:75" ht="15.75">
      <c r="A135"/>
      <c r="B135"/>
      <c r="C135" s="143" t="s">
        <v>265</v>
      </c>
      <c r="D135"/>
      <c r="E135"/>
      <c r="F135"/>
      <c r="G135"/>
      <c r="H135" s="144" t="s">
        <v>143</v>
      </c>
      <c r="I135" s="145" t="s">
        <v>266</v>
      </c>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s="129"/>
      <c r="AV135"/>
      <c r="AW135"/>
      <c r="AX135"/>
      <c r="AY135"/>
      <c r="AZ135" s="2"/>
      <c r="BA135"/>
      <c r="BB135"/>
      <c r="BC135"/>
      <c r="BD135"/>
      <c r="BE135"/>
      <c r="BF135"/>
      <c r="BG135"/>
      <c r="BH135"/>
      <c r="BI135"/>
      <c r="BJ135"/>
      <c r="BK135"/>
      <c r="BL135"/>
      <c r="BM135"/>
      <c r="BN135"/>
      <c r="BO135"/>
      <c r="BP135"/>
      <c r="BQ135"/>
      <c r="BR135"/>
      <c r="BS135"/>
      <c r="BT135"/>
      <c r="BU135"/>
      <c r="BV135"/>
      <c r="BW135"/>
    </row>
    <row r="136" spans="1:75" ht="15.75">
      <c r="A136"/>
      <c r="B136"/>
      <c r="C136" s="105"/>
      <c r="D136" s="105"/>
      <c r="E136" s="105"/>
      <c r="F136" s="4" t="s">
        <v>158</v>
      </c>
      <c r="G136" s="4" t="s">
        <v>193</v>
      </c>
      <c r="H136" s="4" t="s">
        <v>267</v>
      </c>
      <c r="I136" s="120" t="s">
        <v>268</v>
      </c>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s="129"/>
      <c r="AV136"/>
      <c r="AW136"/>
      <c r="AX136"/>
      <c r="AY136"/>
      <c r="AZ136" s="2"/>
      <c r="BA136"/>
      <c r="BB136"/>
      <c r="BC136"/>
      <c r="BD136"/>
      <c r="BE136"/>
      <c r="BF136"/>
      <c r="BG136"/>
      <c r="BH136"/>
      <c r="BI136"/>
      <c r="BJ136"/>
      <c r="BK136"/>
      <c r="BL136"/>
      <c r="BM136"/>
      <c r="BN136"/>
      <c r="BO136"/>
      <c r="BP136"/>
      <c r="BQ136"/>
      <c r="BR136"/>
      <c r="BS136"/>
      <c r="BT136"/>
      <c r="BU136"/>
      <c r="BV136"/>
      <c r="BW136"/>
    </row>
    <row r="137" spans="1:75" ht="15.75">
      <c r="A137"/>
      <c r="B137"/>
      <c r="C137"/>
      <c r="D137" s="603" t="str">
        <f>D110</f>
        <v>Malt Barley</v>
      </c>
      <c r="E137" s="603"/>
      <c r="F137" s="146">
        <f aca="true" t="shared" si="80" ref="F137:G139">F110</f>
        <v>80</v>
      </c>
      <c r="G137" s="146">
        <f t="shared" si="80"/>
        <v>400</v>
      </c>
      <c r="H137" s="101">
        <v>30</v>
      </c>
      <c r="I137" s="150">
        <f>G137*H137</f>
        <v>12000</v>
      </c>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s="129"/>
      <c r="AV137"/>
      <c r="AW137"/>
      <c r="AX137"/>
      <c r="AY137"/>
      <c r="AZ137" s="2"/>
      <c r="BA137"/>
      <c r="BB137"/>
      <c r="BC137"/>
      <c r="BD137"/>
      <c r="BE137"/>
      <c r="BF137"/>
      <c r="BG137"/>
      <c r="BH137"/>
      <c r="BI137"/>
      <c r="BJ137"/>
      <c r="BK137"/>
      <c r="BL137"/>
      <c r="BM137"/>
      <c r="BN137"/>
      <c r="BO137"/>
      <c r="BP137"/>
      <c r="BQ137"/>
      <c r="BR137"/>
      <c r="BS137"/>
      <c r="BT137"/>
      <c r="BU137"/>
      <c r="BV137"/>
      <c r="BW137"/>
    </row>
    <row r="138" spans="1:75" ht="15.75">
      <c r="A138"/>
      <c r="B138"/>
      <c r="C138"/>
      <c r="D138" s="603" t="str">
        <f>D111</f>
        <v>Other Crop #1</v>
      </c>
      <c r="E138" s="603"/>
      <c r="F138" s="146">
        <f t="shared" si="80"/>
        <v>0</v>
      </c>
      <c r="G138" s="146">
        <f t="shared" si="80"/>
        <v>0</v>
      </c>
      <c r="H138" s="101">
        <v>0</v>
      </c>
      <c r="I138" s="150">
        <f>G138*H138</f>
        <v>0</v>
      </c>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s="129"/>
      <c r="AV138"/>
      <c r="AW138"/>
      <c r="AX138"/>
      <c r="AY138"/>
      <c r="AZ138" s="2"/>
      <c r="BA138"/>
      <c r="BB138"/>
      <c r="BC138"/>
      <c r="BD138"/>
      <c r="BE138"/>
      <c r="BF138"/>
      <c r="BG138"/>
      <c r="BH138"/>
      <c r="BI138"/>
      <c r="BJ138"/>
      <c r="BK138"/>
      <c r="BL138"/>
      <c r="BM138"/>
      <c r="BN138"/>
      <c r="BO138"/>
      <c r="BP138"/>
      <c r="BQ138"/>
      <c r="BR138"/>
      <c r="BS138"/>
      <c r="BT138"/>
      <c r="BU138"/>
      <c r="BV138"/>
      <c r="BW138"/>
    </row>
    <row r="139" spans="1:75" ht="15.75">
      <c r="A139"/>
      <c r="B139"/>
      <c r="C139" s="2"/>
      <c r="D139" s="604" t="str">
        <f>D112</f>
        <v>Other Crop #2</v>
      </c>
      <c r="E139" s="604"/>
      <c r="F139" s="151">
        <f t="shared" si="80"/>
        <v>0</v>
      </c>
      <c r="G139" s="151">
        <f t="shared" si="80"/>
        <v>0</v>
      </c>
      <c r="H139" s="152">
        <v>0</v>
      </c>
      <c r="I139" s="104">
        <f>G139*H139</f>
        <v>0</v>
      </c>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s="129"/>
      <c r="AV139"/>
      <c r="AW139"/>
      <c r="AX139"/>
      <c r="AY139"/>
      <c r="AZ139" s="2"/>
      <c r="BA139"/>
      <c r="BB139"/>
      <c r="BC139"/>
      <c r="BD139"/>
      <c r="BE139"/>
      <c r="BF139"/>
      <c r="BG139"/>
      <c r="BH139"/>
      <c r="BI139"/>
      <c r="BJ139"/>
      <c r="BK139"/>
      <c r="BL139"/>
      <c r="BM139"/>
      <c r="BN139"/>
      <c r="BO139"/>
      <c r="BP139"/>
      <c r="BQ139"/>
      <c r="BR139"/>
      <c r="BS139"/>
      <c r="BT139"/>
      <c r="BU139"/>
      <c r="BV139"/>
      <c r="BW139"/>
    </row>
    <row r="140" spans="1:75" ht="15.75">
      <c r="A140"/>
      <c r="B140"/>
      <c r="C140"/>
      <c r="D140" s="2"/>
      <c r="E140" s="2"/>
      <c r="F140" s="148"/>
      <c r="G140" s="153"/>
      <c r="H140" s="148" t="s">
        <v>269</v>
      </c>
      <c r="I140" s="150">
        <f>SUM(I137:I139)</f>
        <v>12000</v>
      </c>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s="129"/>
      <c r="AV140"/>
      <c r="AW140"/>
      <c r="AX140"/>
      <c r="AY140"/>
      <c r="AZ140" s="2"/>
      <c r="BA140"/>
      <c r="BB140"/>
      <c r="BC140"/>
      <c r="BD140"/>
      <c r="BE140"/>
      <c r="BF140"/>
      <c r="BG140"/>
      <c r="BH140"/>
      <c r="BI140"/>
      <c r="BJ140"/>
      <c r="BK140"/>
      <c r="BL140"/>
      <c r="BM140"/>
      <c r="BN140"/>
      <c r="BO140"/>
      <c r="BP140"/>
      <c r="BQ140"/>
      <c r="BR140"/>
      <c r="BS140"/>
      <c r="BT140"/>
      <c r="BU140"/>
      <c r="BV140"/>
      <c r="BW140"/>
    </row>
    <row r="141" spans="1:75" ht="15.75">
      <c r="A141"/>
      <c r="B141"/>
      <c r="C141" s="2"/>
      <c r="D141" s="2"/>
      <c r="E141" s="2"/>
      <c r="F141" s="148"/>
      <c r="G141" s="153"/>
      <c r="H141" s="150"/>
      <c r="I141" s="150"/>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s="129"/>
      <c r="AV141"/>
      <c r="AW141"/>
      <c r="AX141"/>
      <c r="AY141"/>
      <c r="AZ141" s="2"/>
      <c r="BA141"/>
      <c r="BB141"/>
      <c r="BC141"/>
      <c r="BD141"/>
      <c r="BE141"/>
      <c r="BF141"/>
      <c r="BG141"/>
      <c r="BH141"/>
      <c r="BI141"/>
      <c r="BJ141"/>
      <c r="BK141"/>
      <c r="BL141"/>
      <c r="BM141"/>
      <c r="BN141"/>
      <c r="BO141"/>
      <c r="BP141"/>
      <c r="BQ141"/>
      <c r="BR141"/>
      <c r="BS141"/>
      <c r="BT141"/>
      <c r="BU141"/>
      <c r="BV141"/>
      <c r="BW141"/>
    </row>
    <row r="142" spans="1:75" ht="15.75">
      <c r="A142"/>
      <c r="B142"/>
      <c r="C142" t="s">
        <v>274</v>
      </c>
      <c r="D142"/>
      <c r="E142"/>
      <c r="F142"/>
      <c r="G142"/>
      <c r="H142"/>
      <c r="I142" s="150">
        <f>S104</f>
        <v>13496.457083333333</v>
      </c>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s="129"/>
      <c r="AV142"/>
      <c r="AW142"/>
      <c r="AX142"/>
      <c r="AY142"/>
      <c r="AZ142" s="2"/>
      <c r="BA142"/>
      <c r="BB142"/>
      <c r="BC142"/>
      <c r="BD142"/>
      <c r="BE142"/>
      <c r="BF142"/>
      <c r="BG142"/>
      <c r="BH142"/>
      <c r="BI142"/>
      <c r="BJ142"/>
      <c r="BK142"/>
      <c r="BL142"/>
      <c r="BM142"/>
      <c r="BN142"/>
      <c r="BO142"/>
      <c r="BP142"/>
      <c r="BQ142"/>
      <c r="BR142"/>
      <c r="BS142"/>
      <c r="BT142"/>
      <c r="BU142"/>
      <c r="BV142"/>
      <c r="BW142"/>
    </row>
    <row r="143" spans="1:75" ht="15.75">
      <c r="A143"/>
      <c r="B143"/>
      <c r="C143" t="s">
        <v>275</v>
      </c>
      <c r="D143"/>
      <c r="E143"/>
      <c r="F143"/>
      <c r="G143" s="9"/>
      <c r="H143"/>
      <c r="I143" s="154">
        <f>SUM(G110:G112)*20</f>
        <v>8000</v>
      </c>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s="129"/>
      <c r="AV143"/>
      <c r="AW143"/>
      <c r="AX143"/>
      <c r="AY143"/>
      <c r="AZ143" s="2"/>
      <c r="BA143"/>
      <c r="BB143"/>
      <c r="BC143"/>
      <c r="BD143"/>
      <c r="BE143"/>
      <c r="BF143"/>
      <c r="BG143"/>
      <c r="BH143"/>
      <c r="BI143"/>
      <c r="BJ143"/>
      <c r="BK143"/>
      <c r="BL143"/>
      <c r="BM143"/>
      <c r="BN143"/>
      <c r="BO143"/>
      <c r="BP143"/>
      <c r="BQ143"/>
      <c r="BR143"/>
      <c r="BS143"/>
      <c r="BT143"/>
      <c r="BU143"/>
      <c r="BV143"/>
      <c r="BW143"/>
    </row>
    <row r="144" spans="1:75" ht="15.75">
      <c r="A144"/>
      <c r="B144"/>
      <c r="C144" t="s">
        <v>276</v>
      </c>
      <c r="D144"/>
      <c r="E144"/>
      <c r="F144"/>
      <c r="G144" s="9"/>
      <c r="H144"/>
      <c r="I144" s="103">
        <v>50000</v>
      </c>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s="129"/>
      <c r="AV144"/>
      <c r="AW144"/>
      <c r="AX144"/>
      <c r="AY144"/>
      <c r="AZ144" s="2"/>
      <c r="BA144"/>
      <c r="BB144"/>
      <c r="BC144"/>
      <c r="BD144"/>
      <c r="BE144"/>
      <c r="BF144"/>
      <c r="BG144"/>
      <c r="BH144"/>
      <c r="BI144"/>
      <c r="BJ144"/>
      <c r="BK144"/>
      <c r="BL144"/>
      <c r="BM144"/>
      <c r="BN144"/>
      <c r="BO144"/>
      <c r="BP144"/>
      <c r="BQ144"/>
      <c r="BR144"/>
      <c r="BS144"/>
      <c r="BT144"/>
      <c r="BU144"/>
      <c r="BV144"/>
      <c r="BW144"/>
    </row>
    <row r="145" spans="1:75" ht="15.75">
      <c r="A145"/>
      <c r="B145"/>
      <c r="C145"/>
      <c r="D145"/>
      <c r="E145"/>
      <c r="F145"/>
      <c r="G145"/>
      <c r="H145" s="9" t="s">
        <v>277</v>
      </c>
      <c r="I145" s="99">
        <f>SUM(I140:I144)</f>
        <v>83496.45708333334</v>
      </c>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s="129"/>
      <c r="AV145"/>
      <c r="AW145"/>
      <c r="AX145"/>
      <c r="AY145"/>
      <c r="AZ145" s="2"/>
      <c r="BA145"/>
      <c r="BB145"/>
      <c r="BC145"/>
      <c r="BD145"/>
      <c r="BE145"/>
      <c r="BF145"/>
      <c r="BG145"/>
      <c r="BH145"/>
      <c r="BI145"/>
      <c r="BJ145"/>
      <c r="BK145"/>
      <c r="BL145"/>
      <c r="BM145"/>
      <c r="BN145"/>
      <c r="BO145"/>
      <c r="BP145"/>
      <c r="BQ145"/>
      <c r="BR145"/>
      <c r="BS145"/>
      <c r="BT145"/>
      <c r="BU145"/>
      <c r="BV145"/>
      <c r="BW145"/>
    </row>
    <row r="146" spans="1:75" ht="15.75">
      <c r="A146"/>
      <c r="B146"/>
      <c r="C146"/>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s="129"/>
      <c r="AV146"/>
      <c r="AW146"/>
      <c r="AX146"/>
      <c r="AY146"/>
      <c r="AZ146" s="2"/>
      <c r="BA146"/>
      <c r="BB146"/>
      <c r="BC146"/>
      <c r="BD146"/>
      <c r="BE146"/>
      <c r="BF146"/>
      <c r="BG146"/>
      <c r="BH146"/>
      <c r="BI146"/>
      <c r="BJ146"/>
      <c r="BK146"/>
      <c r="BL146"/>
      <c r="BM146"/>
      <c r="BN146"/>
      <c r="BO146"/>
      <c r="BP146"/>
      <c r="BQ146"/>
      <c r="BR146"/>
      <c r="BS146"/>
      <c r="BT146"/>
      <c r="BU146"/>
      <c r="BV146"/>
      <c r="BW146"/>
    </row>
    <row r="147" spans="1:75" ht="15.75">
      <c r="A147"/>
      <c r="B147"/>
      <c r="C147"/>
      <c r="D147"/>
      <c r="E147"/>
      <c r="F147"/>
      <c r="G147" s="9" t="s">
        <v>278</v>
      </c>
      <c r="H147"/>
      <c r="I147" s="100">
        <f>I145/SUM(G137:G139)</f>
        <v>208.74114270833334</v>
      </c>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s="129"/>
      <c r="AV147"/>
      <c r="AW147"/>
      <c r="AX147"/>
      <c r="AY147"/>
      <c r="AZ147" s="2"/>
      <c r="BA147"/>
      <c r="BB147"/>
      <c r="BC147"/>
      <c r="BD147"/>
      <c r="BE147"/>
      <c r="BF147"/>
      <c r="BG147"/>
      <c r="BH147"/>
      <c r="BI147"/>
      <c r="BJ147"/>
      <c r="BK147"/>
      <c r="BL147"/>
      <c r="BM147"/>
      <c r="BN147"/>
      <c r="BO147"/>
      <c r="BP147"/>
      <c r="BQ147"/>
      <c r="BR147"/>
      <c r="BS147"/>
      <c r="BT147"/>
      <c r="BU147"/>
      <c r="BV147"/>
      <c r="BW147"/>
    </row>
    <row r="148" spans="1:75" ht="15.75">
      <c r="A148"/>
      <c r="B148"/>
      <c r="C148"/>
      <c r="D148"/>
      <c r="E148"/>
      <c r="F148"/>
      <c r="G148" s="9"/>
      <c r="H148"/>
      <c r="I148" s="100"/>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s="129"/>
      <c r="AV148"/>
      <c r="AW148"/>
      <c r="AX148"/>
      <c r="AY148"/>
      <c r="AZ148" s="2"/>
      <c r="BA148"/>
      <c r="BB148"/>
      <c r="BC148"/>
      <c r="BD148"/>
      <c r="BE148"/>
      <c r="BF148"/>
      <c r="BG148"/>
      <c r="BH148"/>
      <c r="BI148"/>
      <c r="BJ148"/>
      <c r="BK148"/>
      <c r="BL148"/>
      <c r="BM148"/>
      <c r="BN148"/>
      <c r="BO148"/>
      <c r="BP148"/>
      <c r="BQ148"/>
      <c r="BR148"/>
      <c r="BS148"/>
      <c r="BT148"/>
      <c r="BU148"/>
      <c r="BV148"/>
      <c r="BW148"/>
    </row>
    <row r="149" spans="1:75" ht="15.75">
      <c r="A149"/>
      <c r="B149"/>
      <c r="C149" t="s">
        <v>279</v>
      </c>
      <c r="D149"/>
      <c r="E149"/>
      <c r="F149"/>
      <c r="G149"/>
      <c r="H149"/>
      <c r="I149" s="99">
        <f>P104</f>
        <v>26640.394</v>
      </c>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s="129"/>
      <c r="AV149"/>
      <c r="AW149"/>
      <c r="AX149"/>
      <c r="AY149"/>
      <c r="AZ149" s="2"/>
      <c r="BA149"/>
      <c r="BB149"/>
      <c r="BC149"/>
      <c r="BD149"/>
      <c r="BE149"/>
      <c r="BF149"/>
      <c r="BG149"/>
      <c r="BH149"/>
      <c r="BI149"/>
      <c r="BJ149"/>
      <c r="BK149"/>
      <c r="BL149"/>
      <c r="BM149"/>
      <c r="BN149"/>
      <c r="BO149"/>
      <c r="BP149"/>
      <c r="BQ149"/>
      <c r="BR149"/>
      <c r="BS149"/>
      <c r="BT149"/>
      <c r="BU149"/>
      <c r="BV149"/>
      <c r="BW149"/>
    </row>
    <row r="150" spans="1:75" ht="15.75">
      <c r="A150"/>
      <c r="B150"/>
      <c r="C150"/>
      <c r="D150"/>
      <c r="E150"/>
      <c r="F150"/>
      <c r="G150" s="9" t="s">
        <v>280</v>
      </c>
      <c r="H150"/>
      <c r="I150" s="100">
        <f>I149/SUM(G137:G139)</f>
        <v>66.600985</v>
      </c>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s="129"/>
      <c r="AV150"/>
      <c r="AW150"/>
      <c r="AX150"/>
      <c r="AY150"/>
      <c r="AZ150" s="2"/>
      <c r="BA150"/>
      <c r="BB150"/>
      <c r="BC150"/>
      <c r="BD150"/>
      <c r="BE150"/>
      <c r="BF150"/>
      <c r="BG150"/>
      <c r="BH150"/>
      <c r="BI150"/>
      <c r="BJ150"/>
      <c r="BK150"/>
      <c r="BL150"/>
      <c r="BM150"/>
      <c r="BN150"/>
      <c r="BO150"/>
      <c r="BP150"/>
      <c r="BQ150"/>
      <c r="BR150"/>
      <c r="BS150"/>
      <c r="BT150"/>
      <c r="BU150"/>
      <c r="BV150"/>
      <c r="BW150"/>
    </row>
    <row r="151" spans="1:75" ht="15.75">
      <c r="A151"/>
      <c r="B151"/>
      <c r="C151"/>
      <c r="D151"/>
      <c r="E151"/>
      <c r="F151"/>
      <c r="G151" s="9"/>
      <c r="H151"/>
      <c r="I151" s="100"/>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s="129"/>
      <c r="AV151"/>
      <c r="AW151"/>
      <c r="AX151"/>
      <c r="AY151"/>
      <c r="AZ151" s="2"/>
      <c r="BA151"/>
      <c r="BB151"/>
      <c r="BC151"/>
      <c r="BD151"/>
      <c r="BE151"/>
      <c r="BF151"/>
      <c r="BG151"/>
      <c r="BH151"/>
      <c r="BI151"/>
      <c r="BJ151"/>
      <c r="BK151"/>
      <c r="BL151"/>
      <c r="BM151"/>
      <c r="BN151"/>
      <c r="BO151"/>
      <c r="BP151"/>
      <c r="BQ151"/>
      <c r="BR151"/>
      <c r="BS151"/>
      <c r="BT151"/>
      <c r="BU151"/>
      <c r="BV151"/>
      <c r="BW151"/>
    </row>
    <row r="152" spans="1:75" ht="15.75">
      <c r="A152"/>
      <c r="B152"/>
      <c r="C152"/>
      <c r="D152"/>
      <c r="E152"/>
      <c r="F152"/>
      <c r="G152" s="9" t="s">
        <v>281</v>
      </c>
      <c r="H152"/>
      <c r="I152" s="99">
        <f>I145+I149</f>
        <v>110136.85108333334</v>
      </c>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s="129"/>
      <c r="AV152"/>
      <c r="AW152"/>
      <c r="AX152"/>
      <c r="AY152"/>
      <c r="AZ152" s="2"/>
      <c r="BA152"/>
      <c r="BB152"/>
      <c r="BC152"/>
      <c r="BD152"/>
      <c r="BE152"/>
      <c r="BF152"/>
      <c r="BG152"/>
      <c r="BH152"/>
      <c r="BI152"/>
      <c r="BJ152"/>
      <c r="BK152"/>
      <c r="BL152"/>
      <c r="BM152"/>
      <c r="BN152"/>
      <c r="BO152"/>
      <c r="BP152"/>
      <c r="BQ152"/>
      <c r="BR152"/>
      <c r="BS152"/>
      <c r="BT152"/>
      <c r="BU152"/>
      <c r="BV152"/>
      <c r="BW152"/>
    </row>
    <row r="153" spans="1:75" ht="15.75">
      <c r="A153"/>
      <c r="B153"/>
      <c r="C153"/>
      <c r="D153"/>
      <c r="E153"/>
      <c r="F153"/>
      <c r="G153" s="9" t="s">
        <v>282</v>
      </c>
      <c r="H153"/>
      <c r="I153" s="100">
        <f>I147+I150</f>
        <v>275.34212770833335</v>
      </c>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s="129"/>
      <c r="AV153"/>
      <c r="AW153"/>
      <c r="AX153"/>
      <c r="AY153"/>
      <c r="AZ153" s="2"/>
      <c r="BA153"/>
      <c r="BB153"/>
      <c r="BC153"/>
      <c r="BD153"/>
      <c r="BE153"/>
      <c r="BF153"/>
      <c r="BG153"/>
      <c r="BH153"/>
      <c r="BI153"/>
      <c r="BJ153"/>
      <c r="BK153"/>
      <c r="BL153"/>
      <c r="BM153"/>
      <c r="BN153"/>
      <c r="BO153"/>
      <c r="BP153"/>
      <c r="BQ153"/>
      <c r="BR153"/>
      <c r="BS153"/>
      <c r="BT153"/>
      <c r="BU153"/>
      <c r="BV153"/>
      <c r="BW153"/>
    </row>
    <row r="154" spans="1:75" ht="15.75">
      <c r="A154"/>
      <c r="B154"/>
      <c r="C154"/>
      <c r="D154"/>
      <c r="E154"/>
      <c r="F154"/>
      <c r="G154"/>
      <c r="H154"/>
      <c r="I154" s="1"/>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s="129"/>
      <c r="AV154"/>
      <c r="AW154"/>
      <c r="AX154"/>
      <c r="AY154"/>
      <c r="AZ154" s="2"/>
      <c r="BA154"/>
      <c r="BB154"/>
      <c r="BC154"/>
      <c r="BD154"/>
      <c r="BE154"/>
      <c r="BF154"/>
      <c r="BG154"/>
      <c r="BH154"/>
      <c r="BI154"/>
      <c r="BJ154"/>
      <c r="BK154"/>
      <c r="BL154"/>
      <c r="BM154"/>
      <c r="BN154"/>
      <c r="BO154"/>
      <c r="BP154"/>
      <c r="BQ154"/>
      <c r="BR154"/>
      <c r="BS154"/>
      <c r="BT154"/>
      <c r="BU154"/>
      <c r="BV154"/>
      <c r="BW154"/>
    </row>
    <row r="155" spans="1:75" ht="15.75">
      <c r="A155"/>
      <c r="B155" s="596" t="s">
        <v>283</v>
      </c>
      <c r="C155" s="597"/>
      <c r="D155" s="597"/>
      <c r="E155" s="597"/>
      <c r="F155" s="597"/>
      <c r="G155" s="597"/>
      <c r="H155" s="597"/>
      <c r="I155" s="597"/>
      <c r="J155" s="598"/>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s="129"/>
      <c r="AV155"/>
      <c r="AW155"/>
      <c r="AX155"/>
      <c r="AY155"/>
      <c r="AZ155" s="2"/>
      <c r="BA155"/>
      <c r="BB155"/>
      <c r="BC155"/>
      <c r="BD155"/>
      <c r="BE155"/>
      <c r="BF155"/>
      <c r="BG155"/>
      <c r="BH155"/>
      <c r="BI155"/>
      <c r="BJ155"/>
      <c r="BK155"/>
      <c r="BL155"/>
      <c r="BM155"/>
      <c r="BN155"/>
      <c r="BO155"/>
      <c r="BP155"/>
      <c r="BQ155"/>
      <c r="BR155"/>
      <c r="BS155"/>
      <c r="BT155"/>
      <c r="BU155"/>
      <c r="BV155"/>
      <c r="BW155"/>
    </row>
    <row r="156" spans="1:75" ht="15.75">
      <c r="A156"/>
      <c r="B156"/>
      <c r="C156"/>
      <c r="D156"/>
      <c r="E156"/>
      <c r="F156"/>
      <c r="G156" t="s">
        <v>284</v>
      </c>
      <c r="H156"/>
      <c r="I156" t="s">
        <v>285</v>
      </c>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s="129"/>
      <c r="AV156"/>
      <c r="AW156"/>
      <c r="AX156"/>
      <c r="AY156"/>
      <c r="AZ156" s="2"/>
      <c r="BA156"/>
      <c r="BB156"/>
      <c r="BC156"/>
      <c r="BD156"/>
      <c r="BE156"/>
      <c r="BF156"/>
      <c r="BG156"/>
      <c r="BH156"/>
      <c r="BI156"/>
      <c r="BJ156"/>
      <c r="BK156"/>
      <c r="BL156"/>
      <c r="BM156"/>
      <c r="BN156"/>
      <c r="BO156"/>
      <c r="BP156"/>
      <c r="BQ156"/>
      <c r="BR156"/>
      <c r="BS156"/>
      <c r="BT156"/>
      <c r="BU156"/>
      <c r="BV156"/>
      <c r="BW156"/>
    </row>
    <row r="157" spans="1:75" ht="15.75">
      <c r="A157"/>
      <c r="B157"/>
      <c r="C157" t="s">
        <v>286</v>
      </c>
      <c r="D157"/>
      <c r="E157"/>
      <c r="F157"/>
      <c r="G157" s="155">
        <f>I129</f>
        <v>32000</v>
      </c>
      <c r="H157"/>
      <c r="I157" s="155">
        <f>I140+I143</f>
        <v>20000</v>
      </c>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s="129"/>
      <c r="AV157"/>
      <c r="AW157"/>
      <c r="AX157"/>
      <c r="AY157"/>
      <c r="AZ157" s="2"/>
      <c r="BA157"/>
      <c r="BB157"/>
      <c r="BC157"/>
      <c r="BD157"/>
      <c r="BE157"/>
      <c r="BF157"/>
      <c r="BG157"/>
      <c r="BH157"/>
      <c r="BI157"/>
      <c r="BJ157"/>
      <c r="BK157"/>
      <c r="BL157"/>
      <c r="BM157"/>
      <c r="BN157"/>
      <c r="BO157"/>
      <c r="BP157"/>
      <c r="BQ157"/>
      <c r="BR157"/>
      <c r="BS157"/>
      <c r="BT157"/>
      <c r="BU157"/>
      <c r="BV157"/>
      <c r="BW157"/>
    </row>
    <row r="158" spans="1:75" ht="15.75">
      <c r="A158"/>
      <c r="B158"/>
      <c r="C158" t="s">
        <v>287</v>
      </c>
      <c r="D158"/>
      <c r="E158"/>
      <c r="F158"/>
      <c r="G158" s="105"/>
      <c r="H158"/>
      <c r="I158" s="156">
        <f>I142</f>
        <v>13496.457083333333</v>
      </c>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s="129"/>
      <c r="AV158"/>
      <c r="AW158"/>
      <c r="AX158"/>
      <c r="AY158"/>
      <c r="AZ158" s="2"/>
      <c r="BA158"/>
      <c r="BB158"/>
      <c r="BC158"/>
      <c r="BD158"/>
      <c r="BE158"/>
      <c r="BF158"/>
      <c r="BG158"/>
      <c r="BH158"/>
      <c r="BI158"/>
      <c r="BJ158"/>
      <c r="BK158"/>
      <c r="BL158"/>
      <c r="BM158"/>
      <c r="BN158"/>
      <c r="BO158"/>
      <c r="BP158"/>
      <c r="BQ158"/>
      <c r="BR158"/>
      <c r="BS158"/>
      <c r="BT158"/>
      <c r="BU158"/>
      <c r="BV158"/>
      <c r="BW158"/>
    </row>
    <row r="159" spans="1:75" ht="15.75">
      <c r="A159"/>
      <c r="B159"/>
      <c r="C159" t="s">
        <v>288</v>
      </c>
      <c r="D159"/>
      <c r="E159"/>
      <c r="F159"/>
      <c r="G159" s="155">
        <f>SUM(G157:G158)</f>
        <v>32000</v>
      </c>
      <c r="H159"/>
      <c r="I159" s="155">
        <f>SUM(I157:I158)</f>
        <v>33496.457083333335</v>
      </c>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s="129"/>
      <c r="AV159"/>
      <c r="AW159"/>
      <c r="AX159"/>
      <c r="AY159"/>
      <c r="AZ159" s="2"/>
      <c r="BA159"/>
      <c r="BB159"/>
      <c r="BC159"/>
      <c r="BD159"/>
      <c r="BE159"/>
      <c r="BF159"/>
      <c r="BG159"/>
      <c r="BH159"/>
      <c r="BI159"/>
      <c r="BJ159"/>
      <c r="BK159"/>
      <c r="BL159"/>
      <c r="BM159"/>
      <c r="BN159"/>
      <c r="BO159"/>
      <c r="BP159"/>
      <c r="BQ159"/>
      <c r="BR159"/>
      <c r="BS159"/>
      <c r="BT159"/>
      <c r="BU159"/>
      <c r="BV159"/>
      <c r="BW159"/>
    </row>
    <row r="160" spans="1:75" ht="15.75">
      <c r="A160"/>
      <c r="B160"/>
      <c r="C160"/>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s="129"/>
      <c r="AV160"/>
      <c r="AW160"/>
      <c r="AX160"/>
      <c r="AY160"/>
      <c r="AZ160" s="2"/>
      <c r="BA160"/>
      <c r="BB160"/>
      <c r="BC160"/>
      <c r="BD160"/>
      <c r="BE160"/>
      <c r="BF160"/>
      <c r="BG160"/>
      <c r="BH160"/>
      <c r="BI160"/>
      <c r="BJ160"/>
      <c r="BK160"/>
      <c r="BL160"/>
      <c r="BM160"/>
      <c r="BN160"/>
      <c r="BO160"/>
      <c r="BP160"/>
      <c r="BQ160"/>
      <c r="BR160"/>
      <c r="BS160"/>
      <c r="BT160"/>
      <c r="BU160"/>
      <c r="BV160"/>
      <c r="BW160"/>
    </row>
    <row r="161" spans="1:75" ht="15.75">
      <c r="A161"/>
      <c r="B161"/>
      <c r="C161" s="160" t="s">
        <v>295</v>
      </c>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s="129"/>
      <c r="AV161"/>
      <c r="AW161"/>
      <c r="AX161"/>
      <c r="AY161"/>
      <c r="AZ161" s="2"/>
      <c r="BA161"/>
      <c r="BB161"/>
      <c r="BC161"/>
      <c r="BD161"/>
      <c r="BE161"/>
      <c r="BF161"/>
      <c r="BG161"/>
      <c r="BH161"/>
      <c r="BI161"/>
      <c r="BJ161"/>
      <c r="BK161"/>
      <c r="BL161"/>
      <c r="BM161"/>
      <c r="BN161"/>
      <c r="BO161"/>
      <c r="BP161"/>
      <c r="BQ161"/>
      <c r="BR161"/>
      <c r="BS161"/>
      <c r="BT161"/>
      <c r="BU161"/>
      <c r="BV161"/>
      <c r="BW161"/>
    </row>
    <row r="162" spans="1:75" ht="15.75">
      <c r="A162"/>
      <c r="B162"/>
      <c r="C162" t="s">
        <v>296</v>
      </c>
      <c r="D162"/>
      <c r="E162"/>
      <c r="F162"/>
      <c r="G162" s="156">
        <v>0</v>
      </c>
      <c r="H162"/>
      <c r="I162" s="156">
        <f>I152</f>
        <v>110136.85108333334</v>
      </c>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s="129"/>
      <c r="AV162"/>
      <c r="AW162"/>
      <c r="AX162"/>
      <c r="AY162"/>
      <c r="AZ162" s="2"/>
      <c r="BA162"/>
      <c r="BB162"/>
      <c r="BC162"/>
      <c r="BD162"/>
      <c r="BE162"/>
      <c r="BF162"/>
      <c r="BG162"/>
      <c r="BH162"/>
      <c r="BI162"/>
      <c r="BJ162"/>
      <c r="BK162"/>
      <c r="BL162"/>
      <c r="BM162"/>
      <c r="BN162"/>
      <c r="BO162"/>
      <c r="BP162"/>
      <c r="BQ162"/>
      <c r="BR162"/>
      <c r="BS162"/>
      <c r="BT162"/>
      <c r="BU162"/>
      <c r="BV162"/>
      <c r="BW162"/>
    </row>
    <row r="163" spans="1:75" ht="15.75">
      <c r="A163"/>
      <c r="B163"/>
      <c r="C163"/>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s="129"/>
      <c r="AV163"/>
      <c r="AW163"/>
      <c r="AX163"/>
      <c r="AY163"/>
      <c r="AZ163" s="2"/>
      <c r="BA163"/>
      <c r="BB163"/>
      <c r="BC163"/>
      <c r="BD163"/>
      <c r="BE163"/>
      <c r="BF163"/>
      <c r="BG163"/>
      <c r="BH163"/>
      <c r="BI163"/>
      <c r="BJ163"/>
      <c r="BK163"/>
      <c r="BL163"/>
      <c r="BM163"/>
      <c r="BN163"/>
      <c r="BO163"/>
      <c r="BP163"/>
      <c r="BQ163"/>
      <c r="BR163"/>
      <c r="BS163"/>
      <c r="BT163"/>
      <c r="BU163"/>
      <c r="BV163"/>
      <c r="BW163"/>
    </row>
    <row r="164" spans="1:75" ht="15.75">
      <c r="A164"/>
      <c r="B164"/>
      <c r="C164" t="s">
        <v>297</v>
      </c>
      <c r="D164"/>
      <c r="E164"/>
      <c r="F164"/>
      <c r="G164" s="155">
        <f>SUM(G159:G163)</f>
        <v>32000</v>
      </c>
      <c r="H164"/>
      <c r="I164" s="155">
        <f>SUM(I159:I163)</f>
        <v>143633.30816666668</v>
      </c>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s="129"/>
      <c r="AV164"/>
      <c r="AW164"/>
      <c r="AX164"/>
      <c r="AY164"/>
      <c r="AZ164" s="2"/>
      <c r="BA164"/>
      <c r="BB164"/>
      <c r="BC164"/>
      <c r="BD164"/>
      <c r="BE164"/>
      <c r="BF164"/>
      <c r="BG164"/>
      <c r="BH164"/>
      <c r="BI164"/>
      <c r="BJ164"/>
      <c r="BK164"/>
      <c r="BL164"/>
      <c r="BM164"/>
      <c r="BN164"/>
      <c r="BO164"/>
      <c r="BP164"/>
      <c r="BQ164"/>
      <c r="BR164"/>
      <c r="BS164"/>
      <c r="BT164"/>
      <c r="BU164"/>
      <c r="BV164"/>
      <c r="BW164"/>
    </row>
    <row r="165" spans="1:75" ht="15.75">
      <c r="A165"/>
      <c r="B165"/>
      <c r="C16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s="129"/>
      <c r="AV165"/>
      <c r="AW165"/>
      <c r="AX165"/>
      <c r="AY165"/>
      <c r="AZ165" s="2"/>
      <c r="BA165"/>
      <c r="BB165"/>
      <c r="BC165"/>
      <c r="BD165"/>
      <c r="BE165"/>
      <c r="BF165"/>
      <c r="BG165"/>
      <c r="BH165"/>
      <c r="BI165"/>
      <c r="BJ165"/>
      <c r="BK165"/>
      <c r="BL165"/>
      <c r="BM165"/>
      <c r="BN165"/>
      <c r="BO165"/>
      <c r="BP165"/>
      <c r="BQ165"/>
      <c r="BR165"/>
      <c r="BS165"/>
      <c r="BT165"/>
      <c r="BU165"/>
      <c r="BV165"/>
      <c r="BW165"/>
    </row>
    <row r="166" spans="1:75" ht="15.75">
      <c r="A166"/>
      <c r="B166"/>
      <c r="C166"/>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s="129"/>
      <c r="AV166"/>
      <c r="AW166"/>
      <c r="AX166"/>
      <c r="AY166"/>
      <c r="AZ166" s="2"/>
      <c r="BA166"/>
      <c r="BB166"/>
      <c r="BC166"/>
      <c r="BD166"/>
      <c r="BE166"/>
      <c r="BF166"/>
      <c r="BG166"/>
      <c r="BH166"/>
      <c r="BI166"/>
      <c r="BJ166"/>
      <c r="BK166"/>
      <c r="BL166"/>
      <c r="BM166"/>
      <c r="BN166"/>
      <c r="BO166"/>
      <c r="BP166"/>
      <c r="BQ166"/>
      <c r="BR166"/>
      <c r="BS166"/>
      <c r="BT166"/>
      <c r="BU166"/>
      <c r="BV166"/>
      <c r="BW166"/>
    </row>
    <row r="167" spans="1:75" ht="15.75">
      <c r="A167"/>
      <c r="B167"/>
      <c r="C167"/>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s="129"/>
      <c r="AV167"/>
      <c r="AW167"/>
      <c r="AX167"/>
      <c r="AY167"/>
      <c r="AZ167" s="2"/>
      <c r="BA167"/>
      <c r="BB167"/>
      <c r="BC167"/>
      <c r="BD167"/>
      <c r="BE167"/>
      <c r="BF167"/>
      <c r="BG167"/>
      <c r="BH167"/>
      <c r="BI167"/>
      <c r="BJ167"/>
      <c r="BK167"/>
      <c r="BL167"/>
      <c r="BM167"/>
      <c r="BN167"/>
      <c r="BO167"/>
      <c r="BP167"/>
      <c r="BQ167"/>
      <c r="BR167"/>
      <c r="BS167"/>
      <c r="BT167"/>
      <c r="BU167"/>
      <c r="BV167"/>
      <c r="BW167"/>
    </row>
    <row r="168" spans="1:75" ht="15.75">
      <c r="A168"/>
      <c r="B168"/>
      <c r="C168"/>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s="129"/>
      <c r="AV168"/>
      <c r="AW168"/>
      <c r="AX168"/>
      <c r="AY168"/>
      <c r="AZ168" s="2"/>
      <c r="BA168"/>
      <c r="BB168"/>
      <c r="BC168"/>
      <c r="BD168"/>
      <c r="BE168"/>
      <c r="BF168"/>
      <c r="BG168"/>
      <c r="BH168"/>
      <c r="BI168"/>
      <c r="BJ168"/>
      <c r="BK168"/>
      <c r="BL168"/>
      <c r="BM168"/>
      <c r="BN168"/>
      <c r="BO168"/>
      <c r="BP168"/>
      <c r="BQ168"/>
      <c r="BR168"/>
      <c r="BS168"/>
      <c r="BT168"/>
      <c r="BU168"/>
      <c r="BV168"/>
      <c r="BW168"/>
    </row>
    <row r="169" spans="1:75" ht="15.75">
      <c r="A169"/>
      <c r="B169"/>
      <c r="C169"/>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s="129"/>
      <c r="AV169"/>
      <c r="AW169"/>
      <c r="AX169"/>
      <c r="AY169"/>
      <c r="AZ169" s="2"/>
      <c r="BA169"/>
      <c r="BB169"/>
      <c r="BC169"/>
      <c r="BD169"/>
      <c r="BE169"/>
      <c r="BF169"/>
      <c r="BG169"/>
      <c r="BH169"/>
      <c r="BI169"/>
      <c r="BJ169"/>
      <c r="BK169"/>
      <c r="BL169"/>
      <c r="BM169"/>
      <c r="BN169"/>
      <c r="BO169"/>
      <c r="BP169"/>
      <c r="BQ169"/>
      <c r="BR169"/>
      <c r="BS169"/>
      <c r="BT169"/>
      <c r="BU169"/>
      <c r="BV169"/>
      <c r="BW169"/>
    </row>
    <row r="170" spans="1:75" ht="15.75">
      <c r="A170"/>
      <c r="B170"/>
      <c r="C170"/>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s="129"/>
      <c r="AV170"/>
      <c r="AW170"/>
      <c r="AX170"/>
      <c r="AY170"/>
      <c r="AZ170" s="2"/>
      <c r="BA170"/>
      <c r="BB170"/>
      <c r="BC170"/>
      <c r="BD170"/>
      <c r="BE170"/>
      <c r="BF170"/>
      <c r="BG170"/>
      <c r="BH170"/>
      <c r="BI170"/>
      <c r="BJ170"/>
      <c r="BK170"/>
      <c r="BL170"/>
      <c r="BM170"/>
      <c r="BN170"/>
      <c r="BO170"/>
      <c r="BP170"/>
      <c r="BQ170"/>
      <c r="BR170"/>
      <c r="BS170"/>
      <c r="BT170"/>
      <c r="BU170"/>
      <c r="BV170"/>
      <c r="BW170"/>
    </row>
    <row r="171" spans="1:75" ht="15.75">
      <c r="A171"/>
      <c r="B171"/>
      <c r="C171"/>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s="129"/>
      <c r="AV171"/>
      <c r="AW171"/>
      <c r="AX171"/>
      <c r="AY171"/>
      <c r="AZ171" s="2"/>
      <c r="BA171"/>
      <c r="BB171"/>
      <c r="BC171"/>
      <c r="BD171"/>
      <c r="BE171"/>
      <c r="BF171"/>
      <c r="BG171"/>
      <c r="BH171"/>
      <c r="BI171"/>
      <c r="BJ171"/>
      <c r="BK171"/>
      <c r="BL171"/>
      <c r="BM171"/>
      <c r="BN171"/>
      <c r="BO171"/>
      <c r="BP171"/>
      <c r="BQ171"/>
      <c r="BR171"/>
      <c r="BS171"/>
      <c r="BT171"/>
      <c r="BU171"/>
      <c r="BV171"/>
      <c r="BW171"/>
    </row>
    <row r="172" spans="1:75" ht="15.75">
      <c r="A172"/>
      <c r="B172"/>
      <c r="C172"/>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s="129"/>
      <c r="AV172"/>
      <c r="AW172"/>
      <c r="AX172"/>
      <c r="AY172"/>
      <c r="AZ172" s="2"/>
      <c r="BA172"/>
      <c r="BB172"/>
      <c r="BC172"/>
      <c r="BD172"/>
      <c r="BE172"/>
      <c r="BF172"/>
      <c r="BG172"/>
      <c r="BH172"/>
      <c r="BI172"/>
      <c r="BJ172"/>
      <c r="BK172"/>
      <c r="BL172"/>
      <c r="BM172"/>
      <c r="BN172"/>
      <c r="BO172"/>
      <c r="BP172"/>
      <c r="BQ172"/>
      <c r="BR172"/>
      <c r="BS172"/>
      <c r="BT172"/>
      <c r="BU172"/>
      <c r="BV172"/>
      <c r="BW172"/>
    </row>
    <row r="173" spans="1:75" ht="15.75">
      <c r="A173"/>
      <c r="B173"/>
      <c r="C173"/>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s="129"/>
      <c r="AV173"/>
      <c r="AW173"/>
      <c r="AX173"/>
      <c r="AY173"/>
      <c r="AZ173" s="2"/>
      <c r="BA173"/>
      <c r="BB173"/>
      <c r="BC173"/>
      <c r="BD173"/>
      <c r="BE173"/>
      <c r="BF173"/>
      <c r="BG173"/>
      <c r="BH173"/>
      <c r="BI173"/>
      <c r="BJ173"/>
      <c r="BK173"/>
      <c r="BL173"/>
      <c r="BM173"/>
      <c r="BN173"/>
      <c r="BO173"/>
      <c r="BP173"/>
      <c r="BQ173"/>
      <c r="BR173"/>
      <c r="BS173"/>
      <c r="BT173"/>
      <c r="BU173"/>
      <c r="BV173"/>
      <c r="BW173"/>
    </row>
    <row r="174" spans="1:75" ht="15.75">
      <c r="A174"/>
      <c r="B174"/>
      <c r="C174"/>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s="129"/>
      <c r="AV174"/>
      <c r="AW174"/>
      <c r="AX174"/>
      <c r="AY174"/>
      <c r="AZ174" s="2"/>
      <c r="BA174"/>
      <c r="BB174"/>
      <c r="BC174"/>
      <c r="BD174"/>
      <c r="BE174"/>
      <c r="BF174"/>
      <c r="BG174"/>
      <c r="BH174"/>
      <c r="BI174"/>
      <c r="BJ174"/>
      <c r="BK174"/>
      <c r="BL174"/>
      <c r="BM174"/>
      <c r="BN174"/>
      <c r="BO174"/>
      <c r="BP174"/>
      <c r="BQ174"/>
      <c r="BR174"/>
      <c r="BS174"/>
      <c r="BT174"/>
      <c r="BU174"/>
      <c r="BV174"/>
      <c r="BW174"/>
    </row>
    <row r="175" spans="1:27" ht="15.75">
      <c r="A175"/>
      <c r="B175"/>
      <c r="C175"/>
      <c r="D175"/>
      <c r="E175"/>
      <c r="F175"/>
      <c r="G175"/>
      <c r="H175"/>
      <c r="I175"/>
      <c r="J175"/>
      <c r="K175"/>
      <c r="L175"/>
      <c r="M175"/>
      <c r="N175"/>
      <c r="O175"/>
      <c r="P175"/>
      <c r="Q175"/>
      <c r="R175"/>
      <c r="S175"/>
      <c r="T175"/>
      <c r="U175"/>
      <c r="V175"/>
      <c r="W175"/>
      <c r="X175"/>
      <c r="Y175"/>
      <c r="Z175"/>
      <c r="AA175"/>
    </row>
    <row r="176" spans="1:27" ht="15.75">
      <c r="A176"/>
      <c r="B176"/>
      <c r="C176"/>
      <c r="D176"/>
      <c r="E176"/>
      <c r="F176"/>
      <c r="G176"/>
      <c r="H176"/>
      <c r="I176"/>
      <c r="J176"/>
      <c r="K176"/>
      <c r="L176"/>
      <c r="M176"/>
      <c r="N176"/>
      <c r="O176"/>
      <c r="P176"/>
      <c r="Q176"/>
      <c r="R176"/>
      <c r="S176"/>
      <c r="T176"/>
      <c r="U176"/>
      <c r="V176"/>
      <c r="W176"/>
      <c r="X176"/>
      <c r="Y176"/>
      <c r="Z176"/>
      <c r="AA176"/>
    </row>
    <row r="177" spans="1:27" ht="15.75">
      <c r="A177"/>
      <c r="B177"/>
      <c r="C177"/>
      <c r="D177"/>
      <c r="E177"/>
      <c r="F177"/>
      <c r="G177"/>
      <c r="H177"/>
      <c r="I177"/>
      <c r="J177"/>
      <c r="K177"/>
      <c r="L177"/>
      <c r="M177"/>
      <c r="N177"/>
      <c r="O177"/>
      <c r="P177"/>
      <c r="Q177"/>
      <c r="R177"/>
      <c r="S177"/>
      <c r="T177"/>
      <c r="U177"/>
      <c r="V177"/>
      <c r="W177"/>
      <c r="X177"/>
      <c r="Y177"/>
      <c r="Z177"/>
      <c r="AA177"/>
    </row>
    <row r="178" spans="1:27" ht="15.75">
      <c r="A178"/>
      <c r="B178"/>
      <c r="C178"/>
      <c r="D178"/>
      <c r="E178"/>
      <c r="F178"/>
      <c r="G178"/>
      <c r="H178"/>
      <c r="I178"/>
      <c r="J178"/>
      <c r="K178"/>
      <c r="L178"/>
      <c r="M178"/>
      <c r="N178"/>
      <c r="O178"/>
      <c r="P178"/>
      <c r="Q178"/>
      <c r="R178"/>
      <c r="S178"/>
      <c r="T178"/>
      <c r="U178"/>
      <c r="V178"/>
      <c r="W178"/>
      <c r="X178"/>
      <c r="Y178"/>
      <c r="Z178"/>
      <c r="AA178"/>
    </row>
    <row r="179" spans="1:27" ht="15.75">
      <c r="A179"/>
      <c r="B179"/>
      <c r="C179"/>
      <c r="D179"/>
      <c r="E179"/>
      <c r="F179"/>
      <c r="G179"/>
      <c r="H179"/>
      <c r="I179"/>
      <c r="J179"/>
      <c r="K179"/>
      <c r="L179"/>
      <c r="M179"/>
      <c r="N179"/>
      <c r="O179"/>
      <c r="P179"/>
      <c r="Q179"/>
      <c r="R179"/>
      <c r="S179"/>
      <c r="T179"/>
      <c r="U179"/>
      <c r="V179"/>
      <c r="W179"/>
      <c r="X179"/>
      <c r="Y179"/>
      <c r="Z179"/>
      <c r="AA179"/>
    </row>
    <row r="180" spans="1:27" ht="15.75">
      <c r="A180"/>
      <c r="B180"/>
      <c r="C180"/>
      <c r="D180"/>
      <c r="E180"/>
      <c r="F180"/>
      <c r="G180"/>
      <c r="H180"/>
      <c r="I180"/>
      <c r="J180"/>
      <c r="K180"/>
      <c r="L180"/>
      <c r="M180"/>
      <c r="N180"/>
      <c r="O180"/>
      <c r="P180"/>
      <c r="Q180"/>
      <c r="R180"/>
      <c r="S180"/>
      <c r="T180"/>
      <c r="U180"/>
      <c r="V180"/>
      <c r="W180"/>
      <c r="X180"/>
      <c r="Y180"/>
      <c r="Z180"/>
      <c r="AA180"/>
    </row>
    <row r="181" spans="1:27" ht="15.75">
      <c r="A181"/>
      <c r="B181"/>
      <c r="C181"/>
      <c r="D181"/>
      <c r="E181"/>
      <c r="F181"/>
      <c r="G181"/>
      <c r="H181"/>
      <c r="I181"/>
      <c r="J181"/>
      <c r="K181"/>
      <c r="L181"/>
      <c r="M181"/>
      <c r="N181"/>
      <c r="O181"/>
      <c r="P181"/>
      <c r="Q181"/>
      <c r="R181"/>
      <c r="S181"/>
      <c r="T181"/>
      <c r="U181"/>
      <c r="V181"/>
      <c r="W181"/>
      <c r="X181"/>
      <c r="Y181"/>
      <c r="Z181"/>
      <c r="AA181"/>
    </row>
    <row r="182" spans="1:27" ht="15.75">
      <c r="A182"/>
      <c r="B182"/>
      <c r="C182"/>
      <c r="D182"/>
      <c r="E182"/>
      <c r="F182"/>
      <c r="G182"/>
      <c r="H182"/>
      <c r="I182"/>
      <c r="J182"/>
      <c r="K182"/>
      <c r="L182"/>
      <c r="M182"/>
      <c r="N182"/>
      <c r="O182"/>
      <c r="P182"/>
      <c r="Q182"/>
      <c r="R182"/>
      <c r="S182"/>
      <c r="T182"/>
      <c r="U182"/>
      <c r="V182"/>
      <c r="W182"/>
      <c r="X182"/>
      <c r="Y182"/>
      <c r="Z182"/>
      <c r="AA182"/>
    </row>
    <row r="183" spans="1:27" ht="15.75">
      <c r="A183"/>
      <c r="B183"/>
      <c r="C183"/>
      <c r="D183"/>
      <c r="E183"/>
      <c r="F183"/>
      <c r="G183"/>
      <c r="H183"/>
      <c r="I183"/>
      <c r="J183"/>
      <c r="K183"/>
      <c r="L183"/>
      <c r="M183"/>
      <c r="N183"/>
      <c r="O183"/>
      <c r="P183"/>
      <c r="Q183"/>
      <c r="R183"/>
      <c r="S183"/>
      <c r="T183"/>
      <c r="U183"/>
      <c r="V183"/>
      <c r="W183"/>
      <c r="X183"/>
      <c r="Y183"/>
      <c r="Z183"/>
      <c r="AA183"/>
    </row>
    <row r="184" spans="1:27" ht="15.75">
      <c r="A184"/>
      <c r="B184"/>
      <c r="C184"/>
      <c r="D184"/>
      <c r="E184"/>
      <c r="F184"/>
      <c r="G184"/>
      <c r="H184"/>
      <c r="I184"/>
      <c r="J184"/>
      <c r="K184"/>
      <c r="L184"/>
      <c r="M184"/>
      <c r="N184"/>
      <c r="O184"/>
      <c r="P184"/>
      <c r="Q184"/>
      <c r="R184"/>
      <c r="S184"/>
      <c r="T184"/>
      <c r="U184"/>
      <c r="V184"/>
      <c r="W184"/>
      <c r="X184"/>
      <c r="Y184"/>
      <c r="Z184"/>
      <c r="AA184"/>
    </row>
    <row r="185" spans="1:27" ht="15.75">
      <c r="A185"/>
      <c r="B185"/>
      <c r="C185"/>
      <c r="D185"/>
      <c r="E185"/>
      <c r="F185"/>
      <c r="G185"/>
      <c r="H185"/>
      <c r="I185"/>
      <c r="J185"/>
      <c r="K185"/>
      <c r="L185"/>
      <c r="M185"/>
      <c r="N185"/>
      <c r="O185"/>
      <c r="P185"/>
      <c r="Q185"/>
      <c r="R185"/>
      <c r="S185"/>
      <c r="T185"/>
      <c r="U185"/>
      <c r="V185"/>
      <c r="W185"/>
      <c r="X185"/>
      <c r="Y185"/>
      <c r="Z185"/>
      <c r="AA185"/>
    </row>
    <row r="186" spans="1:27" ht="15.75">
      <c r="A186"/>
      <c r="B186"/>
      <c r="C186"/>
      <c r="D186"/>
      <c r="E186"/>
      <c r="F186"/>
      <c r="G186"/>
      <c r="H186"/>
      <c r="I186"/>
      <c r="J186"/>
      <c r="K186"/>
      <c r="L186"/>
      <c r="M186"/>
      <c r="N186"/>
      <c r="O186"/>
      <c r="P186"/>
      <c r="Q186"/>
      <c r="R186"/>
      <c r="S186"/>
      <c r="T186"/>
      <c r="U186"/>
      <c r="V186"/>
      <c r="W186"/>
      <c r="X186"/>
      <c r="Y186"/>
      <c r="Z186"/>
      <c r="AA186"/>
    </row>
    <row r="187" spans="1:27" ht="15.75">
      <c r="A187"/>
      <c r="B187"/>
      <c r="C187"/>
      <c r="D187"/>
      <c r="E187"/>
      <c r="F187"/>
      <c r="G187"/>
      <c r="H187"/>
      <c r="I187"/>
      <c r="J187"/>
      <c r="K187"/>
      <c r="L187"/>
      <c r="M187"/>
      <c r="N187"/>
      <c r="O187"/>
      <c r="P187"/>
      <c r="Q187"/>
      <c r="R187"/>
      <c r="S187"/>
      <c r="T187"/>
      <c r="U187"/>
      <c r="V187"/>
      <c r="W187"/>
      <c r="X187"/>
      <c r="Y187"/>
      <c r="Z187"/>
      <c r="AA187"/>
    </row>
    <row r="188" spans="1:27" ht="15.75">
      <c r="A188"/>
      <c r="B188"/>
      <c r="C188"/>
      <c r="D188"/>
      <c r="E188"/>
      <c r="F188"/>
      <c r="G188"/>
      <c r="H188"/>
      <c r="I188"/>
      <c r="J188"/>
      <c r="K188"/>
      <c r="L188"/>
      <c r="M188"/>
      <c r="N188"/>
      <c r="O188"/>
      <c r="P188"/>
      <c r="Q188"/>
      <c r="R188"/>
      <c r="S188"/>
      <c r="T188"/>
      <c r="U188"/>
      <c r="V188"/>
      <c r="W188"/>
      <c r="X188"/>
      <c r="Y188"/>
      <c r="Z188"/>
      <c r="AA188"/>
    </row>
    <row r="189" spans="1:27" ht="15.75">
      <c r="A189"/>
      <c r="B189"/>
      <c r="C189"/>
      <c r="D189"/>
      <c r="E189"/>
      <c r="F189"/>
      <c r="G189"/>
      <c r="H189"/>
      <c r="I189"/>
      <c r="J189"/>
      <c r="K189"/>
      <c r="L189"/>
      <c r="M189"/>
      <c r="N189"/>
      <c r="O189"/>
      <c r="P189"/>
      <c r="Q189"/>
      <c r="R189"/>
      <c r="S189"/>
      <c r="T189"/>
      <c r="U189"/>
      <c r="V189"/>
      <c r="W189"/>
      <c r="X189"/>
      <c r="Y189"/>
      <c r="Z189"/>
      <c r="AA189"/>
    </row>
    <row r="190" spans="1:27" ht="15.75">
      <c r="A190"/>
      <c r="B190"/>
      <c r="C190"/>
      <c r="D190"/>
      <c r="E190"/>
      <c r="F190"/>
      <c r="G190"/>
      <c r="H190"/>
      <c r="I190"/>
      <c r="J190"/>
      <c r="K190"/>
      <c r="L190"/>
      <c r="M190"/>
      <c r="N190"/>
      <c r="O190"/>
      <c r="P190"/>
      <c r="Q190"/>
      <c r="R190"/>
      <c r="S190"/>
      <c r="T190"/>
      <c r="U190"/>
      <c r="V190"/>
      <c r="W190"/>
      <c r="X190"/>
      <c r="Y190"/>
      <c r="Z190"/>
      <c r="AA190"/>
    </row>
    <row r="191" spans="1:27" ht="15.75">
      <c r="A191"/>
      <c r="B191"/>
      <c r="C191"/>
      <c r="D191"/>
      <c r="E191"/>
      <c r="F191"/>
      <c r="G191"/>
      <c r="H191"/>
      <c r="I191"/>
      <c r="J191"/>
      <c r="K191"/>
      <c r="L191"/>
      <c r="M191"/>
      <c r="N191"/>
      <c r="O191"/>
      <c r="P191"/>
      <c r="Q191"/>
      <c r="R191"/>
      <c r="S191"/>
      <c r="T191"/>
      <c r="U191"/>
      <c r="V191"/>
      <c r="W191"/>
      <c r="X191"/>
      <c r="Y191"/>
      <c r="Z191"/>
      <c r="AA191"/>
    </row>
    <row r="192" spans="1:27" ht="15.75">
      <c r="A192"/>
      <c r="B192"/>
      <c r="C192"/>
      <c r="D192"/>
      <c r="E192"/>
      <c r="F192"/>
      <c r="G192"/>
      <c r="H192"/>
      <c r="I192"/>
      <c r="J192"/>
      <c r="K192"/>
      <c r="L192"/>
      <c r="M192"/>
      <c r="N192"/>
      <c r="O192"/>
      <c r="P192"/>
      <c r="Q192"/>
      <c r="R192"/>
      <c r="S192"/>
      <c r="T192"/>
      <c r="U192"/>
      <c r="V192"/>
      <c r="W192"/>
      <c r="X192"/>
      <c r="Y192"/>
      <c r="Z192"/>
      <c r="AA192"/>
    </row>
    <row r="193" spans="1:27" ht="15.75">
      <c r="A193"/>
      <c r="B193"/>
      <c r="C193"/>
      <c r="D193"/>
      <c r="E193"/>
      <c r="F193"/>
      <c r="G193"/>
      <c r="H193"/>
      <c r="I193"/>
      <c r="J193"/>
      <c r="K193"/>
      <c r="L193"/>
      <c r="M193"/>
      <c r="N193"/>
      <c r="O193"/>
      <c r="P193"/>
      <c r="Q193"/>
      <c r="R193"/>
      <c r="S193"/>
      <c r="T193"/>
      <c r="U193"/>
      <c r="V193"/>
      <c r="W193"/>
      <c r="X193"/>
      <c r="Y193"/>
      <c r="Z193"/>
      <c r="AA193"/>
    </row>
    <row r="194" spans="1:27" ht="15.75">
      <c r="A194"/>
      <c r="B194"/>
      <c r="C194"/>
      <c r="D194"/>
      <c r="E194"/>
      <c r="F194"/>
      <c r="G194"/>
      <c r="H194"/>
      <c r="I194"/>
      <c r="J194"/>
      <c r="K194"/>
      <c r="L194"/>
      <c r="M194"/>
      <c r="N194"/>
      <c r="O194"/>
      <c r="P194"/>
      <c r="Q194"/>
      <c r="R194"/>
      <c r="S194"/>
      <c r="T194"/>
      <c r="U194"/>
      <c r="V194"/>
      <c r="W194"/>
      <c r="X194"/>
      <c r="Y194"/>
      <c r="Z194"/>
      <c r="AA194"/>
    </row>
    <row r="195" spans="1:27" ht="15.75">
      <c r="A195"/>
      <c r="B195"/>
      <c r="C195"/>
      <c r="D195"/>
      <c r="E195"/>
      <c r="F195"/>
      <c r="G195"/>
      <c r="H195"/>
      <c r="I195"/>
      <c r="J195"/>
      <c r="K195"/>
      <c r="L195"/>
      <c r="M195"/>
      <c r="N195"/>
      <c r="O195"/>
      <c r="P195"/>
      <c r="Q195"/>
      <c r="R195"/>
      <c r="S195"/>
      <c r="T195"/>
      <c r="U195"/>
      <c r="V195"/>
      <c r="W195"/>
      <c r="X195"/>
      <c r="Y195"/>
      <c r="Z195"/>
      <c r="AA195"/>
    </row>
    <row r="196" spans="1:27" ht="15.75">
      <c r="A196"/>
      <c r="B196"/>
      <c r="C196"/>
      <c r="D196"/>
      <c r="E196"/>
      <c r="F196"/>
      <c r="G196"/>
      <c r="H196"/>
      <c r="I196"/>
      <c r="J196"/>
      <c r="K196"/>
      <c r="L196"/>
      <c r="M196"/>
      <c r="N196"/>
      <c r="O196"/>
      <c r="P196"/>
      <c r="Q196"/>
      <c r="R196"/>
      <c r="S196"/>
      <c r="T196"/>
      <c r="U196"/>
      <c r="V196"/>
      <c r="W196"/>
      <c r="X196"/>
      <c r="Y196"/>
      <c r="Z196"/>
      <c r="AA196"/>
    </row>
    <row r="197" spans="1:27" ht="15.75">
      <c r="A197"/>
      <c r="B197"/>
      <c r="C197"/>
      <c r="D197"/>
      <c r="E197"/>
      <c r="F197"/>
      <c r="G197"/>
      <c r="H197"/>
      <c r="I197"/>
      <c r="J197"/>
      <c r="K197"/>
      <c r="L197"/>
      <c r="M197"/>
      <c r="N197"/>
      <c r="O197"/>
      <c r="P197"/>
      <c r="Q197"/>
      <c r="R197"/>
      <c r="S197"/>
      <c r="T197"/>
      <c r="U197"/>
      <c r="V197"/>
      <c r="W197"/>
      <c r="X197"/>
      <c r="Y197"/>
      <c r="Z197"/>
      <c r="AA197"/>
    </row>
  </sheetData>
  <sheetProtection formatCells="0" formatColumns="0" formatRows="0" sort="0" autoFilter="0"/>
  <mergeCells count="57">
    <mergeCell ref="BN19:BQ19"/>
    <mergeCell ref="P16:AA16"/>
    <mergeCell ref="P17:S17"/>
    <mergeCell ref="U17:V17"/>
    <mergeCell ref="W18:AA18"/>
    <mergeCell ref="BA19:BL19"/>
    <mergeCell ref="AV19:AY19"/>
    <mergeCell ref="BP20:BQ20"/>
    <mergeCell ref="BN20:BO20"/>
    <mergeCell ref="AV20:AW20"/>
    <mergeCell ref="AX20:AY20"/>
    <mergeCell ref="C38:D38"/>
    <mergeCell ref="C24:D24"/>
    <mergeCell ref="C25:D25"/>
    <mergeCell ref="G20:H20"/>
    <mergeCell ref="C28:D28"/>
    <mergeCell ref="C22:D22"/>
    <mergeCell ref="C26:D26"/>
    <mergeCell ref="C27:D27"/>
    <mergeCell ref="C30:D30"/>
    <mergeCell ref="C31:D31"/>
    <mergeCell ref="C32:D32"/>
    <mergeCell ref="C37:D37"/>
    <mergeCell ref="C34:D34"/>
    <mergeCell ref="C36:D36"/>
    <mergeCell ref="C33:D33"/>
    <mergeCell ref="C47:D47"/>
    <mergeCell ref="C48:D48"/>
    <mergeCell ref="C42:D42"/>
    <mergeCell ref="C44:D44"/>
    <mergeCell ref="C45:D45"/>
    <mergeCell ref="C39:D39"/>
    <mergeCell ref="C40:D40"/>
    <mergeCell ref="C41:D41"/>
    <mergeCell ref="C46:D46"/>
    <mergeCell ref="C54:D54"/>
    <mergeCell ref="C51:D51"/>
    <mergeCell ref="C52:D52"/>
    <mergeCell ref="C53:D53"/>
    <mergeCell ref="D139:E139"/>
    <mergeCell ref="B106:J106"/>
    <mergeCell ref="D110:E110"/>
    <mergeCell ref="D111:E111"/>
    <mergeCell ref="D112:E112"/>
    <mergeCell ref="B118:J118"/>
    <mergeCell ref="D123:E123"/>
    <mergeCell ref="D124:E124"/>
    <mergeCell ref="B155:J155"/>
    <mergeCell ref="AC18:AT18"/>
    <mergeCell ref="AC19:AQ19"/>
    <mergeCell ref="AR19:AT19"/>
    <mergeCell ref="D125:E125"/>
    <mergeCell ref="C49:D49"/>
    <mergeCell ref="C50:D50"/>
    <mergeCell ref="B132:J132"/>
    <mergeCell ref="D137:E137"/>
    <mergeCell ref="D138:E138"/>
  </mergeCells>
  <printOptions/>
  <pageMargins left="0.75" right="0.75" top="1" bottom="1" header="0.5" footer="0.5"/>
  <pageSetup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P47"/>
  <sheetViews>
    <sheetView showGridLines="0" tabSelected="1" zoomScalePageLayoutView="0" workbookViewId="0" topLeftCell="A1">
      <selection activeCell="D11" sqref="D11"/>
    </sheetView>
  </sheetViews>
  <sheetFormatPr defaultColWidth="9.140625" defaultRowHeight="12.75"/>
  <cols>
    <col min="1" max="1" width="6.8515625" style="0" customWidth="1"/>
  </cols>
  <sheetData>
    <row r="1" spans="1:16" ht="15.75">
      <c r="A1" s="138"/>
      <c r="B1" s="138"/>
      <c r="C1" s="138"/>
      <c r="D1" s="138"/>
      <c r="E1" s="138"/>
      <c r="F1" s="138"/>
      <c r="G1" s="138"/>
      <c r="H1" s="138"/>
      <c r="I1" s="138"/>
      <c r="J1" s="138"/>
      <c r="K1" s="138"/>
      <c r="L1" s="138"/>
      <c r="M1" s="138"/>
      <c r="N1" s="138"/>
      <c r="O1" s="138"/>
      <c r="P1" s="138"/>
    </row>
    <row r="2" spans="1:16" ht="15.75">
      <c r="A2" s="138"/>
      <c r="B2" s="160" t="s">
        <v>686</v>
      </c>
      <c r="C2" s="138"/>
      <c r="D2" s="138"/>
      <c r="E2" s="138"/>
      <c r="F2" s="138"/>
      <c r="G2" s="138"/>
      <c r="H2" s="138"/>
      <c r="I2" s="138"/>
      <c r="J2" s="138"/>
      <c r="K2" s="138"/>
      <c r="L2" s="138"/>
      <c r="M2" s="138"/>
      <c r="N2" s="138"/>
      <c r="O2" s="138"/>
      <c r="P2" s="138"/>
    </row>
    <row r="3" spans="1:16" ht="15.75">
      <c r="A3" s="138"/>
      <c r="B3" s="138" t="s">
        <v>649</v>
      </c>
      <c r="C3" s="138"/>
      <c r="D3" s="138"/>
      <c r="E3" s="138"/>
      <c r="F3" s="138"/>
      <c r="G3" s="138"/>
      <c r="H3" s="138"/>
      <c r="I3" s="138"/>
      <c r="J3" s="138"/>
      <c r="K3" s="138"/>
      <c r="L3" s="138"/>
      <c r="M3" s="138"/>
      <c r="N3" s="138"/>
      <c r="O3" s="138"/>
      <c r="P3" s="138"/>
    </row>
    <row r="4" spans="1:16" ht="15.75">
      <c r="A4" s="138"/>
      <c r="B4" s="138" t="s">
        <v>683</v>
      </c>
      <c r="C4" s="138"/>
      <c r="D4" s="138"/>
      <c r="E4" s="138"/>
      <c r="F4" s="138"/>
      <c r="G4" s="138"/>
      <c r="H4" s="138"/>
      <c r="I4" s="138"/>
      <c r="J4" s="138"/>
      <c r="K4" s="138"/>
      <c r="L4" s="138"/>
      <c r="M4" s="138"/>
      <c r="N4" s="138"/>
      <c r="O4" s="138"/>
      <c r="P4" s="138"/>
    </row>
    <row r="5" spans="1:16" ht="15.75">
      <c r="A5" s="138"/>
      <c r="B5" s="138" t="s">
        <v>677</v>
      </c>
      <c r="C5" s="138"/>
      <c r="D5" s="138"/>
      <c r="E5" s="138"/>
      <c r="F5" s="138"/>
      <c r="G5" s="138"/>
      <c r="H5" s="138"/>
      <c r="I5" s="138"/>
      <c r="J5" s="138"/>
      <c r="K5" s="138"/>
      <c r="L5" s="138"/>
      <c r="M5" s="138"/>
      <c r="N5" s="138"/>
      <c r="O5" s="138"/>
      <c r="P5" s="138"/>
    </row>
    <row r="6" spans="1:16" ht="15.75">
      <c r="A6" s="138"/>
      <c r="B6" s="138" t="s">
        <v>650</v>
      </c>
      <c r="C6" s="138"/>
      <c r="D6" s="138"/>
      <c r="E6" s="138"/>
      <c r="F6" s="138"/>
      <c r="G6" s="138"/>
      <c r="H6" s="138"/>
      <c r="I6" s="138"/>
      <c r="J6" s="138"/>
      <c r="K6" s="138"/>
      <c r="L6" s="138"/>
      <c r="M6" s="138"/>
      <c r="N6" s="138"/>
      <c r="O6" s="138"/>
      <c r="P6" s="138"/>
    </row>
    <row r="7" spans="1:16" ht="15.75">
      <c r="A7" s="138"/>
      <c r="B7" s="138" t="s">
        <v>651</v>
      </c>
      <c r="C7" s="138"/>
      <c r="D7" s="138"/>
      <c r="E7" s="138"/>
      <c r="F7" s="138"/>
      <c r="G7" s="138"/>
      <c r="H7" s="138"/>
      <c r="I7" s="138"/>
      <c r="J7" s="138"/>
      <c r="K7" s="138"/>
      <c r="L7" s="138"/>
      <c r="M7" s="138"/>
      <c r="N7" s="138"/>
      <c r="O7" s="138"/>
      <c r="P7" s="138"/>
    </row>
    <row r="8" spans="1:16" ht="15.75">
      <c r="A8" s="138"/>
      <c r="B8" s="138" t="s">
        <v>652</v>
      </c>
      <c r="C8" s="138"/>
      <c r="D8" s="138"/>
      <c r="E8" s="138"/>
      <c r="F8" s="138"/>
      <c r="G8" s="138"/>
      <c r="H8" s="138"/>
      <c r="I8" s="138"/>
      <c r="J8" s="138"/>
      <c r="K8" s="138"/>
      <c r="L8" s="138"/>
      <c r="M8" s="138"/>
      <c r="N8" s="138"/>
      <c r="O8" s="138"/>
      <c r="P8" s="138"/>
    </row>
    <row r="9" spans="1:16" ht="15.75">
      <c r="A9" s="138"/>
      <c r="B9" s="138" t="s">
        <v>653</v>
      </c>
      <c r="C9" s="138"/>
      <c r="D9" s="138"/>
      <c r="E9" s="138"/>
      <c r="F9" s="138"/>
      <c r="G9" s="138"/>
      <c r="H9" s="138"/>
      <c r="I9" s="138"/>
      <c r="J9" s="138"/>
      <c r="K9" s="138"/>
      <c r="L9" s="138"/>
      <c r="M9" s="138"/>
      <c r="N9" s="138"/>
      <c r="O9" s="138"/>
      <c r="P9" s="138"/>
    </row>
    <row r="10" spans="1:16" ht="15.75">
      <c r="A10" s="138"/>
      <c r="B10" s="138"/>
      <c r="C10" s="138"/>
      <c r="D10" s="138"/>
      <c r="E10" s="138"/>
      <c r="F10" s="138"/>
      <c r="G10" s="138"/>
      <c r="H10" s="138"/>
      <c r="I10" s="138"/>
      <c r="J10" s="138"/>
      <c r="K10" s="138"/>
      <c r="L10" s="138"/>
      <c r="M10" s="138"/>
      <c r="N10" s="138"/>
      <c r="O10" s="138"/>
      <c r="P10" s="138"/>
    </row>
    <row r="11" spans="1:16" ht="15.75">
      <c r="A11" s="138"/>
      <c r="B11" s="160" t="s">
        <v>654</v>
      </c>
      <c r="C11" s="138"/>
      <c r="D11" s="138"/>
      <c r="E11" s="138"/>
      <c r="F11" s="138"/>
      <c r="G11" s="138"/>
      <c r="H11" s="138"/>
      <c r="I11" s="138"/>
      <c r="J11" s="138"/>
      <c r="K11" s="138"/>
      <c r="L11" s="138"/>
      <c r="M11" s="138"/>
      <c r="N11" s="138"/>
      <c r="O11" s="138"/>
      <c r="P11" s="138"/>
    </row>
    <row r="12" spans="1:16" ht="15.75">
      <c r="A12" s="138"/>
      <c r="B12" s="138"/>
      <c r="C12" s="138" t="s">
        <v>655</v>
      </c>
      <c r="D12" s="138"/>
      <c r="E12" s="138"/>
      <c r="F12" s="138"/>
      <c r="G12" s="138"/>
      <c r="H12" s="138"/>
      <c r="I12" s="138"/>
      <c r="J12" s="138"/>
      <c r="K12" s="138"/>
      <c r="L12" s="138"/>
      <c r="M12" s="138"/>
      <c r="N12" s="138"/>
      <c r="O12" s="138"/>
      <c r="P12" s="138"/>
    </row>
    <row r="13" spans="1:16" ht="15.75">
      <c r="A13" s="138"/>
      <c r="B13" s="138"/>
      <c r="C13" s="138"/>
      <c r="D13" s="138" t="s">
        <v>657</v>
      </c>
      <c r="E13" s="138"/>
      <c r="F13" s="138"/>
      <c r="G13" s="138"/>
      <c r="H13" s="138"/>
      <c r="I13" s="138"/>
      <c r="J13" s="138"/>
      <c r="K13" s="138"/>
      <c r="L13" s="138"/>
      <c r="M13" s="138"/>
      <c r="N13" s="138"/>
      <c r="O13" s="138"/>
      <c r="P13" s="138"/>
    </row>
    <row r="14" spans="1:16" ht="15.75">
      <c r="A14" s="138"/>
      <c r="B14" s="138"/>
      <c r="C14" s="138" t="s">
        <v>688</v>
      </c>
      <c r="D14" s="138"/>
      <c r="E14" s="138"/>
      <c r="F14" s="138"/>
      <c r="G14" s="138"/>
      <c r="H14" s="138"/>
      <c r="I14" s="138"/>
      <c r="J14" s="138"/>
      <c r="K14" s="138"/>
      <c r="L14" s="138"/>
      <c r="M14" s="138"/>
      <c r="N14" s="138"/>
      <c r="O14" s="138"/>
      <c r="P14" s="138"/>
    </row>
    <row r="15" spans="1:16" ht="15.75">
      <c r="A15" s="138"/>
      <c r="B15" s="138"/>
      <c r="C15" s="138" t="s">
        <v>656</v>
      </c>
      <c r="D15" s="138"/>
      <c r="E15" s="138"/>
      <c r="F15" s="138"/>
      <c r="G15" s="138"/>
      <c r="H15" s="138"/>
      <c r="I15" s="138"/>
      <c r="J15" s="138"/>
      <c r="K15" s="138"/>
      <c r="L15" s="138"/>
      <c r="M15" s="138"/>
      <c r="N15" s="138"/>
      <c r="O15" s="138"/>
      <c r="P15" s="138"/>
    </row>
    <row r="16" spans="1:16" ht="15.75">
      <c r="A16" s="138"/>
      <c r="B16" s="138"/>
      <c r="C16" s="138"/>
      <c r="D16" s="138" t="s">
        <v>658</v>
      </c>
      <c r="E16" s="138"/>
      <c r="F16" s="138"/>
      <c r="G16" s="138"/>
      <c r="H16" s="138"/>
      <c r="I16" s="138"/>
      <c r="J16" s="138"/>
      <c r="K16" s="138"/>
      <c r="L16" s="138"/>
      <c r="M16" s="138"/>
      <c r="N16" s="138"/>
      <c r="O16" s="138"/>
      <c r="P16" s="138"/>
    </row>
    <row r="17" spans="1:16" ht="15.75">
      <c r="A17" s="138"/>
      <c r="B17" s="138"/>
      <c r="C17" s="138"/>
      <c r="D17" s="138" t="s">
        <v>689</v>
      </c>
      <c r="E17" s="138"/>
      <c r="F17" s="138"/>
      <c r="G17" s="138"/>
      <c r="H17" s="138"/>
      <c r="I17" s="138"/>
      <c r="J17" s="138"/>
      <c r="K17" s="138"/>
      <c r="L17" s="138"/>
      <c r="M17" s="138"/>
      <c r="N17" s="138"/>
      <c r="O17" s="138"/>
      <c r="P17" s="138"/>
    </row>
    <row r="18" spans="1:16" ht="15.75">
      <c r="A18" s="138"/>
      <c r="B18" s="138"/>
      <c r="C18" s="138" t="s">
        <v>659</v>
      </c>
      <c r="D18" s="138"/>
      <c r="E18" s="138"/>
      <c r="F18" s="138"/>
      <c r="G18" s="138"/>
      <c r="H18" s="138"/>
      <c r="I18" s="138"/>
      <c r="J18" s="138"/>
      <c r="K18" s="138"/>
      <c r="L18" s="138"/>
      <c r="M18" s="138"/>
      <c r="N18" s="138"/>
      <c r="O18" s="138"/>
      <c r="P18" s="138"/>
    </row>
    <row r="19" spans="1:16" ht="15.75">
      <c r="A19" s="138"/>
      <c r="B19" s="138"/>
      <c r="C19" s="138" t="s">
        <v>662</v>
      </c>
      <c r="D19" s="138"/>
      <c r="E19" s="138"/>
      <c r="F19" s="138"/>
      <c r="G19" s="138"/>
      <c r="H19" s="138"/>
      <c r="I19" s="138"/>
      <c r="J19" s="138"/>
      <c r="K19" s="138"/>
      <c r="L19" s="138"/>
      <c r="M19" s="138"/>
      <c r="N19" s="138"/>
      <c r="O19" s="138"/>
      <c r="P19" s="138"/>
    </row>
    <row r="20" spans="1:16" ht="15.75">
      <c r="A20" s="138"/>
      <c r="B20" s="138"/>
      <c r="C20" s="138"/>
      <c r="D20" s="138" t="s">
        <v>663</v>
      </c>
      <c r="E20" s="138"/>
      <c r="F20" s="138"/>
      <c r="G20" s="138"/>
      <c r="H20" s="138"/>
      <c r="I20" s="138"/>
      <c r="J20" s="138"/>
      <c r="K20" s="138"/>
      <c r="L20" s="138"/>
      <c r="M20" s="138"/>
      <c r="N20" s="138"/>
      <c r="O20" s="138"/>
      <c r="P20" s="138"/>
    </row>
    <row r="21" spans="1:16" ht="15.75">
      <c r="A21" s="138"/>
      <c r="B21" s="138"/>
      <c r="C21" s="138"/>
      <c r="D21" s="138" t="s">
        <v>664</v>
      </c>
      <c r="E21" s="138"/>
      <c r="F21" s="138"/>
      <c r="G21" s="138"/>
      <c r="H21" s="138"/>
      <c r="I21" s="138"/>
      <c r="J21" s="138"/>
      <c r="K21" s="138"/>
      <c r="L21" s="138"/>
      <c r="M21" s="138"/>
      <c r="N21" s="138"/>
      <c r="O21" s="138"/>
      <c r="P21" s="138"/>
    </row>
    <row r="22" spans="1:16" ht="15.75">
      <c r="A22" s="138"/>
      <c r="B22" s="160" t="s">
        <v>660</v>
      </c>
      <c r="C22" s="138"/>
      <c r="D22" s="138"/>
      <c r="E22" s="138"/>
      <c r="F22" s="138"/>
      <c r="G22" s="138"/>
      <c r="H22" s="138"/>
      <c r="I22" s="138"/>
      <c r="J22" s="138"/>
      <c r="K22" s="138"/>
      <c r="L22" s="138"/>
      <c r="M22" s="138"/>
      <c r="N22" s="138"/>
      <c r="O22" s="138"/>
      <c r="P22" s="138"/>
    </row>
    <row r="23" spans="1:16" ht="15.75">
      <c r="A23" s="138"/>
      <c r="B23" s="138"/>
      <c r="C23" s="138" t="s">
        <v>665</v>
      </c>
      <c r="D23" s="138"/>
      <c r="E23" s="138"/>
      <c r="F23" s="138"/>
      <c r="G23" s="138"/>
      <c r="H23" s="138"/>
      <c r="I23" s="138"/>
      <c r="J23" s="138"/>
      <c r="K23" s="138"/>
      <c r="L23" s="138"/>
      <c r="M23" s="138"/>
      <c r="N23" s="138"/>
      <c r="O23" s="138"/>
      <c r="P23" s="138"/>
    </row>
    <row r="24" spans="1:16" ht="15.75">
      <c r="A24" s="138"/>
      <c r="B24" s="138"/>
      <c r="C24" s="138"/>
      <c r="D24" s="138" t="s">
        <v>666</v>
      </c>
      <c r="E24" s="138"/>
      <c r="F24" s="138"/>
      <c r="G24" s="138"/>
      <c r="H24" s="138"/>
      <c r="I24" s="138"/>
      <c r="J24" s="138"/>
      <c r="K24" s="138"/>
      <c r="L24" s="138"/>
      <c r="M24" s="138"/>
      <c r="N24" s="138"/>
      <c r="O24" s="138"/>
      <c r="P24" s="138"/>
    </row>
    <row r="25" spans="1:16" ht="15.75">
      <c r="A25" s="138"/>
      <c r="B25" s="160" t="s">
        <v>661</v>
      </c>
      <c r="C25" s="138"/>
      <c r="D25" s="138"/>
      <c r="E25" s="138"/>
      <c r="F25" s="138"/>
      <c r="G25" s="138"/>
      <c r="H25" s="138"/>
      <c r="I25" s="138"/>
      <c r="J25" s="138"/>
      <c r="K25" s="138"/>
      <c r="L25" s="138"/>
      <c r="M25" s="138"/>
      <c r="N25" s="138"/>
      <c r="O25" s="138"/>
      <c r="P25" s="138"/>
    </row>
    <row r="26" spans="1:16" ht="15.75">
      <c r="A26" s="138"/>
      <c r="B26" s="138"/>
      <c r="C26" s="138" t="s">
        <v>667</v>
      </c>
      <c r="D26" s="138"/>
      <c r="E26" s="138"/>
      <c r="F26" s="138"/>
      <c r="G26" s="138"/>
      <c r="H26" s="138"/>
      <c r="I26" s="138"/>
      <c r="J26" s="138"/>
      <c r="K26" s="138"/>
      <c r="L26" s="138"/>
      <c r="M26" s="138"/>
      <c r="N26" s="138"/>
      <c r="O26" s="138"/>
      <c r="P26" s="138"/>
    </row>
    <row r="27" spans="1:16" ht="15.75">
      <c r="A27" s="138"/>
      <c r="B27" s="138"/>
      <c r="C27" s="138" t="s">
        <v>668</v>
      </c>
      <c r="D27" s="138"/>
      <c r="E27" s="138"/>
      <c r="F27" s="138"/>
      <c r="G27" s="138"/>
      <c r="H27" s="138"/>
      <c r="I27" s="138"/>
      <c r="J27" s="138"/>
      <c r="K27" s="138"/>
      <c r="L27" s="138"/>
      <c r="M27" s="138"/>
      <c r="N27" s="138"/>
      <c r="O27" s="138"/>
      <c r="P27" s="138"/>
    </row>
    <row r="28" spans="1:16" ht="15.75">
      <c r="A28" s="138"/>
      <c r="B28" s="138"/>
      <c r="C28" s="138" t="s">
        <v>669</v>
      </c>
      <c r="D28" s="138"/>
      <c r="E28" s="138"/>
      <c r="F28" s="138"/>
      <c r="G28" s="138"/>
      <c r="H28" s="138"/>
      <c r="I28" s="138"/>
      <c r="J28" s="138"/>
      <c r="K28" s="138"/>
      <c r="L28" s="138"/>
      <c r="M28" s="138"/>
      <c r="N28" s="138"/>
      <c r="O28" s="138"/>
      <c r="P28" s="138"/>
    </row>
    <row r="29" spans="1:16" ht="15.75">
      <c r="A29" s="138"/>
      <c r="B29" s="138"/>
      <c r="C29" s="138" t="s">
        <v>670</v>
      </c>
      <c r="D29" s="138"/>
      <c r="E29" s="138"/>
      <c r="F29" s="138"/>
      <c r="G29" s="138"/>
      <c r="H29" s="138"/>
      <c r="I29" s="138"/>
      <c r="J29" s="138"/>
      <c r="K29" s="138"/>
      <c r="L29" s="138"/>
      <c r="M29" s="138"/>
      <c r="N29" s="138"/>
      <c r="O29" s="138"/>
      <c r="P29" s="138"/>
    </row>
    <row r="30" spans="1:16" ht="15.75">
      <c r="A30" s="138"/>
      <c r="B30" s="138"/>
      <c r="C30" s="138" t="s">
        <v>671</v>
      </c>
      <c r="D30" s="138"/>
      <c r="E30" s="138"/>
      <c r="F30" s="138"/>
      <c r="G30" s="138"/>
      <c r="H30" s="138"/>
      <c r="I30" s="138"/>
      <c r="J30" s="138"/>
      <c r="K30" s="138"/>
      <c r="L30" s="138"/>
      <c r="M30" s="138"/>
      <c r="N30" s="138"/>
      <c r="O30" s="138"/>
      <c r="P30" s="138"/>
    </row>
    <row r="31" spans="1:16" ht="15.75">
      <c r="A31" s="138"/>
      <c r="B31" s="138"/>
      <c r="C31" s="138" t="s">
        <v>672</v>
      </c>
      <c r="D31" s="138"/>
      <c r="E31" s="138"/>
      <c r="F31" s="138"/>
      <c r="G31" s="138"/>
      <c r="H31" s="138"/>
      <c r="I31" s="138"/>
      <c r="J31" s="138"/>
      <c r="K31" s="138"/>
      <c r="L31" s="138"/>
      <c r="M31" s="138"/>
      <c r="N31" s="138"/>
      <c r="O31" s="138"/>
      <c r="P31" s="138"/>
    </row>
    <row r="32" spans="1:16" ht="15.75">
      <c r="A32" s="138"/>
      <c r="B32" s="138"/>
      <c r="C32" s="138"/>
      <c r="D32" s="138"/>
      <c r="E32" s="138"/>
      <c r="F32" s="138"/>
      <c r="G32" s="138"/>
      <c r="H32" s="138"/>
      <c r="I32" s="138"/>
      <c r="J32" s="138"/>
      <c r="K32" s="138"/>
      <c r="L32" s="138"/>
      <c r="M32" s="138"/>
      <c r="N32" s="138"/>
      <c r="O32" s="138"/>
      <c r="P32" s="138"/>
    </row>
    <row r="33" spans="1:16" ht="15.75">
      <c r="A33" s="138"/>
      <c r="B33" s="138" t="s">
        <v>678</v>
      </c>
      <c r="C33" s="138"/>
      <c r="D33" s="138"/>
      <c r="E33" s="138"/>
      <c r="F33" s="138"/>
      <c r="G33" s="138"/>
      <c r="H33" s="138"/>
      <c r="I33" s="138"/>
      <c r="J33" s="138"/>
      <c r="K33" s="138"/>
      <c r="L33" s="138"/>
      <c r="M33" s="138"/>
      <c r="N33" s="138"/>
      <c r="O33" s="138"/>
      <c r="P33" s="138"/>
    </row>
    <row r="34" spans="1:16" ht="15.75">
      <c r="A34" s="138"/>
      <c r="B34" s="138" t="s">
        <v>679</v>
      </c>
      <c r="C34" s="138"/>
      <c r="D34" s="138"/>
      <c r="E34" s="138"/>
      <c r="F34" s="138"/>
      <c r="G34" s="138"/>
      <c r="H34" s="138"/>
      <c r="I34" s="138"/>
      <c r="J34" s="138"/>
      <c r="K34" s="138"/>
      <c r="L34" s="138"/>
      <c r="M34" s="138"/>
      <c r="N34" s="138"/>
      <c r="O34" s="138"/>
      <c r="P34" s="138"/>
    </row>
    <row r="35" spans="1:16" ht="15.75">
      <c r="A35" s="138"/>
      <c r="B35" s="138" t="s">
        <v>684</v>
      </c>
      <c r="C35" s="138"/>
      <c r="D35" s="138"/>
      <c r="E35" s="138"/>
      <c r="F35" s="138"/>
      <c r="G35" s="138"/>
      <c r="H35" s="138"/>
      <c r="I35" s="138"/>
      <c r="J35" s="138"/>
      <c r="K35" s="138"/>
      <c r="L35" s="138"/>
      <c r="M35" s="138"/>
      <c r="N35" s="138"/>
      <c r="O35" s="138"/>
      <c r="P35" s="138"/>
    </row>
    <row r="36" spans="1:16" ht="15.75">
      <c r="A36" s="138"/>
      <c r="B36" s="138" t="s">
        <v>680</v>
      </c>
      <c r="C36" s="138"/>
      <c r="D36" s="138"/>
      <c r="E36" s="138"/>
      <c r="F36" s="138"/>
      <c r="G36" s="138"/>
      <c r="H36" s="138"/>
      <c r="I36" s="138"/>
      <c r="J36" s="138"/>
      <c r="K36" s="138"/>
      <c r="L36" s="138"/>
      <c r="M36" s="138"/>
      <c r="N36" s="138"/>
      <c r="O36" s="138"/>
      <c r="P36" s="138"/>
    </row>
    <row r="37" spans="1:16" ht="15.75">
      <c r="A37" s="138"/>
      <c r="B37" s="138"/>
      <c r="C37" s="138"/>
      <c r="D37" s="138"/>
      <c r="E37" s="138"/>
      <c r="F37" s="138"/>
      <c r="G37" s="138"/>
      <c r="H37" s="138"/>
      <c r="I37" s="138"/>
      <c r="J37" s="138"/>
      <c r="K37" s="138"/>
      <c r="L37" s="138"/>
      <c r="M37" s="138"/>
      <c r="N37" s="138"/>
      <c r="O37" s="138"/>
      <c r="P37" s="138"/>
    </row>
    <row r="38" spans="1:16" ht="15.75">
      <c r="A38" s="138"/>
      <c r="B38" s="138" t="s">
        <v>673</v>
      </c>
      <c r="C38" s="138"/>
      <c r="D38" s="138"/>
      <c r="E38" s="138"/>
      <c r="F38" s="138"/>
      <c r="G38" s="138"/>
      <c r="H38" s="138"/>
      <c r="I38" s="138"/>
      <c r="J38" s="138"/>
      <c r="K38" s="138"/>
      <c r="L38" s="138"/>
      <c r="M38" s="138"/>
      <c r="N38" s="138"/>
      <c r="O38" s="138"/>
      <c r="P38" s="138"/>
    </row>
    <row r="39" spans="1:16" ht="15.75">
      <c r="A39" s="138"/>
      <c r="B39" s="138" t="s">
        <v>674</v>
      </c>
      <c r="C39" s="138"/>
      <c r="D39" s="138"/>
      <c r="E39" s="138"/>
      <c r="F39" s="138"/>
      <c r="G39" s="138"/>
      <c r="H39" s="138"/>
      <c r="I39" s="138"/>
      <c r="J39" s="138"/>
      <c r="K39" s="138"/>
      <c r="L39" s="138"/>
      <c r="M39" s="138"/>
      <c r="N39" s="138"/>
      <c r="O39" s="138"/>
      <c r="P39" s="138"/>
    </row>
    <row r="40" spans="1:16" ht="15.75">
      <c r="A40" s="138"/>
      <c r="B40" s="138" t="s">
        <v>675</v>
      </c>
      <c r="C40" s="138"/>
      <c r="D40" s="138"/>
      <c r="E40" s="138"/>
      <c r="F40" s="138"/>
      <c r="G40" s="138"/>
      <c r="H40" s="138"/>
      <c r="I40" s="138"/>
      <c r="J40" s="138"/>
      <c r="K40" s="138"/>
      <c r="L40" s="138"/>
      <c r="M40" s="138"/>
      <c r="N40" s="138"/>
      <c r="O40" s="138"/>
      <c r="P40" s="138"/>
    </row>
    <row r="41" spans="1:16" ht="15.75">
      <c r="A41" s="138"/>
      <c r="B41" s="138" t="s">
        <v>676</v>
      </c>
      <c r="C41" s="138"/>
      <c r="D41" s="138"/>
      <c r="E41" s="138"/>
      <c r="F41" s="138"/>
      <c r="G41" s="138"/>
      <c r="H41" s="138"/>
      <c r="I41" s="138"/>
      <c r="J41" s="138"/>
      <c r="K41" s="138"/>
      <c r="L41" s="138"/>
      <c r="M41" s="138"/>
      <c r="N41" s="138"/>
      <c r="O41" s="138"/>
      <c r="P41" s="138"/>
    </row>
    <row r="42" spans="1:16" ht="15.75">
      <c r="A42" s="138"/>
      <c r="B42" s="138"/>
      <c r="C42" s="138"/>
      <c r="D42" s="138"/>
      <c r="E42" s="138"/>
      <c r="F42" s="138"/>
      <c r="G42" s="138"/>
      <c r="H42" s="138"/>
      <c r="I42" s="138"/>
      <c r="J42" s="138"/>
      <c r="K42" s="138"/>
      <c r="L42" s="138"/>
      <c r="M42" s="138"/>
      <c r="N42" s="138"/>
      <c r="O42" s="138"/>
      <c r="P42" s="138"/>
    </row>
    <row r="43" spans="1:16" ht="15.75">
      <c r="A43" s="138"/>
      <c r="B43" s="591" t="s">
        <v>685</v>
      </c>
      <c r="C43" s="591"/>
      <c r="D43" s="591"/>
      <c r="E43" s="591"/>
      <c r="F43" s="591"/>
      <c r="G43" s="591"/>
      <c r="H43" s="591"/>
      <c r="I43" s="591"/>
      <c r="J43" s="591"/>
      <c r="K43" s="591"/>
      <c r="L43" s="138"/>
      <c r="M43" s="138"/>
      <c r="N43" s="138"/>
      <c r="O43" s="138"/>
      <c r="P43" s="138"/>
    </row>
    <row r="44" spans="1:16" ht="15.75">
      <c r="A44" s="138"/>
      <c r="B44" s="591"/>
      <c r="C44" s="591" t="s">
        <v>682</v>
      </c>
      <c r="D44" s="591"/>
      <c r="E44" s="591"/>
      <c r="F44" s="591"/>
      <c r="G44" s="591"/>
      <c r="H44" s="591"/>
      <c r="I44" s="591"/>
      <c r="J44" s="591"/>
      <c r="K44" s="591"/>
      <c r="L44" s="138"/>
      <c r="M44" s="138"/>
      <c r="N44" s="138"/>
      <c r="O44" s="138"/>
      <c r="P44" s="138"/>
    </row>
    <row r="45" spans="1:16" ht="19.5">
      <c r="A45" s="138"/>
      <c r="B45" s="591"/>
      <c r="C45" s="630" t="s">
        <v>681</v>
      </c>
      <c r="D45" s="630"/>
      <c r="E45" s="630"/>
      <c r="F45" s="630"/>
      <c r="G45" s="630"/>
      <c r="H45" s="630"/>
      <c r="I45" s="630"/>
      <c r="J45" s="630"/>
      <c r="K45" s="630"/>
      <c r="L45" s="138"/>
      <c r="M45" s="138"/>
      <c r="N45" s="138"/>
      <c r="O45" s="138"/>
      <c r="P45" s="138"/>
    </row>
    <row r="46" spans="1:16" ht="15.75">
      <c r="A46" s="138"/>
      <c r="B46" s="591"/>
      <c r="C46" s="591"/>
      <c r="D46" s="591"/>
      <c r="E46" s="591"/>
      <c r="F46" s="591"/>
      <c r="G46" s="591"/>
      <c r="H46" s="591"/>
      <c r="I46" s="591"/>
      <c r="J46" s="591"/>
      <c r="K46" s="591"/>
      <c r="L46" s="138"/>
      <c r="M46" s="138"/>
      <c r="N46" s="138"/>
      <c r="O46" s="138"/>
      <c r="P46" s="138"/>
    </row>
    <row r="47" spans="1:16" ht="15.75">
      <c r="A47" s="138"/>
      <c r="B47" s="138"/>
      <c r="C47" s="138"/>
      <c r="D47" s="138"/>
      <c r="E47" s="138"/>
      <c r="F47" s="138"/>
      <c r="G47" s="138"/>
      <c r="H47" s="138"/>
      <c r="I47" s="138"/>
      <c r="J47" s="138"/>
      <c r="K47" s="138"/>
      <c r="L47" s="138"/>
      <c r="M47" s="138"/>
      <c r="N47" s="138"/>
      <c r="O47" s="138"/>
      <c r="P47" s="138"/>
    </row>
  </sheetData>
  <sheetProtection sheet="1" objects="1" scenarios="1" formatCells="0" formatColumns="0" formatRows="0"/>
  <mergeCells count="1">
    <mergeCell ref="C45:K45"/>
  </mergeCells>
  <hyperlinks>
    <hyperlink ref="C45" r:id="rId1" display="http://www.montana.edu/extensionecon/softwaredownloads.html "/>
  </hyperlinks>
  <printOptions/>
  <pageMargins left="0.33" right="0.36" top="0.35" bottom="0.75" header="0.3" footer="0.3"/>
  <pageSetup fitToHeight="1" fitToWidth="1" horizontalDpi="600" verticalDpi="600" orientation="portrait" scale="94" r:id="rId2"/>
</worksheet>
</file>

<file path=xl/worksheets/sheet4.xml><?xml version="1.0" encoding="utf-8"?>
<worksheet xmlns="http://schemas.openxmlformats.org/spreadsheetml/2006/main" xmlns:r="http://schemas.openxmlformats.org/officeDocument/2006/relationships">
  <sheetPr codeName="Sheet1">
    <pageSetUpPr fitToPage="1"/>
  </sheetPr>
  <dimension ref="A1:R422"/>
  <sheetViews>
    <sheetView showGridLines="0" zoomScale="110" zoomScaleNormal="110" zoomScalePageLayoutView="0" workbookViewId="0" topLeftCell="A1">
      <selection activeCell="B1" sqref="B1"/>
    </sheetView>
  </sheetViews>
  <sheetFormatPr defaultColWidth="9.140625" defaultRowHeight="12.75"/>
  <cols>
    <col min="1" max="1" width="10.421875" style="376" customWidth="1"/>
    <col min="2" max="2" width="26.421875" style="0" customWidth="1"/>
    <col min="3" max="3" width="17.00390625" style="0" customWidth="1"/>
    <col min="4" max="4" width="15.140625" style="0" customWidth="1"/>
    <col min="5" max="5" width="9.57421875" style="0" customWidth="1"/>
    <col min="6" max="6" width="10.57421875" style="0" customWidth="1"/>
    <col min="7" max="7" width="13.140625" style="0" customWidth="1"/>
    <col min="8" max="13" width="15.8515625" style="0" customWidth="1"/>
    <col min="14" max="14" width="16.28125" style="0" customWidth="1"/>
  </cols>
  <sheetData>
    <row r="1" spans="1:18" ht="15.75">
      <c r="A1" s="377"/>
      <c r="B1" s="426"/>
      <c r="C1" s="426"/>
      <c r="D1" s="426"/>
      <c r="E1" s="426"/>
      <c r="F1" s="426"/>
      <c r="G1" s="426"/>
      <c r="H1" s="426"/>
      <c r="I1" s="28"/>
      <c r="J1" s="28"/>
      <c r="K1" s="28"/>
      <c r="L1" s="28"/>
      <c r="M1" s="28"/>
      <c r="N1" s="28"/>
      <c r="O1" s="28"/>
      <c r="P1" s="28"/>
      <c r="Q1" s="28"/>
      <c r="R1" s="28"/>
    </row>
    <row r="2" spans="1:18" ht="12.75">
      <c r="A2" s="377"/>
      <c r="B2" s="28" t="s">
        <v>339</v>
      </c>
      <c r="C2" s="28"/>
      <c r="D2" s="28"/>
      <c r="E2" s="28"/>
      <c r="F2" s="28"/>
      <c r="G2" s="28"/>
      <c r="H2" s="28"/>
      <c r="I2" s="28"/>
      <c r="J2" s="28"/>
      <c r="K2" s="28"/>
      <c r="L2" s="28"/>
      <c r="M2" s="28"/>
      <c r="N2" s="28"/>
      <c r="O2" s="28"/>
      <c r="P2" s="28"/>
      <c r="Q2" s="28"/>
      <c r="R2" s="28"/>
    </row>
    <row r="3" spans="1:18" ht="12.75">
      <c r="A3" s="377"/>
      <c r="B3" s="28" t="s">
        <v>340</v>
      </c>
      <c r="C3" s="28"/>
      <c r="D3" s="28"/>
      <c r="E3" s="28"/>
      <c r="F3" s="28"/>
      <c r="G3" s="28"/>
      <c r="H3" s="42"/>
      <c r="I3" s="28"/>
      <c r="J3" s="28"/>
      <c r="K3" s="28"/>
      <c r="L3" s="28"/>
      <c r="M3" s="28"/>
      <c r="N3" s="28"/>
      <c r="O3" s="28"/>
      <c r="P3" s="28"/>
      <c r="Q3" s="28"/>
      <c r="R3" s="28"/>
    </row>
    <row r="4" spans="1:18" ht="12.75">
      <c r="A4" s="377"/>
      <c r="B4" s="631" t="s">
        <v>426</v>
      </c>
      <c r="C4" s="631"/>
      <c r="D4" s="631"/>
      <c r="E4" s="631"/>
      <c r="F4" s="631"/>
      <c r="G4" s="631"/>
      <c r="H4" s="42"/>
      <c r="I4" s="28"/>
      <c r="J4" s="28"/>
      <c r="K4" s="28"/>
      <c r="L4" s="28"/>
      <c r="M4" s="28"/>
      <c r="N4" s="28"/>
      <c r="O4" s="28"/>
      <c r="P4" s="28"/>
      <c r="Q4" s="28"/>
      <c r="R4" s="28"/>
    </row>
    <row r="5" spans="1:18" ht="20.25">
      <c r="A5" s="377"/>
      <c r="B5" s="462" t="s">
        <v>461</v>
      </c>
      <c r="C5" s="463"/>
      <c r="D5" s="463"/>
      <c r="E5" s="463"/>
      <c r="F5" s="463"/>
      <c r="G5" s="464"/>
      <c r="H5" s="42"/>
      <c r="I5" s="28"/>
      <c r="J5" s="28"/>
      <c r="K5" s="28"/>
      <c r="L5" s="28"/>
      <c r="M5" s="28"/>
      <c r="N5" s="28"/>
      <c r="O5" s="28"/>
      <c r="P5" s="28"/>
      <c r="Q5" s="28"/>
      <c r="R5" s="28"/>
    </row>
    <row r="6" spans="1:18" ht="12.75">
      <c r="A6" s="377"/>
      <c r="B6" s="28"/>
      <c r="C6" s="28"/>
      <c r="D6" s="28"/>
      <c r="E6" s="28"/>
      <c r="F6" s="28"/>
      <c r="G6" s="28"/>
      <c r="H6" s="42"/>
      <c r="I6" s="28"/>
      <c r="J6" s="28"/>
      <c r="K6" s="28"/>
      <c r="L6" s="28"/>
      <c r="M6" s="28"/>
      <c r="N6" s="28"/>
      <c r="O6" s="28"/>
      <c r="P6" s="28"/>
      <c r="Q6" s="28"/>
      <c r="R6" s="28"/>
    </row>
    <row r="7" spans="1:18" ht="15.75">
      <c r="A7" s="465" t="s">
        <v>535</v>
      </c>
      <c r="B7" s="30" t="s">
        <v>533</v>
      </c>
      <c r="C7" s="30"/>
      <c r="D7" s="28"/>
      <c r="E7" s="426"/>
      <c r="F7" s="31" t="s">
        <v>431</v>
      </c>
      <c r="G7" s="259">
        <v>2008</v>
      </c>
      <c r="H7" s="42"/>
      <c r="I7" s="28" t="s">
        <v>95</v>
      </c>
      <c r="J7" s="42"/>
      <c r="K7" s="42"/>
      <c r="L7" s="28"/>
      <c r="M7" s="427">
        <f>G9</f>
        <v>300</v>
      </c>
      <c r="N7" s="28"/>
      <c r="O7" s="28"/>
      <c r="P7" s="28"/>
      <c r="Q7" s="28"/>
      <c r="R7" s="28"/>
    </row>
    <row r="8" spans="1:18" ht="15.75">
      <c r="A8" s="377"/>
      <c r="B8" s="30" t="s">
        <v>341</v>
      </c>
      <c r="C8" s="30"/>
      <c r="D8" s="28"/>
      <c r="E8" s="31"/>
      <c r="F8" s="426"/>
      <c r="G8" s="40"/>
      <c r="H8" s="42"/>
      <c r="I8" s="28" t="s">
        <v>96</v>
      </c>
      <c r="J8" s="42"/>
      <c r="K8" s="42"/>
      <c r="L8" s="28"/>
      <c r="M8" s="427">
        <f>G18</f>
        <v>265.04279999999994</v>
      </c>
      <c r="N8" s="28"/>
      <c r="O8" s="28"/>
      <c r="P8" s="28"/>
      <c r="Q8" s="28"/>
      <c r="R8" s="28"/>
    </row>
    <row r="9" spans="1:18" ht="15.75">
      <c r="A9" s="377"/>
      <c r="B9" s="28" t="s">
        <v>358</v>
      </c>
      <c r="C9" s="28"/>
      <c r="D9" s="28"/>
      <c r="E9" s="28"/>
      <c r="F9" s="426"/>
      <c r="G9" s="260">
        <v>300</v>
      </c>
      <c r="H9" s="42"/>
      <c r="I9" s="35" t="s">
        <v>98</v>
      </c>
      <c r="J9" s="42"/>
      <c r="K9" s="42"/>
      <c r="L9" s="28"/>
      <c r="M9" s="427">
        <f>G24+G25</f>
        <v>40</v>
      </c>
      <c r="N9" s="28"/>
      <c r="O9" s="28"/>
      <c r="P9" s="28"/>
      <c r="Q9" s="28"/>
      <c r="R9" s="28"/>
    </row>
    <row r="10" spans="1:18" ht="15.75">
      <c r="A10" s="377"/>
      <c r="B10" s="28" t="s">
        <v>342</v>
      </c>
      <c r="C10" s="28"/>
      <c r="D10" s="28"/>
      <c r="E10" s="28"/>
      <c r="F10" s="426"/>
      <c r="G10" s="261">
        <v>0.92</v>
      </c>
      <c r="H10" s="42"/>
      <c r="I10" s="35" t="s">
        <v>97</v>
      </c>
      <c r="J10" s="42"/>
      <c r="K10" s="42"/>
      <c r="L10" s="28"/>
      <c r="M10" s="428">
        <f>G27</f>
        <v>13.6</v>
      </c>
      <c r="N10" s="28"/>
      <c r="O10" s="28"/>
      <c r="P10" s="28"/>
      <c r="Q10" s="28"/>
      <c r="R10" s="28"/>
    </row>
    <row r="11" spans="1:18" ht="15.75">
      <c r="A11" s="377"/>
      <c r="B11" s="28" t="s">
        <v>343</v>
      </c>
      <c r="C11" s="28"/>
      <c r="D11" s="661">
        <f>G7-1</f>
        <v>2007</v>
      </c>
      <c r="E11" s="279" t="s">
        <v>359</v>
      </c>
      <c r="F11" s="426"/>
      <c r="G11" s="262">
        <f>G9*G10</f>
        <v>276</v>
      </c>
      <c r="H11" s="42"/>
      <c r="I11" s="33"/>
      <c r="J11" s="33"/>
      <c r="K11" s="33"/>
      <c r="L11" s="33"/>
      <c r="M11" s="33"/>
      <c r="N11" s="28"/>
      <c r="O11" s="28"/>
      <c r="P11" s="28"/>
      <c r="Q11" s="28"/>
      <c r="R11" s="28"/>
    </row>
    <row r="12" spans="1:18" ht="15.75">
      <c r="A12" s="377"/>
      <c r="B12" s="28" t="s">
        <v>344</v>
      </c>
      <c r="C12" s="28"/>
      <c r="D12" s="28"/>
      <c r="E12" s="28"/>
      <c r="F12" s="426"/>
      <c r="G12" s="262">
        <f>G9-G11</f>
        <v>24</v>
      </c>
      <c r="H12" s="42"/>
      <c r="I12" s="28" t="s">
        <v>456</v>
      </c>
      <c r="J12" s="28"/>
      <c r="K12" s="28"/>
      <c r="L12" s="28"/>
      <c r="M12" s="394">
        <f>G9</f>
        <v>300</v>
      </c>
      <c r="N12" s="28"/>
      <c r="O12" s="28"/>
      <c r="P12" s="28"/>
      <c r="Q12" s="28"/>
      <c r="R12" s="28"/>
    </row>
    <row r="13" spans="1:18" ht="15.75">
      <c r="A13" s="377"/>
      <c r="B13" s="28" t="s">
        <v>345</v>
      </c>
      <c r="C13" s="28"/>
      <c r="D13" s="28"/>
      <c r="E13" s="28"/>
      <c r="F13" s="426"/>
      <c r="G13" s="263">
        <v>0.97</v>
      </c>
      <c r="H13" s="42"/>
      <c r="I13" s="42" t="s">
        <v>450</v>
      </c>
      <c r="J13" s="42"/>
      <c r="K13" s="42"/>
      <c r="L13" s="28"/>
      <c r="M13" s="428">
        <f>G12+G15</f>
        <v>32.28000000000003</v>
      </c>
      <c r="N13" s="28"/>
      <c r="O13" s="28"/>
      <c r="P13" s="28"/>
      <c r="Q13" s="28"/>
      <c r="R13" s="28"/>
    </row>
    <row r="14" spans="1:18" ht="15.75">
      <c r="A14" s="377"/>
      <c r="B14" s="28" t="s">
        <v>346</v>
      </c>
      <c r="C14" s="28"/>
      <c r="D14" s="28"/>
      <c r="E14" s="662">
        <f>G7</f>
        <v>2008</v>
      </c>
      <c r="F14" s="426"/>
      <c r="G14" s="262">
        <f>G11*G13</f>
        <v>267.71999999999997</v>
      </c>
      <c r="H14" s="42"/>
      <c r="I14" s="389" t="s">
        <v>451</v>
      </c>
      <c r="J14" s="28"/>
      <c r="K14" s="28"/>
      <c r="L14" s="28"/>
      <c r="M14" s="28">
        <f>G9*0.01</f>
        <v>3</v>
      </c>
      <c r="N14" s="28"/>
      <c r="O14" s="28"/>
      <c r="P14" s="28"/>
      <c r="Q14" s="28"/>
      <c r="R14" s="28"/>
    </row>
    <row r="15" spans="1:18" ht="15.75">
      <c r="A15" s="377"/>
      <c r="B15" s="28" t="s">
        <v>347</v>
      </c>
      <c r="C15" s="28"/>
      <c r="D15" s="28"/>
      <c r="E15" s="662">
        <f>G7</f>
        <v>2008</v>
      </c>
      <c r="F15" s="426"/>
      <c r="G15" s="262">
        <f>G11-G14</f>
        <v>8.28000000000003</v>
      </c>
      <c r="H15" s="42"/>
      <c r="I15" s="389" t="s">
        <v>452</v>
      </c>
      <c r="J15" s="28"/>
      <c r="K15" s="28"/>
      <c r="L15" s="28"/>
      <c r="M15" s="394">
        <f>C37</f>
        <v>4.71999999999997</v>
      </c>
      <c r="N15" s="28"/>
      <c r="O15" s="28"/>
      <c r="P15" s="28"/>
      <c r="Q15" s="28"/>
      <c r="R15" s="28"/>
    </row>
    <row r="16" spans="1:18" ht="15.75">
      <c r="A16" s="377"/>
      <c r="B16" s="28" t="s">
        <v>547</v>
      </c>
      <c r="C16" s="28"/>
      <c r="D16" s="28"/>
      <c r="E16" s="28"/>
      <c r="F16" s="426"/>
      <c r="G16" s="287">
        <f>G12+G15</f>
        <v>32.28000000000003</v>
      </c>
      <c r="H16" s="42"/>
      <c r="I16" s="389" t="s">
        <v>455</v>
      </c>
      <c r="J16" s="28"/>
      <c r="K16" s="28"/>
      <c r="L16" s="28"/>
      <c r="M16" s="394">
        <f>G24</f>
        <v>40</v>
      </c>
      <c r="N16" s="28"/>
      <c r="O16" s="28"/>
      <c r="P16" s="28"/>
      <c r="Q16" s="28"/>
      <c r="R16" s="28"/>
    </row>
    <row r="17" spans="1:18" ht="15.75">
      <c r="A17" s="377"/>
      <c r="B17" s="28" t="s">
        <v>348</v>
      </c>
      <c r="C17" s="28"/>
      <c r="D17" s="28"/>
      <c r="E17" s="28"/>
      <c r="F17" s="426"/>
      <c r="G17" s="263">
        <v>0.01</v>
      </c>
      <c r="H17" s="42"/>
      <c r="I17" s="395" t="s">
        <v>453</v>
      </c>
      <c r="J17" s="33"/>
      <c r="K17" s="33"/>
      <c r="L17" s="33"/>
      <c r="M17" s="396">
        <f>G25</f>
        <v>0</v>
      </c>
      <c r="N17" s="28"/>
      <c r="O17" s="28"/>
      <c r="P17" s="28"/>
      <c r="Q17" s="28"/>
      <c r="R17" s="28"/>
    </row>
    <row r="18" spans="1:18" ht="15.75">
      <c r="A18" s="377"/>
      <c r="B18" s="28" t="s">
        <v>349</v>
      </c>
      <c r="C18" s="662">
        <f>G7</f>
        <v>2008</v>
      </c>
      <c r="D18" s="28"/>
      <c r="E18" s="28"/>
      <c r="F18" s="426"/>
      <c r="G18" s="262">
        <f>G14*(1-G17)</f>
        <v>265.04279999999994</v>
      </c>
      <c r="H18" s="42"/>
      <c r="I18" s="28" t="s">
        <v>457</v>
      </c>
      <c r="J18" s="28"/>
      <c r="K18" s="28"/>
      <c r="L18" s="28"/>
      <c r="M18" s="394">
        <f>M12-M13-M14-M15+M16+M17</f>
        <v>300</v>
      </c>
      <c r="N18" s="28"/>
      <c r="O18" s="28"/>
      <c r="P18" s="28"/>
      <c r="Q18" s="28"/>
      <c r="R18" s="28"/>
    </row>
    <row r="19" spans="1:18" ht="15.75">
      <c r="A19" s="377"/>
      <c r="B19" s="28" t="s">
        <v>350</v>
      </c>
      <c r="C19" s="28"/>
      <c r="D19" s="28"/>
      <c r="E19" s="28"/>
      <c r="F19" s="426"/>
      <c r="G19" s="263">
        <v>0.98</v>
      </c>
      <c r="H19" s="42"/>
      <c r="I19" s="28"/>
      <c r="J19" s="28"/>
      <c r="K19" s="28"/>
      <c r="L19" s="28"/>
      <c r="M19" s="28"/>
      <c r="N19" s="28"/>
      <c r="O19" s="28"/>
      <c r="P19" s="28"/>
      <c r="Q19" s="28"/>
      <c r="R19" s="28"/>
    </row>
    <row r="20" spans="1:18" ht="15.75">
      <c r="A20" s="377"/>
      <c r="B20" s="28" t="s">
        <v>351</v>
      </c>
      <c r="C20" s="662">
        <f>G7</f>
        <v>2008</v>
      </c>
      <c r="D20" s="28"/>
      <c r="E20" s="28"/>
      <c r="F20" s="426"/>
      <c r="G20" s="264">
        <f>ROUNDUP(G18*G19,0)</f>
        <v>260</v>
      </c>
      <c r="H20" s="42"/>
      <c r="I20" s="28"/>
      <c r="J20" s="28"/>
      <c r="K20" s="28"/>
      <c r="L20" s="28"/>
      <c r="M20" s="28"/>
      <c r="N20" s="28"/>
      <c r="O20" s="28"/>
      <c r="P20" s="28"/>
      <c r="Q20" s="28"/>
      <c r="R20" s="28"/>
    </row>
    <row r="21" spans="1:18" ht="15.75">
      <c r="A21" s="377"/>
      <c r="B21" s="28" t="s">
        <v>454</v>
      </c>
      <c r="C21" s="28"/>
      <c r="D21" s="28"/>
      <c r="E21" s="28"/>
      <c r="F21" s="426"/>
      <c r="G21" s="288">
        <f>G16+(G9*0.01)</f>
        <v>35.28000000000003</v>
      </c>
      <c r="H21" s="42"/>
      <c r="I21" s="42"/>
      <c r="J21" s="42"/>
      <c r="K21" s="42"/>
      <c r="L21" s="42"/>
      <c r="M21" s="42"/>
      <c r="N21" s="28"/>
      <c r="O21" s="28"/>
      <c r="P21" s="28"/>
      <c r="Q21" s="28"/>
      <c r="R21" s="28"/>
    </row>
    <row r="22" spans="1:18" ht="15.75">
      <c r="A22" s="377"/>
      <c r="B22" s="28" t="s">
        <v>352</v>
      </c>
      <c r="C22" s="28"/>
      <c r="D22" s="28"/>
      <c r="E22" s="28"/>
      <c r="F22" s="426"/>
      <c r="G22" s="265">
        <f>G21/G9</f>
        <v>0.1176000000000001</v>
      </c>
      <c r="H22" s="42"/>
      <c r="I22" s="42"/>
      <c r="J22" s="42"/>
      <c r="K22" s="42"/>
      <c r="L22" s="294"/>
      <c r="M22" s="42"/>
      <c r="N22" s="28"/>
      <c r="O22" s="28"/>
      <c r="P22" s="28"/>
      <c r="Q22" s="28"/>
      <c r="R22" s="28"/>
    </row>
    <row r="23" spans="1:18" ht="15.75">
      <c r="A23" s="373" t="s">
        <v>437</v>
      </c>
      <c r="B23" s="28" t="s">
        <v>82</v>
      </c>
      <c r="C23" s="28"/>
      <c r="D23" s="28"/>
      <c r="E23" s="28"/>
      <c r="F23" s="426"/>
      <c r="G23" s="266" t="s">
        <v>338</v>
      </c>
      <c r="H23" s="42"/>
      <c r="I23" s="42"/>
      <c r="J23" s="42"/>
      <c r="K23" s="42"/>
      <c r="L23" s="37"/>
      <c r="M23" s="42"/>
      <c r="N23" s="28"/>
      <c r="O23" s="28"/>
      <c r="P23" s="28"/>
      <c r="Q23" s="28"/>
      <c r="R23" s="28"/>
    </row>
    <row r="24" spans="1:18" ht="15.75">
      <c r="A24" s="377"/>
      <c r="B24" s="28" t="s">
        <v>448</v>
      </c>
      <c r="C24" s="28"/>
      <c r="D24" s="28"/>
      <c r="E24" s="28"/>
      <c r="F24" s="426"/>
      <c r="G24" s="260">
        <v>40</v>
      </c>
      <c r="H24" s="42"/>
      <c r="I24" s="35"/>
      <c r="J24" s="35"/>
      <c r="K24" s="35"/>
      <c r="L24" s="36"/>
      <c r="M24" s="42"/>
      <c r="N24" s="28"/>
      <c r="O24" s="28"/>
      <c r="P24" s="28"/>
      <c r="Q24" s="28"/>
      <c r="R24" s="28"/>
    </row>
    <row r="25" spans="1:18" ht="15.75">
      <c r="A25" s="377"/>
      <c r="B25" s="28" t="s">
        <v>449</v>
      </c>
      <c r="C25" s="28"/>
      <c r="D25" s="28"/>
      <c r="E25" s="28"/>
      <c r="F25" s="426"/>
      <c r="G25" s="260">
        <v>0</v>
      </c>
      <c r="H25" s="42"/>
      <c r="I25" s="35"/>
      <c r="J25" s="35"/>
      <c r="K25" s="35"/>
      <c r="L25" s="36"/>
      <c r="M25" s="42"/>
      <c r="N25" s="28"/>
      <c r="O25" s="28"/>
      <c r="P25" s="28"/>
      <c r="Q25" s="28"/>
      <c r="R25" s="28"/>
    </row>
    <row r="26" spans="1:18" ht="15.75">
      <c r="A26" s="377"/>
      <c r="B26" s="28" t="s">
        <v>99</v>
      </c>
      <c r="C26" s="28"/>
      <c r="D26" s="28"/>
      <c r="E26" s="28"/>
      <c r="F26" s="426"/>
      <c r="G26" s="260">
        <v>25</v>
      </c>
      <c r="H26" s="42"/>
      <c r="I26" s="35"/>
      <c r="J26" s="35"/>
      <c r="K26" s="35"/>
      <c r="L26" s="37"/>
      <c r="M26" s="42"/>
      <c r="N26" s="28"/>
      <c r="O26" s="28"/>
      <c r="P26" s="28"/>
      <c r="Q26" s="28"/>
      <c r="R26" s="28"/>
    </row>
    <row r="27" spans="1:18" ht="15.75">
      <c r="A27" s="377"/>
      <c r="B27" s="28" t="s">
        <v>353</v>
      </c>
      <c r="C27" s="28"/>
      <c r="D27" s="28"/>
      <c r="E27" s="28"/>
      <c r="F27" s="426"/>
      <c r="G27" s="262">
        <f>(G9+G24)/G26</f>
        <v>13.6</v>
      </c>
      <c r="H27" s="42"/>
      <c r="I27" s="35"/>
      <c r="J27" s="38"/>
      <c r="K27" s="38"/>
      <c r="L27" s="37"/>
      <c r="M27" s="28"/>
      <c r="N27" s="28"/>
      <c r="O27" s="28"/>
      <c r="P27" s="28"/>
      <c r="Q27" s="28"/>
      <c r="R27" s="28"/>
    </row>
    <row r="28" spans="1:18" ht="15.75">
      <c r="A28" s="377"/>
      <c r="B28" s="28" t="s">
        <v>354</v>
      </c>
      <c r="C28" s="28"/>
      <c r="D28" s="28"/>
      <c r="E28" s="28"/>
      <c r="F28" s="426"/>
      <c r="G28" s="267">
        <v>3500</v>
      </c>
      <c r="H28" s="42"/>
      <c r="I28" s="39"/>
      <c r="J28" s="39"/>
      <c r="K28" s="39"/>
      <c r="L28" s="40"/>
      <c r="M28" s="28"/>
      <c r="N28" s="28"/>
      <c r="O28" s="28"/>
      <c r="P28" s="28"/>
      <c r="Q28" s="28"/>
      <c r="R28" s="28"/>
    </row>
    <row r="29" spans="1:18" ht="12.75">
      <c r="A29" s="377"/>
      <c r="B29" s="28"/>
      <c r="C29" s="28"/>
      <c r="D29" s="28"/>
      <c r="E29" s="28"/>
      <c r="F29" s="268"/>
      <c r="G29" s="268"/>
      <c r="H29" s="42"/>
      <c r="I29" s="39"/>
      <c r="J29" s="39"/>
      <c r="K29" s="39"/>
      <c r="L29" s="40"/>
      <c r="M29" s="28"/>
      <c r="N29" s="28"/>
      <c r="O29" s="28"/>
      <c r="P29" s="28"/>
      <c r="Q29" s="28"/>
      <c r="R29" s="28"/>
    </row>
    <row r="30" spans="1:18" ht="12.75">
      <c r="A30" s="465" t="s">
        <v>536</v>
      </c>
      <c r="B30" s="254" t="s">
        <v>69</v>
      </c>
      <c r="C30" s="254"/>
      <c r="D30" s="254"/>
      <c r="E30" s="254"/>
      <c r="F30" s="254"/>
      <c r="G30" s="254"/>
      <c r="H30" s="254"/>
      <c r="I30" s="39"/>
      <c r="J30" s="39"/>
      <c r="K30" s="39"/>
      <c r="L30" s="40"/>
      <c r="M30" s="28"/>
      <c r="N30" s="28"/>
      <c r="O30" s="28"/>
      <c r="P30" s="28"/>
      <c r="Q30" s="28"/>
      <c r="R30" s="28"/>
    </row>
    <row r="31" spans="1:18" ht="12.75">
      <c r="A31" s="377"/>
      <c r="B31" s="41" t="s">
        <v>47</v>
      </c>
      <c r="C31" s="269" t="s">
        <v>48</v>
      </c>
      <c r="D31" s="269" t="s">
        <v>49</v>
      </c>
      <c r="E31" s="269" t="s">
        <v>355</v>
      </c>
      <c r="F31" s="270" t="s">
        <v>356</v>
      </c>
      <c r="G31" s="42"/>
      <c r="H31" s="42"/>
      <c r="I31" s="28"/>
      <c r="J31" s="28"/>
      <c r="K31" s="28"/>
      <c r="L31" s="28"/>
      <c r="M31" s="28"/>
      <c r="N31" s="28"/>
      <c r="O31" s="28"/>
      <c r="P31" s="28"/>
      <c r="Q31" s="28"/>
      <c r="R31" s="28"/>
    </row>
    <row r="32" spans="1:18" ht="12.75">
      <c r="A32" s="429">
        <f>C32/G9</f>
        <v>0.43333333333333335</v>
      </c>
      <c r="B32" s="413" t="s">
        <v>459</v>
      </c>
      <c r="C32" s="414">
        <f>ROUNDDOWN(G20*0.5,0)</f>
        <v>130</v>
      </c>
      <c r="D32" s="259">
        <v>600</v>
      </c>
      <c r="E32" s="271">
        <v>1.25</v>
      </c>
      <c r="F32" s="272">
        <f>D32*E32</f>
        <v>750</v>
      </c>
      <c r="G32" s="42"/>
      <c r="H32" s="81">
        <f>C32*D32*E32</f>
        <v>97500</v>
      </c>
      <c r="I32" s="43"/>
      <c r="J32" s="43"/>
      <c r="K32" s="43"/>
      <c r="L32" s="44"/>
      <c r="M32" s="28"/>
      <c r="N32" s="28"/>
      <c r="O32" s="28"/>
      <c r="P32" s="28"/>
      <c r="Q32" s="28"/>
      <c r="R32" s="28"/>
    </row>
    <row r="33" spans="1:18" ht="12.75">
      <c r="A33" s="429">
        <f>C33/$G$9</f>
        <v>0.3</v>
      </c>
      <c r="B33" s="413" t="s">
        <v>458</v>
      </c>
      <c r="C33" s="414">
        <f>ROUNDDOWN(G20*0.5-G24,0)</f>
        <v>90</v>
      </c>
      <c r="D33" s="259">
        <v>575</v>
      </c>
      <c r="E33" s="271">
        <v>1.2</v>
      </c>
      <c r="F33" s="272">
        <f aca="true" t="shared" si="0" ref="F33:F38">D33*E33</f>
        <v>690</v>
      </c>
      <c r="G33" s="42"/>
      <c r="H33" s="81">
        <f>C33*D33*E33</f>
        <v>62100</v>
      </c>
      <c r="I33" s="44"/>
      <c r="J33" s="44"/>
      <c r="K33" s="44"/>
      <c r="L33" s="44"/>
      <c r="M33" s="28"/>
      <c r="N33" s="28"/>
      <c r="O33" s="28"/>
      <c r="P33" s="28"/>
      <c r="Q33" s="28"/>
      <c r="R33" s="28"/>
    </row>
    <row r="34" spans="1:18" ht="12.75">
      <c r="A34" s="429">
        <f>C34/$G$9</f>
        <v>0</v>
      </c>
      <c r="B34" s="461" t="s">
        <v>462</v>
      </c>
      <c r="C34" s="420">
        <v>0</v>
      </c>
      <c r="D34" s="259">
        <v>0</v>
      </c>
      <c r="E34" s="271">
        <v>0</v>
      </c>
      <c r="F34" s="272">
        <f t="shared" si="0"/>
        <v>0</v>
      </c>
      <c r="G34" s="47" t="s">
        <v>58</v>
      </c>
      <c r="H34" s="81">
        <f>C34*D34*E34</f>
        <v>0</v>
      </c>
      <c r="I34" s="46"/>
      <c r="J34" s="46"/>
      <c r="K34" s="46"/>
      <c r="L34" s="46"/>
      <c r="M34" s="46"/>
      <c r="N34" s="46"/>
      <c r="O34" s="28"/>
      <c r="P34" s="28"/>
      <c r="Q34" s="28"/>
      <c r="R34" s="28"/>
    </row>
    <row r="35" spans="1:18" ht="12.75">
      <c r="A35" s="429">
        <f>C35/$G$9</f>
        <v>0</v>
      </c>
      <c r="B35" s="461" t="s">
        <v>462</v>
      </c>
      <c r="C35" s="420">
        <v>0</v>
      </c>
      <c r="D35" s="259">
        <v>0</v>
      </c>
      <c r="E35" s="271">
        <v>0</v>
      </c>
      <c r="F35" s="272">
        <f t="shared" si="0"/>
        <v>0</v>
      </c>
      <c r="G35" s="48" t="s">
        <v>59</v>
      </c>
      <c r="H35" s="81">
        <f>C35*D35*E35</f>
        <v>0</v>
      </c>
      <c r="I35" s="46"/>
      <c r="J35" s="46"/>
      <c r="K35" s="46"/>
      <c r="L35" s="46"/>
      <c r="M35" s="46"/>
      <c r="N35" s="46"/>
      <c r="O35" s="28"/>
      <c r="P35" s="28"/>
      <c r="Q35" s="28"/>
      <c r="R35" s="28"/>
    </row>
    <row r="36" spans="1:18" ht="12.75">
      <c r="A36" s="377"/>
      <c r="B36" s="413" t="s">
        <v>100</v>
      </c>
      <c r="C36" s="415">
        <f>ROUNDDOWN(G16*0.99,0)</f>
        <v>31</v>
      </c>
      <c r="D36" s="259">
        <v>1250</v>
      </c>
      <c r="E36" s="271">
        <v>0.5</v>
      </c>
      <c r="F36" s="272">
        <f t="shared" si="0"/>
        <v>625</v>
      </c>
      <c r="G36" s="406">
        <v>0</v>
      </c>
      <c r="H36" s="81">
        <f>C36*D36*E36-G36</f>
        <v>19375</v>
      </c>
      <c r="I36" s="46"/>
      <c r="J36" s="46"/>
      <c r="K36" s="46"/>
      <c r="L36" s="46"/>
      <c r="M36" s="46"/>
      <c r="N36" s="46"/>
      <c r="O36" s="28"/>
      <c r="P36" s="28"/>
      <c r="Q36" s="28"/>
      <c r="R36" s="28"/>
    </row>
    <row r="37" spans="1:18" ht="12.75">
      <c r="A37" s="377"/>
      <c r="B37" s="416" t="s">
        <v>81</v>
      </c>
      <c r="C37" s="417">
        <f>G24+G25-G21</f>
        <v>4.71999999999997</v>
      </c>
      <c r="D37" s="259">
        <v>900</v>
      </c>
      <c r="E37" s="271">
        <v>1</v>
      </c>
      <c r="F37" s="272">
        <f t="shared" si="0"/>
        <v>900</v>
      </c>
      <c r="G37" s="406">
        <v>0</v>
      </c>
      <c r="H37" s="81">
        <f>C37*D37*E37-G37</f>
        <v>4247.999999999974</v>
      </c>
      <c r="I37" s="46"/>
      <c r="J37" s="46"/>
      <c r="K37" s="46"/>
      <c r="L37" s="46"/>
      <c r="M37" s="46"/>
      <c r="N37" s="46"/>
      <c r="O37" s="28"/>
      <c r="P37" s="28"/>
      <c r="Q37" s="28"/>
      <c r="R37" s="28"/>
    </row>
    <row r="38" spans="1:18" ht="13.5" thickBot="1">
      <c r="A38" s="377"/>
      <c r="B38" s="416" t="s">
        <v>57</v>
      </c>
      <c r="C38" s="415">
        <f>ROUNDDOWN(G27/3,0)</f>
        <v>4</v>
      </c>
      <c r="D38" s="259">
        <v>1800</v>
      </c>
      <c r="E38" s="271">
        <v>0.55</v>
      </c>
      <c r="F38" s="272">
        <f t="shared" si="0"/>
        <v>990.0000000000001</v>
      </c>
      <c r="G38" s="407">
        <v>0</v>
      </c>
      <c r="H38" s="273">
        <f>C38*D38*E38-G38</f>
        <v>3960.0000000000005</v>
      </c>
      <c r="I38" s="46"/>
      <c r="J38" s="46"/>
      <c r="K38" s="46"/>
      <c r="L38" s="46"/>
      <c r="M38" s="46"/>
      <c r="N38" s="46"/>
      <c r="O38" s="28"/>
      <c r="P38" s="28"/>
      <c r="Q38" s="28"/>
      <c r="R38" s="28"/>
    </row>
    <row r="39" spans="1:18" ht="13.5" thickTop="1">
      <c r="A39" s="377"/>
      <c r="B39" s="418" t="s">
        <v>439</v>
      </c>
      <c r="C39" s="419">
        <f>SUM(C32:C35)</f>
        <v>220</v>
      </c>
      <c r="D39" s="42"/>
      <c r="E39" s="42"/>
      <c r="F39" s="274" t="s">
        <v>357</v>
      </c>
      <c r="G39" s="49"/>
      <c r="H39" s="281">
        <f>SUM($H$32:$H$38)</f>
        <v>187182.99999999997</v>
      </c>
      <c r="I39" s="29" t="s">
        <v>71</v>
      </c>
      <c r="J39" s="29" t="s">
        <v>71</v>
      </c>
      <c r="K39" s="29" t="s">
        <v>71</v>
      </c>
      <c r="L39" s="29" t="s">
        <v>71</v>
      </c>
      <c r="M39" s="29" t="s">
        <v>71</v>
      </c>
      <c r="N39" s="29" t="s">
        <v>71</v>
      </c>
      <c r="O39" s="28"/>
      <c r="P39" s="28"/>
      <c r="Q39" s="28"/>
      <c r="R39" s="28"/>
    </row>
    <row r="40" spans="1:18" ht="12.75">
      <c r="A40" s="377"/>
      <c r="B40" s="42"/>
      <c r="C40" s="42"/>
      <c r="D40" s="42"/>
      <c r="E40" s="42"/>
      <c r="F40" s="28"/>
      <c r="G40" s="274" t="s">
        <v>45</v>
      </c>
      <c r="H40" s="282">
        <f>H39/G9</f>
        <v>623.9433333333333</v>
      </c>
      <c r="I40" s="5">
        <v>1</v>
      </c>
      <c r="J40" s="5">
        <v>2</v>
      </c>
      <c r="K40" s="5">
        <v>3</v>
      </c>
      <c r="L40" s="10">
        <v>4</v>
      </c>
      <c r="M40" s="10">
        <v>0</v>
      </c>
      <c r="N40" s="10">
        <v>0</v>
      </c>
      <c r="O40" s="28"/>
      <c r="P40" s="28"/>
      <c r="Q40" s="28"/>
      <c r="R40" s="28"/>
    </row>
    <row r="41" spans="1:18" ht="20.25" customHeight="1">
      <c r="A41" s="377"/>
      <c r="B41" s="42"/>
      <c r="C41" s="28"/>
      <c r="D41" s="28"/>
      <c r="E41" s="28"/>
      <c r="F41" s="28"/>
      <c r="G41" s="28"/>
      <c r="H41" s="28"/>
      <c r="I41" s="642" t="s">
        <v>14</v>
      </c>
      <c r="J41" s="642" t="s">
        <v>46</v>
      </c>
      <c r="K41" s="642" t="s">
        <v>15</v>
      </c>
      <c r="L41" s="642" t="s">
        <v>16</v>
      </c>
      <c r="M41" s="642" t="s">
        <v>78</v>
      </c>
      <c r="N41" s="642" t="s">
        <v>78</v>
      </c>
      <c r="O41" s="28"/>
      <c r="P41" s="28"/>
      <c r="Q41" s="28"/>
      <c r="R41" s="28"/>
    </row>
    <row r="42" spans="1:18" ht="31.5" customHeight="1">
      <c r="A42" s="377"/>
      <c r="B42" s="254" t="s">
        <v>90</v>
      </c>
      <c r="C42" s="254"/>
      <c r="D42" s="254"/>
      <c r="E42" s="254"/>
      <c r="F42" s="254"/>
      <c r="G42" s="254"/>
      <c r="H42" s="32"/>
      <c r="I42" s="643"/>
      <c r="J42" s="643"/>
      <c r="K42" s="643"/>
      <c r="L42" s="643"/>
      <c r="M42" s="643"/>
      <c r="N42" s="643"/>
      <c r="O42" s="28"/>
      <c r="P42" s="28"/>
      <c r="Q42" s="28"/>
      <c r="R42" s="28"/>
    </row>
    <row r="43" spans="1:18" ht="12.75" customHeight="1">
      <c r="A43" s="430"/>
      <c r="B43" s="378" t="s">
        <v>77</v>
      </c>
      <c r="C43" s="378"/>
      <c r="D43" s="378"/>
      <c r="E43" s="378"/>
      <c r="F43" s="378"/>
      <c r="G43" s="379"/>
      <c r="H43" s="276">
        <v>0</v>
      </c>
      <c r="I43" s="6"/>
      <c r="J43" s="6"/>
      <c r="K43" s="6"/>
      <c r="L43" s="6"/>
      <c r="M43" s="29"/>
      <c r="N43" s="29"/>
      <c r="O43" s="28"/>
      <c r="P43" s="28"/>
      <c r="Q43" s="28"/>
      <c r="R43" s="28"/>
    </row>
    <row r="44" spans="1:18" ht="12.75" customHeight="1">
      <c r="A44" s="430"/>
      <c r="B44" s="378" t="s">
        <v>77</v>
      </c>
      <c r="C44" s="378"/>
      <c r="D44" s="378"/>
      <c r="E44" s="378"/>
      <c r="F44" s="378"/>
      <c r="G44" s="379"/>
      <c r="H44" s="276">
        <v>0</v>
      </c>
      <c r="I44" s="6"/>
      <c r="J44" s="6"/>
      <c r="K44" s="6"/>
      <c r="L44" s="6"/>
      <c r="M44" s="6"/>
      <c r="N44" s="6"/>
      <c r="O44" s="28"/>
      <c r="P44" s="28"/>
      <c r="Q44" s="28"/>
      <c r="R44" s="28"/>
    </row>
    <row r="45" spans="1:18" ht="12.75" customHeight="1">
      <c r="A45" s="432"/>
      <c r="B45" s="378" t="s">
        <v>77</v>
      </c>
      <c r="C45" s="459"/>
      <c r="D45" s="459"/>
      <c r="E45" s="378"/>
      <c r="F45" s="378"/>
      <c r="G45" s="379"/>
      <c r="H45" s="276">
        <v>0</v>
      </c>
      <c r="I45" s="6"/>
      <c r="J45" s="6"/>
      <c r="K45" s="6"/>
      <c r="L45" s="6"/>
      <c r="M45" s="6"/>
      <c r="N45" s="6"/>
      <c r="O45" s="28"/>
      <c r="P45" s="28"/>
      <c r="Q45" s="28"/>
      <c r="R45" s="28"/>
    </row>
    <row r="46" spans="1:18" ht="12.75" customHeight="1">
      <c r="A46" s="432"/>
      <c r="B46" s="378" t="s">
        <v>77</v>
      </c>
      <c r="C46" s="459"/>
      <c r="D46" s="459"/>
      <c r="E46" s="378"/>
      <c r="F46" s="378"/>
      <c r="G46" s="379"/>
      <c r="H46" s="276">
        <v>0</v>
      </c>
      <c r="I46" s="6"/>
      <c r="J46" s="6"/>
      <c r="K46" s="6"/>
      <c r="L46" s="6"/>
      <c r="M46" s="6"/>
      <c r="N46" s="6"/>
      <c r="O46" s="28"/>
      <c r="P46" s="28"/>
      <c r="Q46" s="28"/>
      <c r="R46" s="28"/>
    </row>
    <row r="47" spans="1:18" ht="12.75" customHeight="1">
      <c r="A47" s="432"/>
      <c r="B47" s="378" t="s">
        <v>77</v>
      </c>
      <c r="C47" s="459"/>
      <c r="D47" s="459"/>
      <c r="E47" s="378"/>
      <c r="F47" s="378"/>
      <c r="G47" s="379"/>
      <c r="H47" s="276">
        <v>0</v>
      </c>
      <c r="I47" s="6"/>
      <c r="J47" s="6"/>
      <c r="K47" s="6"/>
      <c r="L47" s="6"/>
      <c r="M47" s="6"/>
      <c r="N47" s="6"/>
      <c r="O47" s="28"/>
      <c r="P47" s="28"/>
      <c r="Q47" s="28"/>
      <c r="R47" s="28"/>
    </row>
    <row r="48" spans="1:18" ht="12.75" customHeight="1">
      <c r="A48" s="432"/>
      <c r="B48" s="378" t="s">
        <v>77</v>
      </c>
      <c r="C48" s="459"/>
      <c r="D48" s="459"/>
      <c r="E48" s="378"/>
      <c r="F48" s="378"/>
      <c r="G48" s="379"/>
      <c r="H48" s="276">
        <v>0</v>
      </c>
      <c r="I48" s="6"/>
      <c r="J48" s="6"/>
      <c r="K48" s="6"/>
      <c r="L48" s="6"/>
      <c r="M48" s="6"/>
      <c r="N48" s="6"/>
      <c r="O48" s="28"/>
      <c r="P48" s="28"/>
      <c r="Q48" s="28"/>
      <c r="R48" s="28"/>
    </row>
    <row r="49" spans="1:18" ht="12.75" customHeight="1">
      <c r="A49" s="430"/>
      <c r="B49" s="378" t="s">
        <v>77</v>
      </c>
      <c r="C49" s="459"/>
      <c r="D49" s="459"/>
      <c r="E49" s="378"/>
      <c r="F49" s="378"/>
      <c r="G49" s="379"/>
      <c r="H49" s="276">
        <v>0</v>
      </c>
      <c r="I49" s="6"/>
      <c r="J49" s="6"/>
      <c r="K49" s="6"/>
      <c r="L49" s="6"/>
      <c r="M49" s="6"/>
      <c r="N49" s="6"/>
      <c r="O49" s="28"/>
      <c r="P49" s="28"/>
      <c r="Q49" s="28"/>
      <c r="R49" s="28"/>
    </row>
    <row r="50" spans="1:18" ht="12.75" customHeight="1">
      <c r="A50" s="432"/>
      <c r="B50" s="378" t="s">
        <v>77</v>
      </c>
      <c r="C50" s="459"/>
      <c r="D50" s="459"/>
      <c r="E50" s="378"/>
      <c r="F50" s="378"/>
      <c r="G50" s="379"/>
      <c r="H50" s="276">
        <v>0</v>
      </c>
      <c r="I50" s="6"/>
      <c r="J50" s="6"/>
      <c r="K50" s="6"/>
      <c r="L50" s="6"/>
      <c r="M50" s="6"/>
      <c r="N50" s="6"/>
      <c r="O50" s="28"/>
      <c r="P50" s="28"/>
      <c r="Q50" s="28"/>
      <c r="R50" s="28"/>
    </row>
    <row r="51" spans="1:18" ht="12.75" customHeight="1">
      <c r="A51" s="432"/>
      <c r="B51" s="378" t="s">
        <v>77</v>
      </c>
      <c r="C51" s="459"/>
      <c r="D51" s="459"/>
      <c r="E51" s="378"/>
      <c r="F51" s="378"/>
      <c r="G51" s="379"/>
      <c r="H51" s="276">
        <v>0</v>
      </c>
      <c r="I51" s="6"/>
      <c r="J51" s="6"/>
      <c r="K51" s="6"/>
      <c r="L51" s="6"/>
      <c r="M51" s="6"/>
      <c r="N51" s="6"/>
      <c r="O51" s="28"/>
      <c r="P51" s="28"/>
      <c r="Q51" s="28"/>
      <c r="R51" s="28"/>
    </row>
    <row r="52" spans="1:18" ht="12.75" customHeight="1">
      <c r="A52" s="432"/>
      <c r="B52" s="378" t="s">
        <v>77</v>
      </c>
      <c r="C52" s="459"/>
      <c r="D52" s="459"/>
      <c r="E52" s="378"/>
      <c r="F52" s="378"/>
      <c r="G52" s="379"/>
      <c r="H52" s="276">
        <v>0</v>
      </c>
      <c r="I52" s="6"/>
      <c r="J52" s="6"/>
      <c r="K52" s="6"/>
      <c r="L52" s="6"/>
      <c r="M52" s="6"/>
      <c r="N52" s="6"/>
      <c r="O52" s="28"/>
      <c r="P52" s="28"/>
      <c r="Q52" s="28"/>
      <c r="R52" s="28"/>
    </row>
    <row r="53" spans="1:18" ht="12.75" customHeight="1">
      <c r="A53" s="433"/>
      <c r="B53" s="378" t="s">
        <v>77</v>
      </c>
      <c r="C53" s="459"/>
      <c r="D53" s="459"/>
      <c r="E53" s="378"/>
      <c r="F53" s="378"/>
      <c r="G53" s="379"/>
      <c r="H53" s="276">
        <v>0</v>
      </c>
      <c r="I53" s="6"/>
      <c r="J53" s="6"/>
      <c r="K53" s="6"/>
      <c r="L53" s="6"/>
      <c r="M53" s="6"/>
      <c r="N53" s="6"/>
      <c r="O53" s="28"/>
      <c r="P53" s="28"/>
      <c r="Q53" s="28"/>
      <c r="R53" s="28"/>
    </row>
    <row r="54" spans="1:18" ht="12.75" customHeight="1">
      <c r="A54" s="433"/>
      <c r="B54" s="378" t="s">
        <v>77</v>
      </c>
      <c r="C54" s="459"/>
      <c r="D54" s="459"/>
      <c r="E54" s="378"/>
      <c r="F54" s="378"/>
      <c r="G54" s="379"/>
      <c r="H54" s="276">
        <v>0</v>
      </c>
      <c r="I54" s="6"/>
      <c r="J54" s="6"/>
      <c r="K54" s="6"/>
      <c r="L54" s="6"/>
      <c r="M54" s="6"/>
      <c r="N54" s="6"/>
      <c r="O54" s="28"/>
      <c r="P54" s="28"/>
      <c r="Q54" s="28"/>
      <c r="R54" s="28"/>
    </row>
    <row r="55" spans="1:18" ht="12.75" customHeight="1">
      <c r="A55" s="433"/>
      <c r="B55" s="378" t="s">
        <v>77</v>
      </c>
      <c r="C55" s="459"/>
      <c r="D55" s="459"/>
      <c r="E55" s="378"/>
      <c r="F55" s="378"/>
      <c r="G55" s="379"/>
      <c r="H55" s="276">
        <v>0</v>
      </c>
      <c r="I55" s="6"/>
      <c r="J55" s="6"/>
      <c r="K55" s="6"/>
      <c r="L55" s="6"/>
      <c r="M55" s="6"/>
      <c r="N55" s="6"/>
      <c r="O55" s="28"/>
      <c r="P55" s="28"/>
      <c r="Q55" s="28"/>
      <c r="R55" s="28"/>
    </row>
    <row r="56" spans="1:18" ht="12.75" customHeight="1">
      <c r="A56" s="28"/>
      <c r="B56" s="378" t="s">
        <v>77</v>
      </c>
      <c r="C56" s="460"/>
      <c r="D56" s="460"/>
      <c r="E56" s="401"/>
      <c r="F56" s="401"/>
      <c r="G56" s="402"/>
      <c r="H56" s="276">
        <v>0</v>
      </c>
      <c r="I56" s="6"/>
      <c r="J56" s="6"/>
      <c r="K56" s="6"/>
      <c r="L56" s="6"/>
      <c r="M56" s="6"/>
      <c r="N56" s="6"/>
      <c r="O56" s="28"/>
      <c r="P56" s="28"/>
      <c r="Q56" s="28"/>
      <c r="R56" s="28"/>
    </row>
    <row r="57" spans="1:18" ht="12.75" customHeight="1">
      <c r="A57" s="434"/>
      <c r="B57" s="378" t="s">
        <v>77</v>
      </c>
      <c r="C57" s="378"/>
      <c r="D57" s="378"/>
      <c r="E57" s="378"/>
      <c r="F57" s="378"/>
      <c r="G57" s="379"/>
      <c r="H57" s="276">
        <v>0</v>
      </c>
      <c r="I57" s="7"/>
      <c r="J57" s="7"/>
      <c r="K57" s="7"/>
      <c r="L57" s="7"/>
      <c r="M57" s="29"/>
      <c r="N57" s="29"/>
      <c r="O57" s="28"/>
      <c r="P57" s="28"/>
      <c r="Q57" s="28"/>
      <c r="R57" s="28"/>
    </row>
    <row r="58" spans="1:18" ht="12.75" customHeight="1">
      <c r="A58" s="434"/>
      <c r="B58" s="380" t="s">
        <v>92</v>
      </c>
      <c r="C58" s="381"/>
      <c r="D58" s="381"/>
      <c r="E58" s="381"/>
      <c r="F58" s="381"/>
      <c r="G58" s="431"/>
      <c r="H58" s="277">
        <f>H39+SUM(H43:H57)</f>
        <v>187182.99999999997</v>
      </c>
      <c r="I58" s="7"/>
      <c r="J58" s="7"/>
      <c r="K58" s="7"/>
      <c r="L58" s="7"/>
      <c r="M58" s="29"/>
      <c r="N58" s="29"/>
      <c r="O58" s="28"/>
      <c r="P58" s="28"/>
      <c r="Q58" s="28"/>
      <c r="R58" s="28"/>
    </row>
    <row r="59" spans="1:18" ht="12.75" customHeight="1">
      <c r="A59" s="434"/>
      <c r="B59" s="380"/>
      <c r="C59" s="381"/>
      <c r="D59" s="381"/>
      <c r="E59" s="381"/>
      <c r="F59" s="381"/>
      <c r="G59" s="431"/>
      <c r="H59" s="277"/>
      <c r="I59" s="7"/>
      <c r="J59" s="7"/>
      <c r="K59" s="7"/>
      <c r="L59" s="7"/>
      <c r="M59" s="29"/>
      <c r="N59" s="29"/>
      <c r="O59" s="28"/>
      <c r="P59" s="28"/>
      <c r="Q59" s="28"/>
      <c r="R59" s="28"/>
    </row>
    <row r="60" spans="1:18" ht="12.75" customHeight="1">
      <c r="A60" s="373" t="s">
        <v>437</v>
      </c>
      <c r="B60" s="41" t="s">
        <v>88</v>
      </c>
      <c r="C60" s="41"/>
      <c r="D60" s="41"/>
      <c r="E60" s="41"/>
      <c r="F60" s="41"/>
      <c r="G60" s="41"/>
      <c r="H60" s="276">
        <v>10000</v>
      </c>
      <c r="I60" s="7"/>
      <c r="J60" s="7"/>
      <c r="K60" s="7"/>
      <c r="L60" s="7"/>
      <c r="M60" s="29"/>
      <c r="N60" s="29"/>
      <c r="O60" s="28"/>
      <c r="P60" s="28"/>
      <c r="Q60" s="28"/>
      <c r="R60" s="28"/>
    </row>
    <row r="61" spans="1:18" ht="15.75">
      <c r="A61" s="373" t="s">
        <v>437</v>
      </c>
      <c r="B61" s="253" t="s">
        <v>532</v>
      </c>
      <c r="C61" s="253"/>
      <c r="D61" s="253"/>
      <c r="E61" s="253"/>
      <c r="F61" s="253"/>
      <c r="G61" s="253"/>
      <c r="H61" s="435"/>
      <c r="I61" s="29"/>
      <c r="J61" s="29"/>
      <c r="K61" s="29"/>
      <c r="L61" s="29"/>
      <c r="M61" s="29"/>
      <c r="N61" s="29"/>
      <c r="O61" s="28"/>
      <c r="P61" s="28"/>
      <c r="Q61" s="28"/>
      <c r="R61" s="28"/>
    </row>
    <row r="62" spans="1:18" ht="15.75">
      <c r="A62" s="377"/>
      <c r="B62" s="256" t="s">
        <v>435</v>
      </c>
      <c r="C62" s="256"/>
      <c r="D62" s="256"/>
      <c r="E62" s="256"/>
      <c r="F62" s="256"/>
      <c r="G62" s="275"/>
      <c r="H62" s="276">
        <v>0</v>
      </c>
      <c r="I62" s="260">
        <v>0</v>
      </c>
      <c r="J62" s="260">
        <v>0</v>
      </c>
      <c r="K62" s="260">
        <v>0</v>
      </c>
      <c r="L62" s="260">
        <v>0</v>
      </c>
      <c r="M62" s="260">
        <v>0</v>
      </c>
      <c r="N62" s="260">
        <v>0</v>
      </c>
      <c r="O62" s="28"/>
      <c r="P62" s="28"/>
      <c r="Q62" s="28"/>
      <c r="R62" s="28"/>
    </row>
    <row r="63" spans="1:18" ht="15.75">
      <c r="A63" s="377"/>
      <c r="B63" s="256" t="s">
        <v>73</v>
      </c>
      <c r="C63" s="256"/>
      <c r="D63" s="256"/>
      <c r="E63" s="256"/>
      <c r="F63" s="256"/>
      <c r="G63" s="275"/>
      <c r="H63" s="276">
        <v>0</v>
      </c>
      <c r="I63" s="260">
        <v>0</v>
      </c>
      <c r="J63" s="260">
        <v>0</v>
      </c>
      <c r="K63" s="260">
        <v>0</v>
      </c>
      <c r="L63" s="260">
        <v>0</v>
      </c>
      <c r="M63" s="260">
        <v>0</v>
      </c>
      <c r="N63" s="260">
        <v>0</v>
      </c>
      <c r="O63" s="28"/>
      <c r="P63" s="28"/>
      <c r="Q63" s="28"/>
      <c r="R63" s="28"/>
    </row>
    <row r="64" spans="1:18" ht="15.75">
      <c r="A64" s="377"/>
      <c r="B64" s="256" t="s">
        <v>65</v>
      </c>
      <c r="C64" s="256"/>
      <c r="D64" s="256"/>
      <c r="E64" s="256"/>
      <c r="F64" s="256"/>
      <c r="G64" s="275"/>
      <c r="H64" s="276">
        <v>0</v>
      </c>
      <c r="I64" s="260">
        <v>0</v>
      </c>
      <c r="J64" s="260">
        <v>0</v>
      </c>
      <c r="K64" s="260">
        <v>0</v>
      </c>
      <c r="L64" s="260">
        <v>0</v>
      </c>
      <c r="M64" s="260">
        <v>0</v>
      </c>
      <c r="N64" s="260">
        <v>0</v>
      </c>
      <c r="O64" s="28"/>
      <c r="P64" s="28"/>
      <c r="Q64" s="28"/>
      <c r="R64" s="28"/>
    </row>
    <row r="65" spans="1:18" ht="15.75">
      <c r="A65" s="377"/>
      <c r="B65" s="41" t="s">
        <v>89</v>
      </c>
      <c r="C65" s="28"/>
      <c r="D65" s="50"/>
      <c r="E65" s="50"/>
      <c r="F65" s="50"/>
      <c r="G65" s="426"/>
      <c r="H65" s="278">
        <f>H58+H60+SUM(H62:H64)</f>
        <v>197182.99999999997</v>
      </c>
      <c r="I65" s="51"/>
      <c r="J65" s="51"/>
      <c r="K65" s="51"/>
      <c r="L65" s="51"/>
      <c r="M65" s="52"/>
      <c r="N65" s="52"/>
      <c r="O65" s="28"/>
      <c r="P65" s="28"/>
      <c r="Q65" s="28"/>
      <c r="R65" s="28"/>
    </row>
    <row r="66" spans="1:18" ht="15">
      <c r="A66" s="465" t="s">
        <v>537</v>
      </c>
      <c r="B66" s="250" t="s">
        <v>91</v>
      </c>
      <c r="C66" s="251"/>
      <c r="D66" s="251"/>
      <c r="E66" s="251"/>
      <c r="F66" s="251"/>
      <c r="G66" s="251"/>
      <c r="H66" s="252"/>
      <c r="I66" s="399" t="s">
        <v>226</v>
      </c>
      <c r="J66" s="52"/>
      <c r="K66" s="52"/>
      <c r="L66" s="52"/>
      <c r="M66" s="52"/>
      <c r="N66" s="52"/>
      <c r="O66" s="28"/>
      <c r="P66" s="28"/>
      <c r="Q66" s="28"/>
      <c r="R66" s="28"/>
    </row>
    <row r="67" spans="1:18" ht="15">
      <c r="A67" s="377"/>
      <c r="B67" s="436" t="s">
        <v>463</v>
      </c>
      <c r="C67" s="421"/>
      <c r="D67" s="421"/>
      <c r="E67" s="421"/>
      <c r="F67" s="421"/>
      <c r="G67" s="437"/>
      <c r="H67" s="437"/>
      <c r="I67" s="400" t="s">
        <v>48</v>
      </c>
      <c r="J67" s="52"/>
      <c r="K67" s="52"/>
      <c r="L67" s="52"/>
      <c r="M67" s="52"/>
      <c r="N67" s="52"/>
      <c r="O67" s="28"/>
      <c r="P67" s="28"/>
      <c r="Q67" s="28"/>
      <c r="R67" s="28"/>
    </row>
    <row r="68" spans="1:18" ht="12.75">
      <c r="A68" s="377"/>
      <c r="B68" s="28"/>
      <c r="C68" s="438"/>
      <c r="D68" s="639" t="s">
        <v>464</v>
      </c>
      <c r="E68" s="640"/>
      <c r="F68" s="641"/>
      <c r="G68" s="50"/>
      <c r="H68" s="439"/>
      <c r="I68" s="397">
        <f>H68/$G$9</f>
        <v>0</v>
      </c>
      <c r="J68" s="52"/>
      <c r="K68" s="52"/>
      <c r="L68" s="52"/>
      <c r="M68" s="52"/>
      <c r="N68" s="52"/>
      <c r="O68" s="28"/>
      <c r="P68" s="28"/>
      <c r="Q68" s="28"/>
      <c r="R68" s="28"/>
    </row>
    <row r="69" spans="1:18" ht="12.75">
      <c r="A69" s="377"/>
      <c r="B69" s="54" t="s">
        <v>465</v>
      </c>
      <c r="C69" s="438"/>
      <c r="D69" s="440"/>
      <c r="E69" s="441"/>
      <c r="F69" s="442"/>
      <c r="G69" s="255"/>
      <c r="H69" s="276">
        <v>0</v>
      </c>
      <c r="I69" s="397">
        <f aca="true" t="shared" si="1" ref="I69:I132">H69/$G$9</f>
        <v>0</v>
      </c>
      <c r="J69" s="52"/>
      <c r="K69" s="52"/>
      <c r="L69" s="52"/>
      <c r="M69" s="52"/>
      <c r="N69" s="52"/>
      <c r="O69" s="28"/>
      <c r="P69" s="28"/>
      <c r="Q69" s="28"/>
      <c r="R69" s="28"/>
    </row>
    <row r="70" spans="1:18" ht="12.75">
      <c r="A70" s="377"/>
      <c r="B70" s="54" t="s">
        <v>466</v>
      </c>
      <c r="C70" s="443"/>
      <c r="D70" s="348"/>
      <c r="E70" s="349"/>
      <c r="F70" s="350"/>
      <c r="G70" s="255"/>
      <c r="H70" s="276">
        <v>0</v>
      </c>
      <c r="I70" s="397">
        <f t="shared" si="1"/>
        <v>0</v>
      </c>
      <c r="J70" s="52"/>
      <c r="K70" s="52"/>
      <c r="L70" s="52"/>
      <c r="M70" s="52"/>
      <c r="N70" s="52"/>
      <c r="O70" s="28"/>
      <c r="P70" s="28"/>
      <c r="Q70" s="28"/>
      <c r="R70" s="28"/>
    </row>
    <row r="71" spans="1:18" ht="12.75">
      <c r="A71" s="377"/>
      <c r="B71" s="54" t="s">
        <v>467</v>
      </c>
      <c r="C71" s="438"/>
      <c r="D71" s="289"/>
      <c r="E71" s="11"/>
      <c r="F71" s="290"/>
      <c r="G71" s="255"/>
      <c r="H71" s="276">
        <v>0</v>
      </c>
      <c r="I71" s="397">
        <f t="shared" si="1"/>
        <v>0</v>
      </c>
      <c r="J71" s="52"/>
      <c r="K71" s="52"/>
      <c r="L71" s="52"/>
      <c r="M71" s="52"/>
      <c r="N71" s="52"/>
      <c r="O71" s="28"/>
      <c r="P71" s="28"/>
      <c r="Q71" s="28"/>
      <c r="R71" s="28"/>
    </row>
    <row r="72" spans="1:18" ht="12.75">
      <c r="A72" s="377"/>
      <c r="B72" s="54" t="s">
        <v>468</v>
      </c>
      <c r="C72" s="443"/>
      <c r="D72" s="348"/>
      <c r="E72" s="349"/>
      <c r="F72" s="350"/>
      <c r="G72" s="255"/>
      <c r="H72" s="276">
        <v>0</v>
      </c>
      <c r="I72" s="397">
        <f t="shared" si="1"/>
        <v>0</v>
      </c>
      <c r="J72" s="52"/>
      <c r="K72" s="52"/>
      <c r="L72" s="52"/>
      <c r="M72" s="52"/>
      <c r="N72" s="52"/>
      <c r="O72" s="28"/>
      <c r="P72" s="28"/>
      <c r="Q72" s="28"/>
      <c r="R72" s="28"/>
    </row>
    <row r="73" spans="1:18" ht="12.75">
      <c r="A73" s="377"/>
      <c r="B73" s="54" t="s">
        <v>75</v>
      </c>
      <c r="C73" s="443"/>
      <c r="D73" s="348"/>
      <c r="E73" s="349"/>
      <c r="F73" s="350"/>
      <c r="G73" s="255"/>
      <c r="H73" s="276">
        <v>0</v>
      </c>
      <c r="I73" s="397">
        <f t="shared" si="1"/>
        <v>0</v>
      </c>
      <c r="J73" s="52"/>
      <c r="K73" s="52"/>
      <c r="L73" s="52"/>
      <c r="M73" s="52"/>
      <c r="N73" s="52"/>
      <c r="O73" s="28"/>
      <c r="P73" s="28"/>
      <c r="Q73" s="28"/>
      <c r="R73" s="28"/>
    </row>
    <row r="74" spans="1:18" ht="12.75">
      <c r="A74" s="377"/>
      <c r="B74" s="54" t="s">
        <v>469</v>
      </c>
      <c r="C74" s="438"/>
      <c r="D74" s="289"/>
      <c r="E74" s="11"/>
      <c r="F74" s="290"/>
      <c r="G74" s="255"/>
      <c r="H74" s="276">
        <v>0</v>
      </c>
      <c r="I74" s="397">
        <f t="shared" si="1"/>
        <v>0</v>
      </c>
      <c r="J74" s="52"/>
      <c r="K74" s="52"/>
      <c r="L74" s="52"/>
      <c r="M74" s="52"/>
      <c r="N74" s="52"/>
      <c r="O74" s="28"/>
      <c r="P74" s="28"/>
      <c r="Q74" s="28"/>
      <c r="R74" s="28"/>
    </row>
    <row r="75" spans="1:18" ht="12.75">
      <c r="A75" s="377"/>
      <c r="B75" s="54" t="s">
        <v>470</v>
      </c>
      <c r="C75" s="438"/>
      <c r="D75" s="289"/>
      <c r="E75" s="11"/>
      <c r="F75" s="290"/>
      <c r="G75" s="255"/>
      <c r="H75" s="276">
        <v>0</v>
      </c>
      <c r="I75" s="397">
        <f t="shared" si="1"/>
        <v>0</v>
      </c>
      <c r="J75" s="52"/>
      <c r="K75" s="52"/>
      <c r="L75" s="52"/>
      <c r="M75" s="52"/>
      <c r="N75" s="52"/>
      <c r="O75" s="28"/>
      <c r="P75" s="28"/>
      <c r="Q75" s="28"/>
      <c r="R75" s="28"/>
    </row>
    <row r="76" spans="1:18" ht="12.75">
      <c r="A76" s="377"/>
      <c r="B76" s="54" t="s">
        <v>471</v>
      </c>
      <c r="C76" s="438"/>
      <c r="D76" s="289" t="s">
        <v>472</v>
      </c>
      <c r="E76" s="11"/>
      <c r="F76" s="290"/>
      <c r="G76" s="255"/>
      <c r="H76" s="276">
        <v>4500</v>
      </c>
      <c r="I76" s="397">
        <f t="shared" si="1"/>
        <v>15</v>
      </c>
      <c r="J76" s="52"/>
      <c r="K76" s="52"/>
      <c r="L76" s="52"/>
      <c r="M76" s="52"/>
      <c r="N76" s="52"/>
      <c r="O76" s="28"/>
      <c r="P76" s="28"/>
      <c r="Q76" s="28"/>
      <c r="R76" s="28"/>
    </row>
    <row r="77" spans="1:18" ht="12.75">
      <c r="A77" s="377"/>
      <c r="B77" s="54" t="s">
        <v>471</v>
      </c>
      <c r="C77" s="438"/>
      <c r="D77" s="289"/>
      <c r="E77" s="11"/>
      <c r="F77" s="290"/>
      <c r="G77" s="255"/>
      <c r="H77" s="276">
        <v>0</v>
      </c>
      <c r="I77" s="397">
        <f t="shared" si="1"/>
        <v>0</v>
      </c>
      <c r="J77" s="52"/>
      <c r="K77" s="52"/>
      <c r="L77" s="52"/>
      <c r="M77" s="52"/>
      <c r="N77" s="52"/>
      <c r="O77" s="28"/>
      <c r="P77" s="28"/>
      <c r="Q77" s="28"/>
      <c r="R77" s="28"/>
    </row>
    <row r="78" spans="1:18" ht="12.75">
      <c r="A78" s="377"/>
      <c r="B78" s="54" t="s">
        <v>76</v>
      </c>
      <c r="C78" s="438"/>
      <c r="D78" s="289"/>
      <c r="E78" s="11"/>
      <c r="F78" s="290"/>
      <c r="G78" s="255"/>
      <c r="H78" s="276">
        <v>0</v>
      </c>
      <c r="I78" s="397">
        <f t="shared" si="1"/>
        <v>0</v>
      </c>
      <c r="J78" s="52"/>
      <c r="K78" s="52"/>
      <c r="L78" s="52"/>
      <c r="M78" s="52"/>
      <c r="N78" s="52"/>
      <c r="O78" s="28"/>
      <c r="P78" s="28"/>
      <c r="Q78" s="28"/>
      <c r="R78" s="28"/>
    </row>
    <row r="79" spans="1:18" ht="12.75">
      <c r="A79" s="377"/>
      <c r="B79" s="54" t="s">
        <v>473</v>
      </c>
      <c r="C79" s="438"/>
      <c r="D79" s="289"/>
      <c r="E79" s="11"/>
      <c r="F79" s="290"/>
      <c r="G79" s="255"/>
      <c r="H79" s="276">
        <v>0</v>
      </c>
      <c r="I79" s="397">
        <f t="shared" si="1"/>
        <v>0</v>
      </c>
      <c r="J79" s="52"/>
      <c r="K79" s="52"/>
      <c r="L79" s="52"/>
      <c r="M79" s="52"/>
      <c r="N79" s="52"/>
      <c r="O79" s="28"/>
      <c r="P79" s="28"/>
      <c r="Q79" s="28"/>
      <c r="R79" s="28"/>
    </row>
    <row r="80" spans="1:18" ht="12.75">
      <c r="A80" s="377"/>
      <c r="B80" s="54" t="s">
        <v>474</v>
      </c>
      <c r="C80" s="438"/>
      <c r="D80" s="289"/>
      <c r="E80" s="11"/>
      <c r="F80" s="290"/>
      <c r="G80" s="255"/>
      <c r="H80" s="276">
        <v>0</v>
      </c>
      <c r="I80" s="397">
        <f t="shared" si="1"/>
        <v>0</v>
      </c>
      <c r="J80" s="52"/>
      <c r="K80" s="52"/>
      <c r="L80" s="52"/>
      <c r="M80" s="52"/>
      <c r="N80" s="52"/>
      <c r="O80" s="28"/>
      <c r="P80" s="28"/>
      <c r="Q80" s="28"/>
      <c r="R80" s="28"/>
    </row>
    <row r="81" spans="1:18" ht="15" customHeight="1">
      <c r="A81" s="377"/>
      <c r="B81" s="54" t="s">
        <v>475</v>
      </c>
      <c r="C81" s="438"/>
      <c r="D81" s="289"/>
      <c r="E81" s="11"/>
      <c r="F81" s="290"/>
      <c r="G81" s="255"/>
      <c r="H81" s="276">
        <v>0</v>
      </c>
      <c r="I81" s="397">
        <f t="shared" si="1"/>
        <v>0</v>
      </c>
      <c r="J81" s="52"/>
      <c r="K81" s="52"/>
      <c r="L81" s="52"/>
      <c r="M81" s="52"/>
      <c r="N81" s="52"/>
      <c r="O81" s="28"/>
      <c r="P81" s="28"/>
      <c r="Q81" s="28"/>
      <c r="R81" s="28"/>
    </row>
    <row r="82" spans="1:18" ht="12.75">
      <c r="A82" s="377"/>
      <c r="B82" s="54" t="s">
        <v>476</v>
      </c>
      <c r="C82" s="438"/>
      <c r="D82" s="289"/>
      <c r="E82" s="11"/>
      <c r="F82" s="290"/>
      <c r="G82" s="255"/>
      <c r="H82" s="276">
        <v>0</v>
      </c>
      <c r="I82" s="397">
        <f t="shared" si="1"/>
        <v>0</v>
      </c>
      <c r="J82" s="52"/>
      <c r="K82" s="52"/>
      <c r="L82" s="52"/>
      <c r="M82" s="52"/>
      <c r="N82" s="52"/>
      <c r="O82" s="28"/>
      <c r="P82" s="28"/>
      <c r="Q82" s="28"/>
      <c r="R82" s="28"/>
    </row>
    <row r="83" spans="1:18" ht="12.75">
      <c r="A83" s="377"/>
      <c r="B83" s="54" t="s">
        <v>477</v>
      </c>
      <c r="C83" s="438"/>
      <c r="D83" s="289"/>
      <c r="E83" s="11"/>
      <c r="F83" s="290"/>
      <c r="G83" s="255"/>
      <c r="H83" s="276">
        <v>0</v>
      </c>
      <c r="I83" s="397">
        <f t="shared" si="1"/>
        <v>0</v>
      </c>
      <c r="J83" s="52"/>
      <c r="K83" s="52"/>
      <c r="L83" s="52"/>
      <c r="M83" s="52"/>
      <c r="N83" s="52"/>
      <c r="O83" s="28"/>
      <c r="P83" s="28"/>
      <c r="Q83" s="28"/>
      <c r="R83" s="28"/>
    </row>
    <row r="84" spans="1:18" ht="12.75">
      <c r="A84" s="377"/>
      <c r="B84" s="54" t="s">
        <v>478</v>
      </c>
      <c r="C84" s="438"/>
      <c r="D84" s="289"/>
      <c r="E84" s="11"/>
      <c r="F84" s="290"/>
      <c r="G84" s="255"/>
      <c r="H84" s="276">
        <v>0</v>
      </c>
      <c r="I84" s="397">
        <f t="shared" si="1"/>
        <v>0</v>
      </c>
      <c r="J84" s="52"/>
      <c r="K84" s="52"/>
      <c r="L84" s="52"/>
      <c r="M84" s="52"/>
      <c r="N84" s="52"/>
      <c r="O84" s="28"/>
      <c r="P84" s="28"/>
      <c r="Q84" s="28"/>
      <c r="R84" s="28"/>
    </row>
    <row r="85" spans="1:18" ht="12.75">
      <c r="A85" s="377"/>
      <c r="B85" s="54" t="s">
        <v>479</v>
      </c>
      <c r="C85" s="438"/>
      <c r="D85" s="289"/>
      <c r="E85" s="11"/>
      <c r="F85" s="290"/>
      <c r="G85" s="255"/>
      <c r="H85" s="276">
        <v>0</v>
      </c>
      <c r="I85" s="397">
        <f t="shared" si="1"/>
        <v>0</v>
      </c>
      <c r="J85" s="52"/>
      <c r="K85" s="52"/>
      <c r="L85" s="52"/>
      <c r="M85" s="52"/>
      <c r="N85" s="52"/>
      <c r="O85" s="28"/>
      <c r="P85" s="28"/>
      <c r="Q85" s="28"/>
      <c r="R85" s="28"/>
    </row>
    <row r="86" spans="1:18" ht="12.75">
      <c r="A86" s="377"/>
      <c r="B86" s="54" t="s">
        <v>480</v>
      </c>
      <c r="C86" s="438"/>
      <c r="D86" s="289"/>
      <c r="E86" s="11"/>
      <c r="F86" s="290"/>
      <c r="G86" s="255"/>
      <c r="H86" s="276">
        <v>2500</v>
      </c>
      <c r="I86" s="397">
        <f t="shared" si="1"/>
        <v>8.333333333333334</v>
      </c>
      <c r="J86" s="52"/>
      <c r="K86" s="52"/>
      <c r="L86" s="52"/>
      <c r="M86" s="52"/>
      <c r="N86" s="52"/>
      <c r="O86" s="28"/>
      <c r="P86" s="28"/>
      <c r="Q86" s="28"/>
      <c r="R86" s="28"/>
    </row>
    <row r="87" spans="1:18" ht="12.75">
      <c r="A87" s="377"/>
      <c r="B87" s="54" t="s">
        <v>481</v>
      </c>
      <c r="C87" s="438"/>
      <c r="D87" s="289"/>
      <c r="E87" s="11"/>
      <c r="F87" s="290"/>
      <c r="G87" s="255"/>
      <c r="H87" s="276">
        <v>0</v>
      </c>
      <c r="I87" s="397">
        <f t="shared" si="1"/>
        <v>0</v>
      </c>
      <c r="J87" s="52"/>
      <c r="K87" s="52"/>
      <c r="L87" s="52"/>
      <c r="M87" s="52"/>
      <c r="N87" s="52"/>
      <c r="O87" s="28"/>
      <c r="P87" s="28"/>
      <c r="Q87" s="28"/>
      <c r="R87" s="28"/>
    </row>
    <row r="88" spans="1:18" ht="12.75">
      <c r="A88" s="377"/>
      <c r="B88" s="54" t="s">
        <v>482</v>
      </c>
      <c r="C88" s="438"/>
      <c r="D88" s="289"/>
      <c r="E88" s="11"/>
      <c r="F88" s="290"/>
      <c r="G88" s="255"/>
      <c r="H88" s="276">
        <v>0</v>
      </c>
      <c r="I88" s="397">
        <f t="shared" si="1"/>
        <v>0</v>
      </c>
      <c r="J88" s="52"/>
      <c r="K88" s="52"/>
      <c r="L88" s="52"/>
      <c r="M88" s="52"/>
      <c r="N88" s="52"/>
      <c r="O88" s="28"/>
      <c r="P88" s="28"/>
      <c r="Q88" s="28"/>
      <c r="R88" s="28"/>
    </row>
    <row r="89" spans="1:18" ht="12.75">
      <c r="A89" s="377"/>
      <c r="B89" s="54" t="s">
        <v>483</v>
      </c>
      <c r="C89" s="438"/>
      <c r="D89" s="289"/>
      <c r="E89" s="11"/>
      <c r="F89" s="290"/>
      <c r="G89" s="255"/>
      <c r="H89" s="276">
        <v>6700</v>
      </c>
      <c r="I89" s="397">
        <f t="shared" si="1"/>
        <v>22.333333333333332</v>
      </c>
      <c r="J89" s="52"/>
      <c r="K89" s="52"/>
      <c r="L89" s="52"/>
      <c r="M89" s="52"/>
      <c r="N89" s="52"/>
      <c r="O89" s="28"/>
      <c r="P89" s="28"/>
      <c r="Q89" s="28"/>
      <c r="R89" s="28"/>
    </row>
    <row r="90" spans="1:18" ht="12.75">
      <c r="A90" s="377"/>
      <c r="B90" s="54" t="s">
        <v>484</v>
      </c>
      <c r="C90" s="438"/>
      <c r="D90" s="289"/>
      <c r="E90" s="11"/>
      <c r="F90" s="290"/>
      <c r="G90" s="255"/>
      <c r="H90" s="276">
        <v>10500</v>
      </c>
      <c r="I90" s="397">
        <f t="shared" si="1"/>
        <v>35</v>
      </c>
      <c r="J90" s="52"/>
      <c r="K90" s="52"/>
      <c r="L90" s="52"/>
      <c r="M90" s="52"/>
      <c r="N90" s="52"/>
      <c r="O90" s="28"/>
      <c r="P90" s="28"/>
      <c r="Q90" s="28"/>
      <c r="R90" s="28"/>
    </row>
    <row r="91" spans="1:18" ht="12.75">
      <c r="A91" s="377"/>
      <c r="B91" s="54" t="s">
        <v>485</v>
      </c>
      <c r="C91" s="438"/>
      <c r="D91" s="289"/>
      <c r="E91" s="11"/>
      <c r="F91" s="290"/>
      <c r="G91" s="255"/>
      <c r="H91" s="276">
        <v>0</v>
      </c>
      <c r="I91" s="397">
        <f t="shared" si="1"/>
        <v>0</v>
      </c>
      <c r="J91" s="52"/>
      <c r="K91" s="52"/>
      <c r="L91" s="52"/>
      <c r="M91" s="52"/>
      <c r="N91" s="52"/>
      <c r="O91" s="28"/>
      <c r="P91" s="28"/>
      <c r="Q91" s="28"/>
      <c r="R91" s="28"/>
    </row>
    <row r="92" spans="1:18" ht="12.75">
      <c r="A92" s="377"/>
      <c r="B92" s="54" t="s">
        <v>486</v>
      </c>
      <c r="C92" s="438"/>
      <c r="D92" s="289"/>
      <c r="E92" s="11"/>
      <c r="F92" s="290"/>
      <c r="G92" s="255"/>
      <c r="H92" s="276">
        <v>0</v>
      </c>
      <c r="I92" s="397">
        <f t="shared" si="1"/>
        <v>0</v>
      </c>
      <c r="J92" s="52"/>
      <c r="K92" s="52"/>
      <c r="L92" s="52"/>
      <c r="M92" s="52"/>
      <c r="N92" s="52"/>
      <c r="O92" s="28"/>
      <c r="P92" s="28"/>
      <c r="Q92" s="28"/>
      <c r="R92" s="28"/>
    </row>
    <row r="93" spans="1:18" ht="12.75">
      <c r="A93" s="377"/>
      <c r="B93" s="54" t="s">
        <v>487</v>
      </c>
      <c r="C93" s="438"/>
      <c r="D93" s="289"/>
      <c r="E93" s="11"/>
      <c r="F93" s="290"/>
      <c r="G93" s="255"/>
      <c r="H93" s="276">
        <v>0</v>
      </c>
      <c r="I93" s="397">
        <f t="shared" si="1"/>
        <v>0</v>
      </c>
      <c r="J93" s="52"/>
      <c r="K93" s="52"/>
      <c r="L93" s="52"/>
      <c r="M93" s="52"/>
      <c r="N93" s="52"/>
      <c r="O93" s="28"/>
      <c r="P93" s="28"/>
      <c r="Q93" s="28"/>
      <c r="R93" s="28"/>
    </row>
    <row r="94" spans="1:18" ht="12.75">
      <c r="A94" s="377"/>
      <c r="B94" s="54" t="s">
        <v>488</v>
      </c>
      <c r="C94" s="438"/>
      <c r="D94" s="289"/>
      <c r="E94" s="11"/>
      <c r="F94" s="290"/>
      <c r="G94" s="255"/>
      <c r="H94" s="276">
        <v>0</v>
      </c>
      <c r="I94" s="397">
        <f t="shared" si="1"/>
        <v>0</v>
      </c>
      <c r="J94" s="52"/>
      <c r="K94" s="52"/>
      <c r="L94" s="52"/>
      <c r="M94" s="52"/>
      <c r="N94" s="52"/>
      <c r="O94" s="28"/>
      <c r="P94" s="28"/>
      <c r="Q94" s="28"/>
      <c r="R94" s="28"/>
    </row>
    <row r="95" spans="1:18" ht="12.75">
      <c r="A95" s="377"/>
      <c r="B95" s="54" t="s">
        <v>489</v>
      </c>
      <c r="C95" s="438"/>
      <c r="D95" s="289"/>
      <c r="E95" s="11"/>
      <c r="F95" s="290"/>
      <c r="G95" s="255"/>
      <c r="H95" s="276">
        <v>0</v>
      </c>
      <c r="I95" s="397">
        <f t="shared" si="1"/>
        <v>0</v>
      </c>
      <c r="J95" s="52"/>
      <c r="K95" s="52"/>
      <c r="L95" s="52"/>
      <c r="M95" s="52"/>
      <c r="N95" s="52"/>
      <c r="O95" s="28"/>
      <c r="P95" s="28"/>
      <c r="Q95" s="28"/>
      <c r="R95" s="28"/>
    </row>
    <row r="96" spans="1:18" ht="12.75">
      <c r="A96" s="377"/>
      <c r="B96" s="54" t="s">
        <v>490</v>
      </c>
      <c r="C96" s="28"/>
      <c r="D96" s="289"/>
      <c r="E96" s="11"/>
      <c r="F96" s="290"/>
      <c r="G96" s="255"/>
      <c r="H96" s="276">
        <v>0</v>
      </c>
      <c r="I96" s="397">
        <f t="shared" si="1"/>
        <v>0</v>
      </c>
      <c r="J96" s="52"/>
      <c r="K96" s="52"/>
      <c r="L96" s="52"/>
      <c r="M96" s="52"/>
      <c r="N96" s="52"/>
      <c r="O96" s="28"/>
      <c r="P96" s="28"/>
      <c r="Q96" s="28"/>
      <c r="R96" s="28"/>
    </row>
    <row r="97" spans="1:18" ht="12.75">
      <c r="A97" s="377"/>
      <c r="B97" s="54" t="s">
        <v>491</v>
      </c>
      <c r="C97" s="28"/>
      <c r="D97" s="289"/>
      <c r="E97" s="11"/>
      <c r="F97" s="290"/>
      <c r="G97" s="255"/>
      <c r="H97" s="276">
        <v>6500</v>
      </c>
      <c r="I97" s="397">
        <f t="shared" si="1"/>
        <v>21.666666666666668</v>
      </c>
      <c r="J97" s="52"/>
      <c r="K97" s="52"/>
      <c r="L97" s="52"/>
      <c r="M97" s="52"/>
      <c r="N97" s="52"/>
      <c r="O97" s="28"/>
      <c r="P97" s="28"/>
      <c r="Q97" s="28"/>
      <c r="R97" s="28"/>
    </row>
    <row r="98" spans="1:18" ht="12.75">
      <c r="A98" s="377"/>
      <c r="B98" s="54" t="s">
        <v>492</v>
      </c>
      <c r="C98" s="28"/>
      <c r="D98" s="289"/>
      <c r="E98" s="11"/>
      <c r="F98" s="290"/>
      <c r="G98" s="255"/>
      <c r="H98" s="276">
        <v>4500</v>
      </c>
      <c r="I98" s="397">
        <f t="shared" si="1"/>
        <v>15</v>
      </c>
      <c r="J98" s="52"/>
      <c r="K98" s="52"/>
      <c r="L98" s="52"/>
      <c r="M98" s="52"/>
      <c r="N98" s="52"/>
      <c r="O98" s="28"/>
      <c r="P98" s="28"/>
      <c r="Q98" s="28"/>
      <c r="R98" s="28"/>
    </row>
    <row r="99" spans="1:18" ht="12.75">
      <c r="A99" s="377"/>
      <c r="B99" s="54" t="s">
        <v>493</v>
      </c>
      <c r="C99" s="28"/>
      <c r="D99" s="289"/>
      <c r="E99" s="11"/>
      <c r="F99" s="290"/>
      <c r="G99" s="255"/>
      <c r="H99" s="276">
        <v>0</v>
      </c>
      <c r="I99" s="397">
        <f t="shared" si="1"/>
        <v>0</v>
      </c>
      <c r="J99" s="52"/>
      <c r="K99" s="52"/>
      <c r="L99" s="52"/>
      <c r="M99" s="52"/>
      <c r="N99" s="52"/>
      <c r="O99" s="28"/>
      <c r="P99" s="28"/>
      <c r="Q99" s="28"/>
      <c r="R99" s="28"/>
    </row>
    <row r="100" spans="1:18" ht="12.75">
      <c r="A100" s="377"/>
      <c r="B100" s="54" t="s">
        <v>494</v>
      </c>
      <c r="C100" s="28"/>
      <c r="D100" s="289"/>
      <c r="E100" s="11"/>
      <c r="F100" s="290"/>
      <c r="G100" s="255"/>
      <c r="H100" s="276">
        <v>0</v>
      </c>
      <c r="I100" s="397">
        <f t="shared" si="1"/>
        <v>0</v>
      </c>
      <c r="J100" s="52"/>
      <c r="K100" s="52"/>
      <c r="L100" s="52"/>
      <c r="M100" s="52"/>
      <c r="N100" s="52"/>
      <c r="O100" s="28"/>
      <c r="P100" s="28"/>
      <c r="Q100" s="28"/>
      <c r="R100" s="28"/>
    </row>
    <row r="101" spans="1:18" ht="15" customHeight="1">
      <c r="A101" s="377"/>
      <c r="B101" s="54" t="s">
        <v>74</v>
      </c>
      <c r="C101" s="28"/>
      <c r="D101" s="289"/>
      <c r="E101" s="11"/>
      <c r="F101" s="290"/>
      <c r="G101" s="255"/>
      <c r="H101" s="276">
        <v>1300</v>
      </c>
      <c r="I101" s="397">
        <f t="shared" si="1"/>
        <v>4.333333333333333</v>
      </c>
      <c r="J101" s="52"/>
      <c r="K101" s="52"/>
      <c r="L101" s="52"/>
      <c r="M101" s="52"/>
      <c r="N101" s="52"/>
      <c r="O101" s="28"/>
      <c r="P101" s="28"/>
      <c r="Q101" s="28"/>
      <c r="R101" s="28"/>
    </row>
    <row r="102" spans="1:18" ht="12.75">
      <c r="A102" s="377"/>
      <c r="B102" s="54" t="s">
        <v>495</v>
      </c>
      <c r="C102" s="438"/>
      <c r="D102" s="289"/>
      <c r="E102" s="11"/>
      <c r="F102" s="290"/>
      <c r="G102" s="255"/>
      <c r="H102" s="276">
        <v>0</v>
      </c>
      <c r="I102" s="397">
        <f t="shared" si="1"/>
        <v>0</v>
      </c>
      <c r="J102" s="52"/>
      <c r="K102" s="52"/>
      <c r="L102" s="52"/>
      <c r="M102" s="52"/>
      <c r="N102" s="52"/>
      <c r="O102" s="28"/>
      <c r="P102" s="28"/>
      <c r="Q102" s="28"/>
      <c r="R102" s="28"/>
    </row>
    <row r="103" spans="1:18" ht="12.75">
      <c r="A103" s="377"/>
      <c r="B103" s="54" t="s">
        <v>496</v>
      </c>
      <c r="C103" s="28"/>
      <c r="D103" s="289"/>
      <c r="E103" s="11"/>
      <c r="F103" s="290"/>
      <c r="G103" s="255"/>
      <c r="H103" s="276">
        <v>0</v>
      </c>
      <c r="I103" s="397">
        <f t="shared" si="1"/>
        <v>0</v>
      </c>
      <c r="J103" s="52"/>
      <c r="K103" s="52"/>
      <c r="L103" s="52"/>
      <c r="M103" s="52"/>
      <c r="N103" s="52"/>
      <c r="O103" s="28"/>
      <c r="P103" s="28"/>
      <c r="Q103" s="28"/>
      <c r="R103" s="28"/>
    </row>
    <row r="104" spans="1:18" ht="12.75">
      <c r="A104" s="377"/>
      <c r="B104" s="54" t="s">
        <v>497</v>
      </c>
      <c r="C104" s="28"/>
      <c r="D104" s="289"/>
      <c r="E104" s="11"/>
      <c r="F104" s="290"/>
      <c r="G104" s="255"/>
      <c r="H104" s="276">
        <v>0</v>
      </c>
      <c r="I104" s="397">
        <f t="shared" si="1"/>
        <v>0</v>
      </c>
      <c r="J104" s="52"/>
      <c r="K104" s="52"/>
      <c r="L104" s="52"/>
      <c r="M104" s="52"/>
      <c r="N104" s="52"/>
      <c r="O104" s="28"/>
      <c r="P104" s="28"/>
      <c r="Q104" s="28"/>
      <c r="R104" s="28"/>
    </row>
    <row r="105" spans="1:18" ht="12.75">
      <c r="A105" s="377"/>
      <c r="B105" s="54" t="s">
        <v>498</v>
      </c>
      <c r="C105" s="28"/>
      <c r="D105" s="289"/>
      <c r="E105" s="11"/>
      <c r="F105" s="290"/>
      <c r="G105" s="255"/>
      <c r="H105" s="276">
        <v>0</v>
      </c>
      <c r="I105" s="397">
        <f t="shared" si="1"/>
        <v>0</v>
      </c>
      <c r="J105" s="52"/>
      <c r="K105" s="52"/>
      <c r="L105" s="52"/>
      <c r="M105" s="52"/>
      <c r="N105" s="52"/>
      <c r="O105" s="28"/>
      <c r="P105" s="28"/>
      <c r="Q105" s="28"/>
      <c r="R105" s="28"/>
    </row>
    <row r="106" spans="1:18" ht="12.75">
      <c r="A106" s="377"/>
      <c r="B106" s="28" t="s">
        <v>499</v>
      </c>
      <c r="C106" s="28"/>
      <c r="D106" s="289"/>
      <c r="E106" s="11"/>
      <c r="F106" s="290"/>
      <c r="G106" s="255"/>
      <c r="H106" s="423">
        <v>1800</v>
      </c>
      <c r="I106" s="397">
        <f t="shared" si="1"/>
        <v>6</v>
      </c>
      <c r="J106" s="52"/>
      <c r="K106" s="52"/>
      <c r="L106" s="52"/>
      <c r="M106" s="52"/>
      <c r="N106" s="52"/>
      <c r="O106" s="28"/>
      <c r="P106" s="28"/>
      <c r="Q106" s="28"/>
      <c r="R106" s="28"/>
    </row>
    <row r="107" spans="1:18" ht="12.75">
      <c r="A107" s="377"/>
      <c r="B107" s="28" t="s">
        <v>500</v>
      </c>
      <c r="C107" s="438"/>
      <c r="D107" s="289"/>
      <c r="E107" s="11"/>
      <c r="F107" s="290"/>
      <c r="G107" s="255"/>
      <c r="H107" s="423">
        <v>0</v>
      </c>
      <c r="I107" s="397">
        <f t="shared" si="1"/>
        <v>0</v>
      </c>
      <c r="J107" s="52"/>
      <c r="K107" s="52"/>
      <c r="L107" s="52"/>
      <c r="M107" s="52"/>
      <c r="N107" s="52"/>
      <c r="O107" s="28"/>
      <c r="P107" s="28"/>
      <c r="Q107" s="28"/>
      <c r="R107" s="28"/>
    </row>
    <row r="108" spans="1:18" ht="12.75">
      <c r="A108" s="377"/>
      <c r="B108" s="54" t="s">
        <v>501</v>
      </c>
      <c r="C108" s="438"/>
      <c r="D108" s="289"/>
      <c r="E108" s="11"/>
      <c r="F108" s="290"/>
      <c r="G108" s="255"/>
      <c r="H108" s="276">
        <v>0</v>
      </c>
      <c r="I108" s="397">
        <f t="shared" si="1"/>
        <v>0</v>
      </c>
      <c r="J108" s="52"/>
      <c r="K108" s="52"/>
      <c r="L108" s="52"/>
      <c r="M108" s="52"/>
      <c r="N108" s="52"/>
      <c r="O108" s="28"/>
      <c r="P108" s="28"/>
      <c r="Q108" s="28"/>
      <c r="R108" s="28"/>
    </row>
    <row r="109" spans="1:18" ht="12.75">
      <c r="A109" s="377"/>
      <c r="B109" s="54" t="s">
        <v>502</v>
      </c>
      <c r="C109" s="438"/>
      <c r="D109" s="289"/>
      <c r="E109" s="11"/>
      <c r="F109" s="290"/>
      <c r="G109" s="255"/>
      <c r="H109" s="276">
        <v>6000</v>
      </c>
      <c r="I109" s="397">
        <f t="shared" si="1"/>
        <v>20</v>
      </c>
      <c r="J109" s="52"/>
      <c r="K109" s="52"/>
      <c r="L109" s="52"/>
      <c r="M109" s="52"/>
      <c r="N109" s="52"/>
      <c r="O109" s="28"/>
      <c r="P109" s="28"/>
      <c r="Q109" s="28"/>
      <c r="R109" s="28"/>
    </row>
    <row r="110" spans="1:18" ht="12.75">
      <c r="A110" s="377"/>
      <c r="B110" s="54" t="s">
        <v>503</v>
      </c>
      <c r="C110" s="438"/>
      <c r="D110" s="289"/>
      <c r="E110" s="11"/>
      <c r="F110" s="290"/>
      <c r="G110" s="255"/>
      <c r="H110" s="276">
        <v>800</v>
      </c>
      <c r="I110" s="397">
        <f t="shared" si="1"/>
        <v>2.6666666666666665</v>
      </c>
      <c r="J110" s="52"/>
      <c r="K110" s="52"/>
      <c r="L110" s="52"/>
      <c r="M110" s="52"/>
      <c r="N110" s="52"/>
      <c r="O110" s="28"/>
      <c r="P110" s="28"/>
      <c r="Q110" s="28"/>
      <c r="R110" s="28"/>
    </row>
    <row r="111" spans="1:18" ht="12.75">
      <c r="A111" s="377"/>
      <c r="B111" s="54" t="s">
        <v>504</v>
      </c>
      <c r="C111" s="438"/>
      <c r="D111" s="289"/>
      <c r="E111" s="11"/>
      <c r="F111" s="290"/>
      <c r="G111" s="255"/>
      <c r="H111" s="276">
        <v>0</v>
      </c>
      <c r="I111" s="397">
        <f t="shared" si="1"/>
        <v>0</v>
      </c>
      <c r="J111" s="52"/>
      <c r="K111" s="52"/>
      <c r="L111" s="52"/>
      <c r="M111" s="52"/>
      <c r="N111" s="52"/>
      <c r="O111" s="28"/>
      <c r="P111" s="28"/>
      <c r="Q111" s="28"/>
      <c r="R111" s="28"/>
    </row>
    <row r="112" spans="1:18" ht="12.75">
      <c r="A112" s="377"/>
      <c r="B112" s="54" t="s">
        <v>505</v>
      </c>
      <c r="C112" s="28"/>
      <c r="D112" s="289"/>
      <c r="E112" s="11"/>
      <c r="F112" s="290"/>
      <c r="G112" s="255"/>
      <c r="H112" s="276">
        <v>250</v>
      </c>
      <c r="I112" s="397">
        <f t="shared" si="1"/>
        <v>0.8333333333333334</v>
      </c>
      <c r="J112" s="52"/>
      <c r="K112" s="52"/>
      <c r="L112" s="52"/>
      <c r="M112" s="52"/>
      <c r="N112" s="52"/>
      <c r="O112" s="28"/>
      <c r="P112" s="28"/>
      <c r="Q112" s="28"/>
      <c r="R112" s="28"/>
    </row>
    <row r="113" spans="1:18" ht="12.75">
      <c r="A113" s="377"/>
      <c r="B113" s="54" t="s">
        <v>506</v>
      </c>
      <c r="C113" s="28"/>
      <c r="D113" s="289"/>
      <c r="E113" s="11"/>
      <c r="F113" s="290"/>
      <c r="G113" s="255"/>
      <c r="H113" s="276">
        <v>0</v>
      </c>
      <c r="I113" s="397">
        <f t="shared" si="1"/>
        <v>0</v>
      </c>
      <c r="J113" s="52"/>
      <c r="K113" s="52"/>
      <c r="L113" s="52"/>
      <c r="M113" s="52"/>
      <c r="N113" s="52"/>
      <c r="O113" s="28"/>
      <c r="P113" s="28"/>
      <c r="Q113" s="28"/>
      <c r="R113" s="28"/>
    </row>
    <row r="114" spans="1:18" ht="12.75">
      <c r="A114" s="377"/>
      <c r="B114" s="54" t="s">
        <v>507</v>
      </c>
      <c r="C114" s="28"/>
      <c r="D114" s="289"/>
      <c r="E114" s="11"/>
      <c r="F114" s="290"/>
      <c r="G114" s="255"/>
      <c r="H114" s="276">
        <v>0</v>
      </c>
      <c r="I114" s="397">
        <f t="shared" si="1"/>
        <v>0</v>
      </c>
      <c r="J114" s="52"/>
      <c r="K114" s="52"/>
      <c r="L114" s="52"/>
      <c r="M114" s="52"/>
      <c r="N114" s="52"/>
      <c r="O114" s="28"/>
      <c r="P114" s="28"/>
      <c r="Q114" s="28"/>
      <c r="R114" s="28"/>
    </row>
    <row r="115" spans="1:18" ht="12.75">
      <c r="A115" s="377"/>
      <c r="B115" s="54" t="s">
        <v>508</v>
      </c>
      <c r="C115" s="28"/>
      <c r="D115" s="289"/>
      <c r="E115" s="11"/>
      <c r="F115" s="290"/>
      <c r="G115" s="255"/>
      <c r="H115" s="276">
        <v>0</v>
      </c>
      <c r="I115" s="397">
        <f t="shared" si="1"/>
        <v>0</v>
      </c>
      <c r="J115" s="52"/>
      <c r="K115" s="52"/>
      <c r="L115" s="52"/>
      <c r="M115" s="52"/>
      <c r="N115" s="52"/>
      <c r="O115" s="28"/>
      <c r="P115" s="28"/>
      <c r="Q115" s="28"/>
      <c r="R115" s="28"/>
    </row>
    <row r="116" spans="1:18" ht="12.75">
      <c r="A116" s="377"/>
      <c r="B116" s="54" t="s">
        <v>509</v>
      </c>
      <c r="C116" s="28"/>
      <c r="D116" s="289"/>
      <c r="E116" s="11"/>
      <c r="F116" s="290"/>
      <c r="G116" s="255"/>
      <c r="H116" s="276">
        <v>0</v>
      </c>
      <c r="I116" s="397">
        <f t="shared" si="1"/>
        <v>0</v>
      </c>
      <c r="J116" s="52"/>
      <c r="K116" s="52"/>
      <c r="L116" s="52"/>
      <c r="M116" s="52"/>
      <c r="N116" s="52"/>
      <c r="O116" s="28"/>
      <c r="P116" s="28"/>
      <c r="Q116" s="28"/>
      <c r="R116" s="28"/>
    </row>
    <row r="117" spans="1:18" ht="12.75">
      <c r="A117" s="377"/>
      <c r="B117" s="54" t="s">
        <v>510</v>
      </c>
      <c r="C117" s="28"/>
      <c r="D117" s="289" t="s">
        <v>511</v>
      </c>
      <c r="E117" s="11"/>
      <c r="F117" s="290"/>
      <c r="G117" s="255"/>
      <c r="H117" s="276">
        <v>4000</v>
      </c>
      <c r="I117" s="397">
        <f t="shared" si="1"/>
        <v>13.333333333333334</v>
      </c>
      <c r="J117" s="52"/>
      <c r="K117" s="52"/>
      <c r="L117" s="52"/>
      <c r="M117" s="52"/>
      <c r="N117" s="52"/>
      <c r="O117" s="28"/>
      <c r="P117" s="28"/>
      <c r="Q117" s="28"/>
      <c r="R117" s="28"/>
    </row>
    <row r="118" spans="1:18" ht="12.75">
      <c r="A118" s="377"/>
      <c r="B118" s="54" t="s">
        <v>512</v>
      </c>
      <c r="C118" s="28"/>
      <c r="D118" s="289"/>
      <c r="E118" s="11"/>
      <c r="F118" s="290"/>
      <c r="G118" s="255"/>
      <c r="H118" s="276">
        <v>0</v>
      </c>
      <c r="I118" s="397">
        <f t="shared" si="1"/>
        <v>0</v>
      </c>
      <c r="J118" s="52"/>
      <c r="K118" s="52"/>
      <c r="L118" s="52"/>
      <c r="M118" s="52"/>
      <c r="N118" s="52"/>
      <c r="O118" s="28"/>
      <c r="P118" s="28"/>
      <c r="Q118" s="28"/>
      <c r="R118" s="28"/>
    </row>
    <row r="119" spans="1:18" ht="12.75">
      <c r="A119" s="377"/>
      <c r="B119" s="422" t="s">
        <v>513</v>
      </c>
      <c r="C119" s="444"/>
      <c r="D119" s="445"/>
      <c r="E119" s="446"/>
      <c r="F119" s="447"/>
      <c r="G119" s="448"/>
      <c r="H119" s="449"/>
      <c r="I119" s="397">
        <f t="shared" si="1"/>
        <v>0</v>
      </c>
      <c r="J119" s="52"/>
      <c r="K119" s="52"/>
      <c r="L119" s="52"/>
      <c r="M119" s="52"/>
      <c r="N119" s="52"/>
      <c r="O119" s="28"/>
      <c r="P119" s="28"/>
      <c r="Q119" s="28"/>
      <c r="R119" s="28"/>
    </row>
    <row r="120" spans="1:18" ht="12.75">
      <c r="A120" s="377"/>
      <c r="B120" s="54" t="s">
        <v>514</v>
      </c>
      <c r="C120" s="28"/>
      <c r="D120" s="289"/>
      <c r="E120" s="11"/>
      <c r="F120" s="290"/>
      <c r="G120" s="255"/>
      <c r="H120" s="276">
        <v>0</v>
      </c>
      <c r="I120" s="397">
        <f t="shared" si="1"/>
        <v>0</v>
      </c>
      <c r="J120" s="52"/>
      <c r="K120" s="52"/>
      <c r="L120" s="52"/>
      <c r="M120" s="52"/>
      <c r="N120" s="52"/>
      <c r="O120" s="28"/>
      <c r="P120" s="28"/>
      <c r="Q120" s="28"/>
      <c r="R120" s="28"/>
    </row>
    <row r="121" spans="1:18" ht="12.75">
      <c r="A121" s="377"/>
      <c r="B121" s="54" t="s">
        <v>515</v>
      </c>
      <c r="C121" s="438"/>
      <c r="D121" s="289"/>
      <c r="E121" s="11"/>
      <c r="F121" s="290"/>
      <c r="G121" s="255"/>
      <c r="H121" s="276">
        <v>2000</v>
      </c>
      <c r="I121" s="397">
        <f t="shared" si="1"/>
        <v>6.666666666666667</v>
      </c>
      <c r="J121" s="52"/>
      <c r="K121" s="52"/>
      <c r="L121" s="52"/>
      <c r="M121" s="52"/>
      <c r="N121" s="52"/>
      <c r="O121" s="28"/>
      <c r="P121" s="28"/>
      <c r="Q121" s="28"/>
      <c r="R121" s="28"/>
    </row>
    <row r="122" spans="1:18" ht="12.75">
      <c r="A122" s="377"/>
      <c r="B122" s="54" t="s">
        <v>516</v>
      </c>
      <c r="C122" s="28"/>
      <c r="D122" s="289"/>
      <c r="E122" s="11"/>
      <c r="F122" s="290"/>
      <c r="G122" s="255"/>
      <c r="H122" s="276">
        <v>7000</v>
      </c>
      <c r="I122" s="397">
        <f t="shared" si="1"/>
        <v>23.333333333333332</v>
      </c>
      <c r="J122" s="52"/>
      <c r="K122" s="52"/>
      <c r="L122" s="52"/>
      <c r="M122" s="52"/>
      <c r="N122" s="52"/>
      <c r="O122" s="28"/>
      <c r="P122" s="28"/>
      <c r="Q122" s="28"/>
      <c r="R122" s="28"/>
    </row>
    <row r="123" spans="1:18" ht="12.75">
      <c r="A123" s="377"/>
      <c r="B123" s="54" t="s">
        <v>517</v>
      </c>
      <c r="C123" s="28"/>
      <c r="D123" s="289"/>
      <c r="E123" s="11"/>
      <c r="F123" s="290"/>
      <c r="G123" s="255"/>
      <c r="H123" s="276">
        <v>2500</v>
      </c>
      <c r="I123" s="397">
        <f t="shared" si="1"/>
        <v>8.333333333333334</v>
      </c>
      <c r="J123" s="52"/>
      <c r="K123" s="52"/>
      <c r="L123" s="52"/>
      <c r="M123" s="52"/>
      <c r="N123" s="52"/>
      <c r="O123" s="28"/>
      <c r="P123" s="28"/>
      <c r="Q123" s="28"/>
      <c r="R123" s="28"/>
    </row>
    <row r="124" spans="1:18" ht="12.75">
      <c r="A124" s="377"/>
      <c r="B124" s="54" t="s">
        <v>518</v>
      </c>
      <c r="C124" s="28"/>
      <c r="D124" s="289"/>
      <c r="E124" s="11"/>
      <c r="F124" s="290"/>
      <c r="G124" s="255"/>
      <c r="H124" s="276">
        <v>1100</v>
      </c>
      <c r="I124" s="397">
        <f t="shared" si="1"/>
        <v>3.6666666666666665</v>
      </c>
      <c r="J124" s="52"/>
      <c r="K124" s="52"/>
      <c r="L124" s="52"/>
      <c r="M124" s="52"/>
      <c r="N124" s="52"/>
      <c r="O124" s="28"/>
      <c r="P124" s="28"/>
      <c r="Q124" s="28"/>
      <c r="R124" s="28"/>
    </row>
    <row r="125" spans="1:18" ht="12.75">
      <c r="A125" s="377"/>
      <c r="B125" s="54" t="s">
        <v>434</v>
      </c>
      <c r="C125" s="28"/>
      <c r="D125" s="289"/>
      <c r="E125" s="11"/>
      <c r="F125" s="290"/>
      <c r="G125" s="255"/>
      <c r="H125" s="276">
        <v>2500</v>
      </c>
      <c r="I125" s="397">
        <f t="shared" si="1"/>
        <v>8.333333333333334</v>
      </c>
      <c r="J125" s="52"/>
      <c r="K125" s="52"/>
      <c r="L125" s="52"/>
      <c r="M125" s="52"/>
      <c r="N125" s="52"/>
      <c r="O125" s="28"/>
      <c r="P125" s="28"/>
      <c r="Q125" s="28"/>
      <c r="R125" s="28"/>
    </row>
    <row r="126" spans="1:18" ht="12.75">
      <c r="A126" s="377"/>
      <c r="B126" s="54" t="s">
        <v>486</v>
      </c>
      <c r="C126" s="28"/>
      <c r="D126" s="289"/>
      <c r="E126" s="11"/>
      <c r="F126" s="290"/>
      <c r="G126" s="255"/>
      <c r="H126" s="276">
        <v>800</v>
      </c>
      <c r="I126" s="397">
        <f t="shared" si="1"/>
        <v>2.6666666666666665</v>
      </c>
      <c r="J126" s="52"/>
      <c r="K126" s="52"/>
      <c r="L126" s="52"/>
      <c r="M126" s="52"/>
      <c r="N126" s="52"/>
      <c r="O126" s="28"/>
      <c r="P126" s="28"/>
      <c r="Q126" s="28"/>
      <c r="R126" s="28"/>
    </row>
    <row r="127" spans="1:18" ht="12.75">
      <c r="A127" s="377"/>
      <c r="B127" s="54" t="s">
        <v>487</v>
      </c>
      <c r="C127" s="28"/>
      <c r="D127" s="289"/>
      <c r="E127" s="11"/>
      <c r="F127" s="290"/>
      <c r="G127" s="255"/>
      <c r="H127" s="276">
        <v>0</v>
      </c>
      <c r="I127" s="397">
        <f t="shared" si="1"/>
        <v>0</v>
      </c>
      <c r="J127" s="52"/>
      <c r="K127" s="52"/>
      <c r="L127" s="52"/>
      <c r="M127" s="52"/>
      <c r="N127" s="52"/>
      <c r="O127" s="28"/>
      <c r="P127" s="28"/>
      <c r="Q127" s="28"/>
      <c r="R127" s="28"/>
    </row>
    <row r="128" spans="1:18" ht="12.75">
      <c r="A128" s="377"/>
      <c r="B128" s="54" t="s">
        <v>519</v>
      </c>
      <c r="C128" s="28"/>
      <c r="D128" s="289"/>
      <c r="E128" s="11"/>
      <c r="F128" s="290"/>
      <c r="G128" s="255"/>
      <c r="H128" s="276">
        <v>0</v>
      </c>
      <c r="I128" s="397">
        <f t="shared" si="1"/>
        <v>0</v>
      </c>
      <c r="J128" s="52"/>
      <c r="K128" s="52"/>
      <c r="L128" s="52"/>
      <c r="M128" s="52"/>
      <c r="N128" s="52"/>
      <c r="O128" s="28"/>
      <c r="P128" s="28"/>
      <c r="Q128" s="28"/>
      <c r="R128" s="28"/>
    </row>
    <row r="129" spans="1:18" ht="12.75">
      <c r="A129" s="377"/>
      <c r="B129" s="54" t="s">
        <v>520</v>
      </c>
      <c r="C129" s="28"/>
      <c r="D129" s="289"/>
      <c r="E129" s="11"/>
      <c r="F129" s="290"/>
      <c r="G129" s="255"/>
      <c r="H129" s="276">
        <v>0</v>
      </c>
      <c r="I129" s="397">
        <f t="shared" si="1"/>
        <v>0</v>
      </c>
      <c r="J129" s="52"/>
      <c r="K129" s="52"/>
      <c r="L129" s="52"/>
      <c r="M129" s="52"/>
      <c r="N129" s="52"/>
      <c r="O129" s="28"/>
      <c r="P129" s="28"/>
      <c r="Q129" s="28"/>
      <c r="R129" s="28"/>
    </row>
    <row r="130" spans="1:18" ht="12.75">
      <c r="A130" s="377"/>
      <c r="B130" s="54" t="s">
        <v>521</v>
      </c>
      <c r="C130" s="28"/>
      <c r="D130" s="289"/>
      <c r="E130" s="11"/>
      <c r="F130" s="290"/>
      <c r="G130" s="255"/>
      <c r="H130" s="276">
        <v>0</v>
      </c>
      <c r="I130" s="397">
        <f t="shared" si="1"/>
        <v>0</v>
      </c>
      <c r="J130" s="52"/>
      <c r="K130" s="52"/>
      <c r="L130" s="52"/>
      <c r="M130" s="52"/>
      <c r="N130" s="52"/>
      <c r="O130" s="28"/>
      <c r="P130" s="28"/>
      <c r="Q130" s="28"/>
      <c r="R130" s="28"/>
    </row>
    <row r="131" spans="1:18" ht="12.75">
      <c r="A131" s="377"/>
      <c r="B131" s="54" t="s">
        <v>522</v>
      </c>
      <c r="C131" s="28"/>
      <c r="D131" s="289"/>
      <c r="E131" s="11"/>
      <c r="F131" s="290"/>
      <c r="G131" s="255"/>
      <c r="H131" s="276">
        <v>1200</v>
      </c>
      <c r="I131" s="397">
        <f t="shared" si="1"/>
        <v>4</v>
      </c>
      <c r="J131" s="52"/>
      <c r="K131" s="52"/>
      <c r="L131" s="52"/>
      <c r="M131" s="52"/>
      <c r="N131" s="52"/>
      <c r="O131" s="28"/>
      <c r="P131" s="28"/>
      <c r="Q131" s="28"/>
      <c r="R131" s="28"/>
    </row>
    <row r="132" spans="1:18" ht="12.75">
      <c r="A132" s="377"/>
      <c r="B132" s="54" t="s">
        <v>523</v>
      </c>
      <c r="C132" s="28"/>
      <c r="D132" s="289"/>
      <c r="E132" s="11"/>
      <c r="F132" s="290"/>
      <c r="G132" s="255"/>
      <c r="H132" s="276">
        <v>5000</v>
      </c>
      <c r="I132" s="397">
        <f t="shared" si="1"/>
        <v>16.666666666666668</v>
      </c>
      <c r="J132" s="52"/>
      <c r="K132" s="52"/>
      <c r="L132" s="52"/>
      <c r="M132" s="52"/>
      <c r="N132" s="52"/>
      <c r="O132" s="28"/>
      <c r="P132" s="28"/>
      <c r="Q132" s="28"/>
      <c r="R132" s="28"/>
    </row>
    <row r="133" spans="1:18" ht="12.75">
      <c r="A133" s="377"/>
      <c r="B133" s="54" t="s">
        <v>139</v>
      </c>
      <c r="C133" s="28"/>
      <c r="D133" s="289"/>
      <c r="E133" s="11"/>
      <c r="F133" s="290"/>
      <c r="G133" s="255"/>
      <c r="H133" s="276">
        <v>2000</v>
      </c>
      <c r="I133" s="397">
        <f aca="true" t="shared" si="2" ref="I133:I164">H133/$G$9</f>
        <v>6.666666666666667</v>
      </c>
      <c r="J133" s="52"/>
      <c r="K133" s="52"/>
      <c r="L133" s="52"/>
      <c r="M133" s="52"/>
      <c r="N133" s="52"/>
      <c r="O133" s="28"/>
      <c r="P133" s="28"/>
      <c r="Q133" s="28"/>
      <c r="R133" s="28"/>
    </row>
    <row r="134" spans="1:18" ht="12.75">
      <c r="A134" s="377"/>
      <c r="B134" s="54" t="s">
        <v>524</v>
      </c>
      <c r="C134" s="28"/>
      <c r="D134" s="289"/>
      <c r="E134" s="11"/>
      <c r="F134" s="290"/>
      <c r="G134" s="255"/>
      <c r="H134" s="276">
        <v>2300</v>
      </c>
      <c r="I134" s="397">
        <f t="shared" si="2"/>
        <v>7.666666666666667</v>
      </c>
      <c r="J134" s="52"/>
      <c r="K134" s="52"/>
      <c r="L134" s="52"/>
      <c r="M134" s="52"/>
      <c r="N134" s="52"/>
      <c r="O134" s="28"/>
      <c r="P134" s="28"/>
      <c r="Q134" s="28"/>
      <c r="R134" s="28"/>
    </row>
    <row r="135" spans="1:18" ht="12.75">
      <c r="A135" s="377"/>
      <c r="B135" s="54" t="s">
        <v>525</v>
      </c>
      <c r="C135" s="28"/>
      <c r="D135" s="289"/>
      <c r="E135" s="11"/>
      <c r="F135" s="290"/>
      <c r="G135" s="255"/>
      <c r="H135" s="276">
        <v>750</v>
      </c>
      <c r="I135" s="397">
        <f t="shared" si="2"/>
        <v>2.5</v>
      </c>
      <c r="J135" s="52"/>
      <c r="K135" s="52"/>
      <c r="L135" s="52"/>
      <c r="M135" s="52"/>
      <c r="N135" s="52"/>
      <c r="O135" s="28"/>
      <c r="P135" s="28"/>
      <c r="Q135" s="28"/>
      <c r="R135" s="28"/>
    </row>
    <row r="136" spans="1:18" ht="12.75">
      <c r="A136" s="377"/>
      <c r="B136" s="54" t="s">
        <v>526</v>
      </c>
      <c r="C136" s="28"/>
      <c r="D136" s="289"/>
      <c r="E136" s="11"/>
      <c r="F136" s="290"/>
      <c r="G136" s="255"/>
      <c r="H136" s="276">
        <v>3000</v>
      </c>
      <c r="I136" s="397">
        <f t="shared" si="2"/>
        <v>10</v>
      </c>
      <c r="J136" s="52"/>
      <c r="K136" s="52"/>
      <c r="L136" s="52"/>
      <c r="M136" s="52"/>
      <c r="N136" s="52"/>
      <c r="O136" s="28"/>
      <c r="P136" s="28"/>
      <c r="Q136" s="28"/>
      <c r="R136" s="28"/>
    </row>
    <row r="137" spans="1:18" ht="12.75">
      <c r="A137" s="377"/>
      <c r="B137" s="54" t="s">
        <v>527</v>
      </c>
      <c r="C137" s="28"/>
      <c r="D137" s="289"/>
      <c r="E137" s="11"/>
      <c r="F137" s="290"/>
      <c r="G137" s="255"/>
      <c r="H137" s="276">
        <v>0</v>
      </c>
      <c r="I137" s="397">
        <f t="shared" si="2"/>
        <v>0</v>
      </c>
      <c r="J137" s="52"/>
      <c r="K137" s="52"/>
      <c r="L137" s="52"/>
      <c r="M137" s="52"/>
      <c r="N137" s="52"/>
      <c r="O137" s="28"/>
      <c r="P137" s="28"/>
      <c r="Q137" s="28"/>
      <c r="R137" s="28"/>
    </row>
    <row r="138" spans="1:18" ht="12.75">
      <c r="A138" s="377"/>
      <c r="B138" s="54" t="s">
        <v>528</v>
      </c>
      <c r="C138" s="28"/>
      <c r="D138" s="289"/>
      <c r="E138" s="11"/>
      <c r="F138" s="290"/>
      <c r="G138" s="255"/>
      <c r="H138" s="276">
        <v>1200</v>
      </c>
      <c r="I138" s="397">
        <f t="shared" si="2"/>
        <v>4</v>
      </c>
      <c r="J138" s="52"/>
      <c r="K138" s="52"/>
      <c r="L138" s="52"/>
      <c r="M138" s="52"/>
      <c r="N138" s="52"/>
      <c r="O138" s="28"/>
      <c r="P138" s="28"/>
      <c r="Q138" s="28"/>
      <c r="R138" s="28"/>
    </row>
    <row r="139" spans="1:18" ht="12.75">
      <c r="A139" s="377"/>
      <c r="B139" s="54" t="s">
        <v>529</v>
      </c>
      <c r="C139" s="28"/>
      <c r="D139" s="289"/>
      <c r="E139" s="11"/>
      <c r="F139" s="290"/>
      <c r="G139" s="255"/>
      <c r="H139" s="276">
        <v>4550</v>
      </c>
      <c r="I139" s="397">
        <f t="shared" si="2"/>
        <v>15.166666666666666</v>
      </c>
      <c r="J139" s="52"/>
      <c r="K139" s="52"/>
      <c r="L139" s="52"/>
      <c r="M139" s="52"/>
      <c r="N139" s="52"/>
      <c r="O139" s="28"/>
      <c r="P139" s="28"/>
      <c r="Q139" s="28"/>
      <c r="R139" s="28"/>
    </row>
    <row r="140" spans="1:18" ht="12.75">
      <c r="A140" s="377"/>
      <c r="B140" s="54" t="s">
        <v>530</v>
      </c>
      <c r="C140" s="28"/>
      <c r="D140" s="289"/>
      <c r="E140" s="11"/>
      <c r="F140" s="290"/>
      <c r="G140" s="255"/>
      <c r="H140" s="276">
        <v>800</v>
      </c>
      <c r="I140" s="397">
        <f t="shared" si="2"/>
        <v>2.6666666666666665</v>
      </c>
      <c r="J140" s="52"/>
      <c r="K140" s="52"/>
      <c r="L140" s="52"/>
      <c r="M140" s="52"/>
      <c r="N140" s="52"/>
      <c r="O140" s="28"/>
      <c r="P140" s="28"/>
      <c r="Q140" s="28"/>
      <c r="R140" s="28"/>
    </row>
    <row r="141" spans="1:18" ht="12.75">
      <c r="A141" s="377"/>
      <c r="B141" s="54" t="s">
        <v>531</v>
      </c>
      <c r="C141" s="28"/>
      <c r="D141" s="289"/>
      <c r="E141" s="11"/>
      <c r="F141" s="290"/>
      <c r="G141" s="255"/>
      <c r="H141" s="276">
        <v>0</v>
      </c>
      <c r="I141" s="397">
        <f t="shared" si="2"/>
        <v>0</v>
      </c>
      <c r="J141" s="52"/>
      <c r="K141" s="52"/>
      <c r="L141" s="52"/>
      <c r="M141" s="52"/>
      <c r="N141" s="52"/>
      <c r="O141" s="28"/>
      <c r="P141" s="28"/>
      <c r="Q141" s="28"/>
      <c r="R141" s="28"/>
    </row>
    <row r="142" spans="1:18" ht="12.75">
      <c r="A142" s="377"/>
      <c r="B142" s="54" t="s">
        <v>0</v>
      </c>
      <c r="C142" s="28"/>
      <c r="D142" s="289"/>
      <c r="E142" s="11"/>
      <c r="F142" s="290"/>
      <c r="G142" s="255"/>
      <c r="H142" s="276">
        <v>500</v>
      </c>
      <c r="I142" s="397">
        <f t="shared" si="2"/>
        <v>1.6666666666666667</v>
      </c>
      <c r="J142" s="52"/>
      <c r="K142" s="52"/>
      <c r="L142" s="52"/>
      <c r="M142" s="52"/>
      <c r="N142" s="52"/>
      <c r="O142" s="28"/>
      <c r="P142" s="28"/>
      <c r="Q142" s="28"/>
      <c r="R142" s="28"/>
    </row>
    <row r="143" spans="1:18" ht="12.75">
      <c r="A143" s="377"/>
      <c r="B143" s="54" t="s">
        <v>1</v>
      </c>
      <c r="C143" s="28"/>
      <c r="D143" s="289"/>
      <c r="E143" s="11"/>
      <c r="F143" s="290"/>
      <c r="G143" s="255"/>
      <c r="H143" s="276">
        <v>0</v>
      </c>
      <c r="I143" s="397">
        <f t="shared" si="2"/>
        <v>0</v>
      </c>
      <c r="J143" s="52"/>
      <c r="K143" s="52"/>
      <c r="L143" s="52"/>
      <c r="M143" s="52"/>
      <c r="N143" s="52"/>
      <c r="O143" s="28"/>
      <c r="P143" s="28"/>
      <c r="Q143" s="28"/>
      <c r="R143" s="28"/>
    </row>
    <row r="144" spans="1:18" ht="12.75">
      <c r="A144" s="377"/>
      <c r="B144" s="54" t="s">
        <v>2</v>
      </c>
      <c r="C144" s="28"/>
      <c r="D144" s="289"/>
      <c r="E144" s="11"/>
      <c r="F144" s="290"/>
      <c r="G144" s="255"/>
      <c r="H144" s="276">
        <v>0</v>
      </c>
      <c r="I144" s="397">
        <f t="shared" si="2"/>
        <v>0</v>
      </c>
      <c r="J144" s="52"/>
      <c r="K144" s="52"/>
      <c r="L144" s="52"/>
      <c r="M144" s="52"/>
      <c r="N144" s="52"/>
      <c r="O144" s="28"/>
      <c r="P144" s="28"/>
      <c r="Q144" s="28"/>
      <c r="R144" s="28"/>
    </row>
    <row r="145" spans="1:18" ht="12.75">
      <c r="A145" s="377"/>
      <c r="B145" s="54" t="s">
        <v>3</v>
      </c>
      <c r="C145" s="28"/>
      <c r="D145" s="289"/>
      <c r="E145" s="11"/>
      <c r="F145" s="290"/>
      <c r="G145" s="255"/>
      <c r="H145" s="276">
        <v>500</v>
      </c>
      <c r="I145" s="397">
        <f t="shared" si="2"/>
        <v>1.6666666666666667</v>
      </c>
      <c r="J145" s="52"/>
      <c r="K145" s="52"/>
      <c r="L145" s="52"/>
      <c r="M145" s="52"/>
      <c r="N145" s="52"/>
      <c r="O145" s="28"/>
      <c r="P145" s="28"/>
      <c r="Q145" s="28"/>
      <c r="R145" s="28"/>
    </row>
    <row r="146" spans="1:18" ht="12.75">
      <c r="A146" s="377"/>
      <c r="B146" s="54" t="s">
        <v>4</v>
      </c>
      <c r="C146" s="28"/>
      <c r="D146" s="289"/>
      <c r="E146" s="11"/>
      <c r="F146" s="290"/>
      <c r="G146" s="255"/>
      <c r="H146" s="276">
        <v>0</v>
      </c>
      <c r="I146" s="397">
        <f t="shared" si="2"/>
        <v>0</v>
      </c>
      <c r="J146" s="52"/>
      <c r="K146" s="52"/>
      <c r="L146" s="52"/>
      <c r="M146" s="52"/>
      <c r="N146" s="52"/>
      <c r="O146" s="28"/>
      <c r="P146" s="28"/>
      <c r="Q146" s="28"/>
      <c r="R146" s="28"/>
    </row>
    <row r="147" spans="1:18" ht="12.75">
      <c r="A147" s="377"/>
      <c r="B147" s="54" t="s">
        <v>5</v>
      </c>
      <c r="C147" s="28"/>
      <c r="D147" s="289"/>
      <c r="E147" s="11"/>
      <c r="F147" s="290"/>
      <c r="G147" s="255"/>
      <c r="H147" s="276">
        <v>0</v>
      </c>
      <c r="I147" s="397">
        <f t="shared" si="2"/>
        <v>0</v>
      </c>
      <c r="J147" s="52"/>
      <c r="K147" s="52"/>
      <c r="L147" s="52"/>
      <c r="M147" s="52"/>
      <c r="N147" s="52"/>
      <c r="O147" s="28"/>
      <c r="P147" s="28"/>
      <c r="Q147" s="28"/>
      <c r="R147" s="28"/>
    </row>
    <row r="148" spans="1:18" ht="12.75">
      <c r="A148" s="377"/>
      <c r="B148" s="54" t="s">
        <v>6</v>
      </c>
      <c r="C148" s="28"/>
      <c r="D148" s="289"/>
      <c r="E148" s="11"/>
      <c r="F148" s="290"/>
      <c r="G148" s="255"/>
      <c r="H148" s="276">
        <v>0</v>
      </c>
      <c r="I148" s="397">
        <f t="shared" si="2"/>
        <v>0</v>
      </c>
      <c r="J148" s="52"/>
      <c r="K148" s="52"/>
      <c r="L148" s="52"/>
      <c r="M148" s="52"/>
      <c r="N148" s="52"/>
      <c r="O148" s="28"/>
      <c r="P148" s="28"/>
      <c r="Q148" s="28"/>
      <c r="R148" s="28"/>
    </row>
    <row r="149" spans="1:18" ht="12.75">
      <c r="A149" s="377"/>
      <c r="B149" s="54" t="s">
        <v>7</v>
      </c>
      <c r="C149" s="28"/>
      <c r="D149" s="289"/>
      <c r="E149" s="11"/>
      <c r="F149" s="290"/>
      <c r="G149" s="255"/>
      <c r="H149" s="276">
        <v>250</v>
      </c>
      <c r="I149" s="397">
        <f t="shared" si="2"/>
        <v>0.8333333333333334</v>
      </c>
      <c r="J149" s="52"/>
      <c r="K149" s="52"/>
      <c r="L149" s="52"/>
      <c r="M149" s="52"/>
      <c r="N149" s="52"/>
      <c r="O149" s="28"/>
      <c r="P149" s="28"/>
      <c r="Q149" s="28"/>
      <c r="R149" s="28"/>
    </row>
    <row r="150" spans="1:18" ht="12.75">
      <c r="A150" s="377"/>
      <c r="B150" s="54" t="s">
        <v>8</v>
      </c>
      <c r="C150" s="28"/>
      <c r="D150" s="289"/>
      <c r="E150" s="11"/>
      <c r="F150" s="290"/>
      <c r="G150" s="255"/>
      <c r="H150" s="276">
        <v>1000</v>
      </c>
      <c r="I150" s="397">
        <f t="shared" si="2"/>
        <v>3.3333333333333335</v>
      </c>
      <c r="J150" s="52"/>
      <c r="K150" s="52"/>
      <c r="L150" s="52"/>
      <c r="M150" s="52"/>
      <c r="N150" s="52"/>
      <c r="O150" s="28"/>
      <c r="P150" s="28"/>
      <c r="Q150" s="28"/>
      <c r="R150" s="28"/>
    </row>
    <row r="151" spans="1:18" ht="12.75">
      <c r="A151" s="377"/>
      <c r="B151" s="54" t="s">
        <v>9</v>
      </c>
      <c r="C151" s="28"/>
      <c r="D151" s="289"/>
      <c r="E151" s="11"/>
      <c r="F151" s="290"/>
      <c r="G151" s="255"/>
      <c r="H151" s="276">
        <v>0</v>
      </c>
      <c r="I151" s="397">
        <f t="shared" si="2"/>
        <v>0</v>
      </c>
      <c r="J151" s="52"/>
      <c r="K151" s="52"/>
      <c r="L151" s="52"/>
      <c r="M151" s="52"/>
      <c r="N151" s="52"/>
      <c r="O151" s="28"/>
      <c r="P151" s="28"/>
      <c r="Q151" s="28"/>
      <c r="R151" s="28"/>
    </row>
    <row r="152" spans="1:18" ht="12.75">
      <c r="A152" s="377"/>
      <c r="B152" s="54" t="s">
        <v>10</v>
      </c>
      <c r="C152" s="28"/>
      <c r="D152" s="289"/>
      <c r="E152" s="11"/>
      <c r="F152" s="290"/>
      <c r="G152" s="255"/>
      <c r="H152" s="276">
        <v>0</v>
      </c>
      <c r="I152" s="397">
        <f t="shared" si="2"/>
        <v>0</v>
      </c>
      <c r="J152" s="52"/>
      <c r="K152" s="52"/>
      <c r="L152" s="52"/>
      <c r="M152" s="52"/>
      <c r="N152" s="52"/>
      <c r="O152" s="28"/>
      <c r="P152" s="28"/>
      <c r="Q152" s="28"/>
      <c r="R152" s="28"/>
    </row>
    <row r="153" spans="1:18" ht="12.75">
      <c r="A153" s="377"/>
      <c r="B153" s="54" t="s">
        <v>11</v>
      </c>
      <c r="C153" s="28"/>
      <c r="D153" s="289"/>
      <c r="E153" s="11"/>
      <c r="F153" s="290"/>
      <c r="G153" s="255"/>
      <c r="H153" s="276">
        <v>0</v>
      </c>
      <c r="I153" s="397">
        <f t="shared" si="2"/>
        <v>0</v>
      </c>
      <c r="J153" s="52"/>
      <c r="K153" s="52"/>
      <c r="L153" s="52"/>
      <c r="M153" s="52"/>
      <c r="N153" s="52"/>
      <c r="O153" s="28"/>
      <c r="P153" s="28"/>
      <c r="Q153" s="28"/>
      <c r="R153" s="28"/>
    </row>
    <row r="154" spans="1:18" ht="12.75">
      <c r="A154" s="377"/>
      <c r="B154" s="54" t="s">
        <v>12</v>
      </c>
      <c r="C154" s="28"/>
      <c r="D154" s="289"/>
      <c r="E154" s="11"/>
      <c r="F154" s="290"/>
      <c r="G154" s="255"/>
      <c r="H154" s="276">
        <v>800</v>
      </c>
      <c r="I154" s="397">
        <f t="shared" si="2"/>
        <v>2.6666666666666665</v>
      </c>
      <c r="J154" s="52"/>
      <c r="K154" s="52"/>
      <c r="L154" s="52"/>
      <c r="M154" s="52"/>
      <c r="N154" s="52"/>
      <c r="O154" s="28"/>
      <c r="P154" s="28"/>
      <c r="Q154" s="28"/>
      <c r="R154" s="28"/>
    </row>
    <row r="155" spans="1:18" ht="12.75">
      <c r="A155" s="377"/>
      <c r="B155" s="255" t="s">
        <v>13</v>
      </c>
      <c r="C155" s="141"/>
      <c r="D155" s="289"/>
      <c r="E155" s="11"/>
      <c r="F155" s="290"/>
      <c r="G155" s="255"/>
      <c r="H155" s="276">
        <v>300</v>
      </c>
      <c r="I155" s="397">
        <f t="shared" si="2"/>
        <v>1</v>
      </c>
      <c r="J155" s="52"/>
      <c r="K155" s="52"/>
      <c r="L155" s="52"/>
      <c r="M155" s="52"/>
      <c r="N155" s="52"/>
      <c r="O155" s="28"/>
      <c r="P155" s="28"/>
      <c r="Q155" s="28"/>
      <c r="R155" s="28"/>
    </row>
    <row r="156" spans="1:18" ht="12.75">
      <c r="A156" s="377"/>
      <c r="B156" s="255" t="s">
        <v>436</v>
      </c>
      <c r="C156" s="141"/>
      <c r="D156" s="289"/>
      <c r="E156" s="11"/>
      <c r="F156" s="290"/>
      <c r="G156" s="255"/>
      <c r="H156" s="276">
        <v>325</v>
      </c>
      <c r="I156" s="397">
        <f t="shared" si="2"/>
        <v>1.0833333333333333</v>
      </c>
      <c r="J156" s="52"/>
      <c r="K156" s="52"/>
      <c r="L156" s="52"/>
      <c r="M156" s="52"/>
      <c r="N156" s="52"/>
      <c r="O156" s="28"/>
      <c r="P156" s="28"/>
      <c r="Q156" s="28"/>
      <c r="R156" s="28"/>
    </row>
    <row r="157" spans="1:18" ht="12.75">
      <c r="A157" s="377"/>
      <c r="B157" s="255" t="s">
        <v>438</v>
      </c>
      <c r="C157" s="141"/>
      <c r="D157" s="289"/>
      <c r="E157" s="11"/>
      <c r="F157" s="290"/>
      <c r="G157" s="255"/>
      <c r="H157" s="276">
        <v>0</v>
      </c>
      <c r="I157" s="397">
        <f t="shared" si="2"/>
        <v>0</v>
      </c>
      <c r="J157" s="52"/>
      <c r="K157" s="52"/>
      <c r="L157" s="52"/>
      <c r="M157" s="52"/>
      <c r="N157" s="52"/>
      <c r="O157" s="28"/>
      <c r="P157" s="28"/>
      <c r="Q157" s="28"/>
      <c r="R157" s="28"/>
    </row>
    <row r="158" spans="1:18" ht="12.75">
      <c r="A158" s="377"/>
      <c r="B158" s="255" t="s">
        <v>438</v>
      </c>
      <c r="C158" s="141"/>
      <c r="D158" s="289"/>
      <c r="E158" s="11"/>
      <c r="F158" s="290"/>
      <c r="G158" s="255"/>
      <c r="H158" s="276">
        <v>0</v>
      </c>
      <c r="I158" s="397">
        <f t="shared" si="2"/>
        <v>0</v>
      </c>
      <c r="J158" s="52"/>
      <c r="K158" s="52"/>
      <c r="L158" s="52"/>
      <c r="M158" s="52"/>
      <c r="N158" s="52"/>
      <c r="O158" s="28"/>
      <c r="P158" s="28"/>
      <c r="Q158" s="28"/>
      <c r="R158" s="28"/>
    </row>
    <row r="159" spans="1:18" ht="12.75">
      <c r="A159" s="377"/>
      <c r="B159" s="255" t="s">
        <v>438</v>
      </c>
      <c r="C159" s="141"/>
      <c r="D159" s="289"/>
      <c r="E159" s="11"/>
      <c r="F159" s="290"/>
      <c r="G159" s="255"/>
      <c r="H159" s="276">
        <v>0</v>
      </c>
      <c r="I159" s="397">
        <f t="shared" si="2"/>
        <v>0</v>
      </c>
      <c r="J159" s="52"/>
      <c r="K159" s="52"/>
      <c r="L159" s="52"/>
      <c r="M159" s="52"/>
      <c r="N159" s="52"/>
      <c r="O159" s="28"/>
      <c r="P159" s="28"/>
      <c r="Q159" s="28"/>
      <c r="R159" s="28"/>
    </row>
    <row r="160" spans="1:18" ht="12.75">
      <c r="A160" s="377"/>
      <c r="B160" s="255" t="s">
        <v>438</v>
      </c>
      <c r="C160" s="141"/>
      <c r="D160" s="289"/>
      <c r="E160" s="11"/>
      <c r="F160" s="290"/>
      <c r="G160" s="255"/>
      <c r="H160" s="276">
        <v>0</v>
      </c>
      <c r="I160" s="397">
        <f t="shared" si="2"/>
        <v>0</v>
      </c>
      <c r="J160" s="52"/>
      <c r="K160" s="52"/>
      <c r="L160" s="52"/>
      <c r="M160" s="52"/>
      <c r="N160" s="52"/>
      <c r="O160" s="28"/>
      <c r="P160" s="28"/>
      <c r="Q160" s="28"/>
      <c r="R160" s="28"/>
    </row>
    <row r="161" spans="1:18" ht="12.75">
      <c r="A161" s="377"/>
      <c r="B161" s="255" t="s">
        <v>438</v>
      </c>
      <c r="C161" s="141"/>
      <c r="D161" s="289"/>
      <c r="E161" s="11"/>
      <c r="F161" s="290"/>
      <c r="G161" s="255"/>
      <c r="H161" s="276">
        <v>0</v>
      </c>
      <c r="I161" s="397">
        <f t="shared" si="2"/>
        <v>0</v>
      </c>
      <c r="J161" s="52"/>
      <c r="K161" s="52"/>
      <c r="L161" s="52"/>
      <c r="M161" s="52"/>
      <c r="N161" s="52"/>
      <c r="O161" s="28"/>
      <c r="P161" s="28"/>
      <c r="Q161" s="28"/>
      <c r="R161" s="28"/>
    </row>
    <row r="162" spans="1:18" ht="12.75">
      <c r="A162" s="377"/>
      <c r="B162" s="255" t="s">
        <v>438</v>
      </c>
      <c r="C162" s="141"/>
      <c r="D162" s="289"/>
      <c r="E162" s="11"/>
      <c r="F162" s="290"/>
      <c r="G162" s="255"/>
      <c r="H162" s="276">
        <v>0</v>
      </c>
      <c r="I162" s="397">
        <f t="shared" si="2"/>
        <v>0</v>
      </c>
      <c r="J162" s="52"/>
      <c r="K162" s="52"/>
      <c r="L162" s="52"/>
      <c r="M162" s="52"/>
      <c r="N162" s="52"/>
      <c r="O162" s="28"/>
      <c r="P162" s="28"/>
      <c r="Q162" s="28"/>
      <c r="R162" s="28"/>
    </row>
    <row r="163" spans="1:18" ht="12.75">
      <c r="A163" s="377"/>
      <c r="B163" s="255" t="s">
        <v>438</v>
      </c>
      <c r="C163" s="458"/>
      <c r="D163" s="289"/>
      <c r="E163" s="11"/>
      <c r="F163" s="290"/>
      <c r="G163" s="255"/>
      <c r="H163" s="276">
        <v>0</v>
      </c>
      <c r="I163" s="397">
        <f t="shared" si="2"/>
        <v>0</v>
      </c>
      <c r="J163" s="52"/>
      <c r="K163" s="52"/>
      <c r="L163" s="52"/>
      <c r="M163" s="52"/>
      <c r="N163" s="52"/>
      <c r="O163" s="28"/>
      <c r="P163" s="28"/>
      <c r="Q163" s="28"/>
      <c r="R163" s="28"/>
    </row>
    <row r="164" spans="1:18" ht="12.75">
      <c r="A164" s="377"/>
      <c r="B164" s="255" t="s">
        <v>438</v>
      </c>
      <c r="C164" s="458"/>
      <c r="D164" s="289"/>
      <c r="E164" s="11"/>
      <c r="F164" s="290"/>
      <c r="G164" s="255"/>
      <c r="H164" s="276">
        <v>0</v>
      </c>
      <c r="I164" s="397">
        <f t="shared" si="2"/>
        <v>0</v>
      </c>
      <c r="J164" s="52"/>
      <c r="K164" s="52"/>
      <c r="L164" s="52"/>
      <c r="M164" s="52"/>
      <c r="N164" s="52"/>
      <c r="O164" s="28"/>
      <c r="P164" s="28"/>
      <c r="Q164" s="28"/>
      <c r="R164" s="28"/>
    </row>
    <row r="165" spans="1:18" ht="12.75">
      <c r="A165" s="377"/>
      <c r="B165" s="255" t="s">
        <v>438</v>
      </c>
      <c r="C165" s="458"/>
      <c r="D165" s="289"/>
      <c r="E165" s="11"/>
      <c r="F165" s="290"/>
      <c r="G165" s="255"/>
      <c r="H165" s="276">
        <v>0</v>
      </c>
      <c r="I165" s="397">
        <f aca="true" t="shared" si="3" ref="I165:I174">H165/$G$9</f>
        <v>0</v>
      </c>
      <c r="J165" s="52"/>
      <c r="K165" s="52"/>
      <c r="L165" s="52"/>
      <c r="M165" s="52"/>
      <c r="N165" s="52"/>
      <c r="O165" s="28"/>
      <c r="P165" s="28"/>
      <c r="Q165" s="28"/>
      <c r="R165" s="28"/>
    </row>
    <row r="166" spans="1:18" ht="12.75">
      <c r="A166" s="377"/>
      <c r="B166" s="255" t="s">
        <v>438</v>
      </c>
      <c r="C166" s="458"/>
      <c r="D166" s="289"/>
      <c r="E166" s="11"/>
      <c r="F166" s="290"/>
      <c r="G166" s="255"/>
      <c r="H166" s="276">
        <v>0</v>
      </c>
      <c r="I166" s="397">
        <f t="shared" si="3"/>
        <v>0</v>
      </c>
      <c r="J166" s="52"/>
      <c r="K166" s="52"/>
      <c r="L166" s="52"/>
      <c r="M166" s="52"/>
      <c r="N166" s="52"/>
      <c r="O166" s="28"/>
      <c r="P166" s="28"/>
      <c r="Q166" s="28"/>
      <c r="R166" s="28"/>
    </row>
    <row r="167" spans="1:18" ht="12.75">
      <c r="A167" s="377"/>
      <c r="B167" s="255" t="s">
        <v>438</v>
      </c>
      <c r="C167" s="458"/>
      <c r="D167" s="289"/>
      <c r="E167" s="11"/>
      <c r="F167" s="290"/>
      <c r="G167" s="255"/>
      <c r="H167" s="276">
        <v>0</v>
      </c>
      <c r="I167" s="397">
        <f t="shared" si="3"/>
        <v>0</v>
      </c>
      <c r="J167" s="52"/>
      <c r="K167" s="52"/>
      <c r="L167" s="52"/>
      <c r="M167" s="52"/>
      <c r="N167" s="52"/>
      <c r="O167" s="28"/>
      <c r="P167" s="28"/>
      <c r="Q167" s="28"/>
      <c r="R167" s="28"/>
    </row>
    <row r="168" spans="1:18" ht="12.75">
      <c r="A168" s="28"/>
      <c r="B168" s="255" t="s">
        <v>438</v>
      </c>
      <c r="C168" s="11"/>
      <c r="D168" s="11"/>
      <c r="E168" s="11"/>
      <c r="F168" s="290"/>
      <c r="G168" s="255"/>
      <c r="H168" s="276">
        <v>0</v>
      </c>
      <c r="I168" s="397">
        <f t="shared" si="3"/>
        <v>0</v>
      </c>
      <c r="J168" s="52"/>
      <c r="K168" s="52"/>
      <c r="L168" s="52"/>
      <c r="M168" s="52"/>
      <c r="N168" s="52"/>
      <c r="O168" s="28"/>
      <c r="P168" s="28"/>
      <c r="Q168" s="28"/>
      <c r="R168" s="28"/>
    </row>
    <row r="169" spans="1:18" ht="12.75">
      <c r="A169" s="377"/>
      <c r="B169" s="255" t="s">
        <v>438</v>
      </c>
      <c r="C169" s="11"/>
      <c r="D169" s="11"/>
      <c r="E169" s="11"/>
      <c r="F169" s="290"/>
      <c r="G169" s="255"/>
      <c r="H169" s="276">
        <v>0</v>
      </c>
      <c r="I169" s="397">
        <f t="shared" si="3"/>
        <v>0</v>
      </c>
      <c r="J169" s="52"/>
      <c r="K169" s="52"/>
      <c r="L169" s="52"/>
      <c r="M169" s="52"/>
      <c r="N169" s="52"/>
      <c r="O169" s="28"/>
      <c r="P169" s="28"/>
      <c r="Q169" s="28"/>
      <c r="R169" s="28"/>
    </row>
    <row r="170" spans="1:18" ht="12.75">
      <c r="A170" s="377"/>
      <c r="B170" s="255" t="s">
        <v>438</v>
      </c>
      <c r="C170" s="11"/>
      <c r="D170" s="11"/>
      <c r="E170" s="11"/>
      <c r="F170" s="290"/>
      <c r="G170" s="255"/>
      <c r="H170" s="276">
        <v>0</v>
      </c>
      <c r="I170" s="397">
        <f t="shared" si="3"/>
        <v>0</v>
      </c>
      <c r="J170" s="53"/>
      <c r="K170" s="53"/>
      <c r="L170" s="53"/>
      <c r="M170" s="52"/>
      <c r="N170" s="52"/>
      <c r="O170" s="28"/>
      <c r="P170" s="28"/>
      <c r="Q170" s="28"/>
      <c r="R170" s="28"/>
    </row>
    <row r="171" spans="1:18" ht="12.75">
      <c r="A171" s="377"/>
      <c r="B171" s="255" t="s">
        <v>438</v>
      </c>
      <c r="C171" s="11"/>
      <c r="D171" s="11"/>
      <c r="E171" s="351"/>
      <c r="F171" s="290"/>
      <c r="G171" s="255"/>
      <c r="H171" s="276">
        <v>0</v>
      </c>
      <c r="I171" s="397">
        <f t="shared" si="3"/>
        <v>0</v>
      </c>
      <c r="J171" s="53"/>
      <c r="K171" s="53"/>
      <c r="L171" s="53"/>
      <c r="M171" s="52"/>
      <c r="N171" s="52"/>
      <c r="O171" s="28"/>
      <c r="P171" s="28"/>
      <c r="Q171" s="28"/>
      <c r="R171" s="28"/>
    </row>
    <row r="172" spans="1:18" ht="12.75">
      <c r="A172" s="377"/>
      <c r="B172" s="255" t="s">
        <v>438</v>
      </c>
      <c r="C172" s="11"/>
      <c r="D172" s="11"/>
      <c r="E172" s="11"/>
      <c r="F172" s="290"/>
      <c r="G172" s="255"/>
      <c r="H172" s="276">
        <v>0</v>
      </c>
      <c r="I172" s="397">
        <f t="shared" si="3"/>
        <v>0</v>
      </c>
      <c r="J172" s="53"/>
      <c r="K172" s="53"/>
      <c r="L172" s="53"/>
      <c r="M172" s="52"/>
      <c r="N172" s="52"/>
      <c r="O172" s="28"/>
      <c r="P172" s="28"/>
      <c r="Q172" s="28"/>
      <c r="R172" s="28"/>
    </row>
    <row r="173" spans="1:18" ht="13.5" thickBot="1">
      <c r="A173" s="377"/>
      <c r="B173" s="280" t="s">
        <v>438</v>
      </c>
      <c r="C173" s="291"/>
      <c r="D173" s="291"/>
      <c r="E173" s="291"/>
      <c r="F173" s="292"/>
      <c r="G173" s="280"/>
      <c r="H173" s="424">
        <v>0</v>
      </c>
      <c r="I173" s="398">
        <f t="shared" si="3"/>
        <v>0</v>
      </c>
      <c r="J173" s="53"/>
      <c r="K173" s="53"/>
      <c r="L173" s="53"/>
      <c r="M173" s="52"/>
      <c r="N173" s="52"/>
      <c r="O173" s="28"/>
      <c r="P173" s="28"/>
      <c r="Q173" s="28"/>
      <c r="R173" s="28"/>
    </row>
    <row r="174" spans="1:18" ht="13.5" thickTop="1">
      <c r="A174" s="377"/>
      <c r="B174" s="55" t="s">
        <v>50</v>
      </c>
      <c r="C174" s="42"/>
      <c r="D174" s="28"/>
      <c r="E174" s="42"/>
      <c r="F174" s="42"/>
      <c r="G174" s="42"/>
      <c r="H174" s="278">
        <f>SUM(H67:H173)</f>
        <v>89725</v>
      </c>
      <c r="I174" s="397">
        <f t="shared" si="3"/>
        <v>299.0833333333333</v>
      </c>
      <c r="J174" s="53"/>
      <c r="K174" s="53"/>
      <c r="L174" s="53"/>
      <c r="M174" s="52"/>
      <c r="N174" s="52"/>
      <c r="O174" s="28"/>
      <c r="P174" s="28"/>
      <c r="Q174" s="28"/>
      <c r="R174" s="28"/>
    </row>
    <row r="175" spans="1:18" ht="12.75">
      <c r="A175" s="377"/>
      <c r="B175" s="55"/>
      <c r="C175" s="42"/>
      <c r="D175" s="28"/>
      <c r="E175" s="49" t="s">
        <v>94</v>
      </c>
      <c r="F175" s="57">
        <f>H174/G9</f>
        <v>299.0833333333333</v>
      </c>
      <c r="G175" s="293"/>
      <c r="H175" s="56"/>
      <c r="I175" s="53"/>
      <c r="J175" s="53"/>
      <c r="K175" s="53"/>
      <c r="L175" s="53"/>
      <c r="M175" s="52"/>
      <c r="N175" s="52"/>
      <c r="O175" s="28"/>
      <c r="P175" s="28"/>
      <c r="Q175" s="28"/>
      <c r="R175" s="28"/>
    </row>
    <row r="176" spans="1:18" ht="12.75">
      <c r="A176" s="377"/>
      <c r="B176" s="55"/>
      <c r="C176" s="42"/>
      <c r="D176" s="28"/>
      <c r="E176" s="49" t="s">
        <v>691</v>
      </c>
      <c r="F176" s="57">
        <f>H174/($C$32*$D$32+($C$33+$G$24)*$D$33)</f>
        <v>0.5873977086743044</v>
      </c>
      <c r="G176" s="293"/>
      <c r="H176" s="56"/>
      <c r="I176" s="53"/>
      <c r="J176" s="53"/>
      <c r="K176" s="53"/>
      <c r="L176" s="53"/>
      <c r="M176" s="52"/>
      <c r="N176" s="52"/>
      <c r="O176" s="28"/>
      <c r="P176" s="28"/>
      <c r="Q176" s="28"/>
      <c r="R176" s="28"/>
    </row>
    <row r="177" spans="1:18" ht="12.75">
      <c r="A177" s="373" t="s">
        <v>437</v>
      </c>
      <c r="B177" s="41" t="s">
        <v>64</v>
      </c>
      <c r="C177" s="28"/>
      <c r="D177" s="28"/>
      <c r="E177" s="42"/>
      <c r="F177" s="42"/>
      <c r="G177" s="42"/>
      <c r="H177" s="471">
        <f>H58-H174</f>
        <v>97457.99999999997</v>
      </c>
      <c r="I177" s="53"/>
      <c r="J177" s="53"/>
      <c r="K177" s="53"/>
      <c r="L177" s="53"/>
      <c r="M177" s="52"/>
      <c r="N177" s="52"/>
      <c r="O177" s="28"/>
      <c r="P177" s="28"/>
      <c r="Q177" s="28"/>
      <c r="R177" s="28"/>
    </row>
    <row r="178" spans="1:18" ht="12.75">
      <c r="A178" s="377"/>
      <c r="B178" s="55"/>
      <c r="C178" s="42"/>
      <c r="D178" s="28"/>
      <c r="E178" s="42"/>
      <c r="F178" s="42"/>
      <c r="G178" s="42"/>
      <c r="H178" s="56"/>
      <c r="I178" s="34" t="s">
        <v>51</v>
      </c>
      <c r="J178" s="34" t="s">
        <v>51</v>
      </c>
      <c r="K178" s="34" t="s">
        <v>51</v>
      </c>
      <c r="L178" s="34" t="s">
        <v>51</v>
      </c>
      <c r="M178" s="34" t="s">
        <v>51</v>
      </c>
      <c r="N178" s="34" t="s">
        <v>51</v>
      </c>
      <c r="O178" s="28"/>
      <c r="P178" s="28"/>
      <c r="Q178" s="28"/>
      <c r="R178" s="28"/>
    </row>
    <row r="179" spans="1:18" ht="17.25" customHeight="1">
      <c r="A179" s="377"/>
      <c r="B179" s="283" t="s">
        <v>93</v>
      </c>
      <c r="C179" s="248"/>
      <c r="D179" s="248"/>
      <c r="E179" s="248"/>
      <c r="F179" s="248"/>
      <c r="G179" s="248"/>
      <c r="H179" s="249"/>
      <c r="I179" s="34" t="s">
        <v>52</v>
      </c>
      <c r="J179" s="34" t="s">
        <v>55</v>
      </c>
      <c r="K179" s="34" t="s">
        <v>54</v>
      </c>
      <c r="L179" s="34" t="s">
        <v>53</v>
      </c>
      <c r="M179" s="34" t="s">
        <v>79</v>
      </c>
      <c r="N179" s="34" t="s">
        <v>80</v>
      </c>
      <c r="O179" s="28"/>
      <c r="P179" s="28"/>
      <c r="Q179" s="28"/>
      <c r="R179" s="28"/>
    </row>
    <row r="180" spans="1:18" ht="26.25" customHeight="1">
      <c r="A180" s="377"/>
      <c r="B180" s="42"/>
      <c r="C180" s="42"/>
      <c r="D180" s="42"/>
      <c r="E180" s="42"/>
      <c r="F180" s="42"/>
      <c r="G180" s="42"/>
      <c r="H180" s="32"/>
      <c r="I180" s="632" t="str">
        <f>$I$41</f>
        <v>Keep Cows and buy Hay</v>
      </c>
      <c r="J180" s="632" t="str">
        <f>$J$41</f>
        <v>Keep Cows, Buy Straw &amp; Protein Supplement</v>
      </c>
      <c r="K180" s="632" t="str">
        <f>$K$41</f>
        <v>Keep Cows, Ship to Grazing</v>
      </c>
      <c r="L180" s="632" t="str">
        <f>L$41</f>
        <v>Sell 100 Cows to Meet Forage Available</v>
      </c>
      <c r="M180" s="632" t="str">
        <f>M$41</f>
        <v>Description</v>
      </c>
      <c r="N180" s="632" t="str">
        <f>N$41</f>
        <v>Description</v>
      </c>
      <c r="O180" s="28"/>
      <c r="P180" s="28"/>
      <c r="Q180" s="28"/>
      <c r="R180" s="28"/>
    </row>
    <row r="181" spans="1:18" ht="12.75">
      <c r="A181" s="377"/>
      <c r="B181" s="28"/>
      <c r="C181" s="28"/>
      <c r="D181" s="28"/>
      <c r="E181" s="28"/>
      <c r="F181" s="28"/>
      <c r="G181" s="28"/>
      <c r="H181" s="28"/>
      <c r="I181" s="633"/>
      <c r="J181" s="633"/>
      <c r="K181" s="633"/>
      <c r="L181" s="633"/>
      <c r="M181" s="633"/>
      <c r="N181" s="633"/>
      <c r="O181" s="28"/>
      <c r="P181" s="28"/>
      <c r="Q181" s="28"/>
      <c r="R181" s="28"/>
    </row>
    <row r="182" spans="1:18" ht="12.75">
      <c r="A182" s="377"/>
      <c r="B182" s="28"/>
      <c r="C182" s="28"/>
      <c r="D182" s="28"/>
      <c r="E182" s="28"/>
      <c r="F182" s="28"/>
      <c r="G182" s="28"/>
      <c r="H182" s="28"/>
      <c r="I182" s="58" t="s">
        <v>85</v>
      </c>
      <c r="J182" s="59"/>
      <c r="K182" s="59"/>
      <c r="L182" s="59"/>
      <c r="M182" s="59"/>
      <c r="N182" s="60"/>
      <c r="O182" s="28"/>
      <c r="P182" s="28"/>
      <c r="Q182" s="28"/>
      <c r="R182" s="28"/>
    </row>
    <row r="183" spans="1:18" ht="13.5" thickBot="1">
      <c r="A183" s="373" t="s">
        <v>437</v>
      </c>
      <c r="B183" s="41" t="s">
        <v>87</v>
      </c>
      <c r="C183" s="42"/>
      <c r="D183" s="41"/>
      <c r="E183" s="42"/>
      <c r="F183" s="42"/>
      <c r="G183" s="42"/>
      <c r="H183" s="469">
        <v>40000</v>
      </c>
      <c r="I183" s="296">
        <v>40000</v>
      </c>
      <c r="J183" s="296">
        <v>40000</v>
      </c>
      <c r="K183" s="296">
        <v>40000</v>
      </c>
      <c r="L183" s="296">
        <v>35000</v>
      </c>
      <c r="M183" s="296">
        <v>0</v>
      </c>
      <c r="N183" s="296">
        <v>0</v>
      </c>
      <c r="O183" s="28"/>
      <c r="P183" s="28"/>
      <c r="Q183" s="28"/>
      <c r="R183" s="28"/>
    </row>
    <row r="184" spans="1:18" ht="13.5" thickTop="1">
      <c r="A184" s="412"/>
      <c r="B184" s="41"/>
      <c r="C184" s="42"/>
      <c r="D184" s="41"/>
      <c r="E184" s="42"/>
      <c r="F184" s="42"/>
      <c r="G184" s="49" t="s">
        <v>460</v>
      </c>
      <c r="H184" s="278">
        <f>H174+H183</f>
        <v>129725</v>
      </c>
      <c r="I184" s="451"/>
      <c r="J184" s="451"/>
      <c r="K184" s="450"/>
      <c r="L184" s="450"/>
      <c r="M184" s="450"/>
      <c r="N184" s="450"/>
      <c r="O184" s="28"/>
      <c r="P184" s="28"/>
      <c r="Q184" s="28"/>
      <c r="R184" s="28"/>
    </row>
    <row r="185" spans="1:18" ht="12.75">
      <c r="A185" s="377"/>
      <c r="B185" s="41"/>
      <c r="C185" s="42"/>
      <c r="D185" s="41"/>
      <c r="E185" s="468" t="s">
        <v>544</v>
      </c>
      <c r="F185" s="57">
        <f>(H174+H183)/G9</f>
        <v>432.4166666666667</v>
      </c>
      <c r="G185" s="293"/>
      <c r="H185" s="61"/>
      <c r="I185" s="62"/>
      <c r="J185" s="62"/>
      <c r="K185" s="62"/>
      <c r="L185" s="62"/>
      <c r="M185" s="28"/>
      <c r="N185" s="28"/>
      <c r="O185" s="28"/>
      <c r="P185" s="28"/>
      <c r="Q185" s="28"/>
      <c r="R185" s="28"/>
    </row>
    <row r="186" spans="1:18" ht="12.75">
      <c r="A186" s="377"/>
      <c r="B186" s="41"/>
      <c r="C186" s="42"/>
      <c r="D186" s="41"/>
      <c r="E186" s="468" t="s">
        <v>690</v>
      </c>
      <c r="F186" s="57">
        <f>H184/($C$32*$D$32+($C$33+$G$24)*$D$33)</f>
        <v>0.8492635024549918</v>
      </c>
      <c r="G186" s="293"/>
      <c r="H186" s="61"/>
      <c r="I186" s="62"/>
      <c r="J186" s="62"/>
      <c r="K186" s="62"/>
      <c r="L186" s="62"/>
      <c r="M186" s="28"/>
      <c r="N186" s="28"/>
      <c r="O186" s="28"/>
      <c r="P186" s="28"/>
      <c r="Q186" s="28"/>
      <c r="R186" s="28"/>
    </row>
    <row r="187" spans="1:18" ht="12.75">
      <c r="A187" s="377"/>
      <c r="B187" s="41" t="s">
        <v>66</v>
      </c>
      <c r="C187" s="28"/>
      <c r="D187" s="28"/>
      <c r="E187" s="28"/>
      <c r="F187" s="28"/>
      <c r="G187" s="28"/>
      <c r="H187" s="471">
        <f>H177-H183</f>
        <v>57457.99999999997</v>
      </c>
      <c r="I187" s="63"/>
      <c r="J187" s="63"/>
      <c r="K187" s="63"/>
      <c r="L187" s="63"/>
      <c r="M187" s="63"/>
      <c r="N187" s="63"/>
      <c r="O187" s="28"/>
      <c r="P187" s="28"/>
      <c r="Q187" s="28"/>
      <c r="R187" s="28"/>
    </row>
    <row r="188" spans="1:18" ht="12.75">
      <c r="A188" s="377"/>
      <c r="B188" s="45" t="s">
        <v>60</v>
      </c>
      <c r="C188" s="45"/>
      <c r="D188" s="45"/>
      <c r="E188" s="45"/>
      <c r="F188" s="45"/>
      <c r="G188" s="45"/>
      <c r="H188" s="61"/>
      <c r="I188" s="64"/>
      <c r="J188" s="64"/>
      <c r="K188" s="64"/>
      <c r="L188" s="64"/>
      <c r="M188" s="28"/>
      <c r="N188" s="42"/>
      <c r="O188" s="28"/>
      <c r="P188" s="28"/>
      <c r="Q188" s="28"/>
      <c r="R188" s="28"/>
    </row>
    <row r="189" spans="1:18" ht="15.75">
      <c r="A189" s="465" t="s">
        <v>538</v>
      </c>
      <c r="B189" s="253" t="s">
        <v>534</v>
      </c>
      <c r="C189" s="65"/>
      <c r="D189" s="65"/>
      <c r="E189" s="65"/>
      <c r="F189" s="65"/>
      <c r="G189" s="65"/>
      <c r="H189" s="66"/>
      <c r="I189" s="58" t="s">
        <v>86</v>
      </c>
      <c r="J189" s="59"/>
      <c r="K189" s="59"/>
      <c r="L189" s="59"/>
      <c r="M189" s="59"/>
      <c r="N189" s="60"/>
      <c r="O189" s="28"/>
      <c r="P189" s="28"/>
      <c r="Q189" s="28"/>
      <c r="R189" s="28"/>
    </row>
    <row r="190" spans="1:18" ht="12.75">
      <c r="A190" s="373" t="s">
        <v>437</v>
      </c>
      <c r="B190" s="636" t="s">
        <v>445</v>
      </c>
      <c r="C190" s="637"/>
      <c r="D190" s="637"/>
      <c r="E190" s="637"/>
      <c r="F190" s="637"/>
      <c r="G190" s="637"/>
      <c r="H190" s="638"/>
      <c r="I190" s="390"/>
      <c r="J190" s="390"/>
      <c r="K190" s="390"/>
      <c r="L190" s="390"/>
      <c r="M190" s="390"/>
      <c r="N190" s="390"/>
      <c r="O190" s="28"/>
      <c r="P190" s="28"/>
      <c r="Q190" s="28"/>
      <c r="R190" s="28"/>
    </row>
    <row r="191" spans="1:18" ht="12.75">
      <c r="A191" s="28"/>
      <c r="B191" s="408" t="s">
        <v>443</v>
      </c>
      <c r="C191" s="28"/>
      <c r="D191" s="382"/>
      <c r="E191" s="383"/>
      <c r="F191" s="384"/>
      <c r="G191" s="452"/>
      <c r="H191" s="276">
        <f>4*3500</f>
        <v>14000</v>
      </c>
      <c r="I191" s="295">
        <f>4*3500</f>
        <v>14000</v>
      </c>
      <c r="J191" s="295">
        <f>4*3500</f>
        <v>14000</v>
      </c>
      <c r="K191" s="295">
        <f>4*3500</f>
        <v>14000</v>
      </c>
      <c r="L191" s="296">
        <f>3*3500</f>
        <v>10500</v>
      </c>
      <c r="M191" s="296">
        <v>0</v>
      </c>
      <c r="N191" s="296">
        <v>0</v>
      </c>
      <c r="O191" s="28"/>
      <c r="P191" s="28"/>
      <c r="Q191" s="28"/>
      <c r="R191" s="28"/>
    </row>
    <row r="192" spans="1:18" ht="12.75">
      <c r="A192" s="377"/>
      <c r="B192" s="409" t="s">
        <v>442</v>
      </c>
      <c r="C192" s="28"/>
      <c r="D192" s="387"/>
      <c r="E192" s="388"/>
      <c r="F192" s="372"/>
      <c r="G192" s="453"/>
      <c r="H192" s="276">
        <v>0</v>
      </c>
      <c r="I192" s="296">
        <v>0</v>
      </c>
      <c r="J192" s="296">
        <v>0</v>
      </c>
      <c r="K192" s="296">
        <v>0</v>
      </c>
      <c r="L192" s="296">
        <v>0</v>
      </c>
      <c r="M192" s="296">
        <v>0</v>
      </c>
      <c r="N192" s="296">
        <v>0</v>
      </c>
      <c r="O192" s="28"/>
      <c r="P192" s="28"/>
      <c r="Q192" s="28"/>
      <c r="R192" s="28"/>
    </row>
    <row r="193" spans="1:18" ht="12.75">
      <c r="A193" s="377"/>
      <c r="B193" s="409" t="s">
        <v>444</v>
      </c>
      <c r="C193" s="28"/>
      <c r="D193" s="387"/>
      <c r="E193" s="388"/>
      <c r="F193" s="372"/>
      <c r="G193" s="453"/>
      <c r="H193" s="276">
        <v>0</v>
      </c>
      <c r="I193" s="296">
        <v>0</v>
      </c>
      <c r="J193" s="296">
        <v>0</v>
      </c>
      <c r="K193" s="296">
        <v>0</v>
      </c>
      <c r="L193" s="296">
        <v>0</v>
      </c>
      <c r="M193" s="296">
        <v>0</v>
      </c>
      <c r="N193" s="296">
        <v>0</v>
      </c>
      <c r="O193" s="28"/>
      <c r="P193" s="28"/>
      <c r="Q193" s="28"/>
      <c r="R193" s="28"/>
    </row>
    <row r="194" spans="1:18" ht="12.75">
      <c r="A194" s="377"/>
      <c r="B194" s="410" t="s">
        <v>446</v>
      </c>
      <c r="C194" s="28"/>
      <c r="D194" s="387"/>
      <c r="E194" s="388"/>
      <c r="F194" s="372"/>
      <c r="G194" s="453"/>
      <c r="H194" s="276">
        <v>0</v>
      </c>
      <c r="I194" s="296">
        <v>0</v>
      </c>
      <c r="J194" s="296">
        <v>0</v>
      </c>
      <c r="K194" s="296">
        <v>0</v>
      </c>
      <c r="L194" s="296">
        <v>0</v>
      </c>
      <c r="M194" s="296">
        <v>0</v>
      </c>
      <c r="N194" s="296">
        <v>0</v>
      </c>
      <c r="O194" s="28"/>
      <c r="P194" s="28"/>
      <c r="Q194" s="28"/>
      <c r="R194" s="28"/>
    </row>
    <row r="195" spans="1:18" ht="12.75">
      <c r="A195" s="377"/>
      <c r="B195" s="410" t="s">
        <v>433</v>
      </c>
      <c r="C195" s="28"/>
      <c r="D195" s="387"/>
      <c r="E195" s="388"/>
      <c r="F195" s="372"/>
      <c r="G195" s="453"/>
      <c r="H195" s="276">
        <v>0</v>
      </c>
      <c r="I195" s="296">
        <v>0</v>
      </c>
      <c r="J195" s="296">
        <v>0</v>
      </c>
      <c r="K195" s="296">
        <v>0</v>
      </c>
      <c r="L195" s="296">
        <v>0</v>
      </c>
      <c r="M195" s="296">
        <v>0</v>
      </c>
      <c r="N195" s="296">
        <v>0</v>
      </c>
      <c r="O195" s="28"/>
      <c r="P195" s="28"/>
      <c r="Q195" s="28"/>
      <c r="R195" s="28"/>
    </row>
    <row r="196" spans="1:18" ht="12.75">
      <c r="A196" s="377"/>
      <c r="B196" s="409" t="s">
        <v>441</v>
      </c>
      <c r="C196" s="28"/>
      <c r="D196" s="94"/>
      <c r="E196" s="369"/>
      <c r="F196" s="370"/>
      <c r="G196" s="453"/>
      <c r="H196" s="276">
        <v>0</v>
      </c>
      <c r="I196" s="296">
        <v>0</v>
      </c>
      <c r="J196" s="296">
        <v>0</v>
      </c>
      <c r="K196" s="296">
        <v>0</v>
      </c>
      <c r="L196" s="296">
        <v>0</v>
      </c>
      <c r="M196" s="296">
        <v>0</v>
      </c>
      <c r="N196" s="296">
        <v>0</v>
      </c>
      <c r="O196" s="28"/>
      <c r="P196" s="28"/>
      <c r="Q196" s="28"/>
      <c r="R196" s="28"/>
    </row>
    <row r="197" spans="1:18" ht="12.75">
      <c r="A197" s="377"/>
      <c r="B197" s="411" t="s">
        <v>440</v>
      </c>
      <c r="C197" s="28"/>
      <c r="D197" s="94"/>
      <c r="E197" s="369"/>
      <c r="F197" s="370"/>
      <c r="G197" s="453"/>
      <c r="H197" s="276">
        <v>5000</v>
      </c>
      <c r="I197" s="296">
        <v>5000</v>
      </c>
      <c r="J197" s="296">
        <v>5000</v>
      </c>
      <c r="K197" s="296">
        <v>5000</v>
      </c>
      <c r="L197" s="296">
        <v>5000</v>
      </c>
      <c r="M197" s="296">
        <v>0</v>
      </c>
      <c r="N197" s="296">
        <v>0</v>
      </c>
      <c r="O197" s="28"/>
      <c r="P197" s="28"/>
      <c r="Q197" s="28"/>
      <c r="R197" s="28"/>
    </row>
    <row r="198" spans="1:18" ht="12.75">
      <c r="A198" s="28"/>
      <c r="B198" s="391" t="s">
        <v>77</v>
      </c>
      <c r="C198" s="455"/>
      <c r="D198" s="369"/>
      <c r="E198" s="369"/>
      <c r="F198" s="370"/>
      <c r="G198" s="453"/>
      <c r="H198" s="276">
        <v>0</v>
      </c>
      <c r="I198" s="296">
        <v>0</v>
      </c>
      <c r="J198" s="296">
        <v>0</v>
      </c>
      <c r="K198" s="296">
        <v>0</v>
      </c>
      <c r="L198" s="296">
        <v>0</v>
      </c>
      <c r="M198" s="296">
        <v>0</v>
      </c>
      <c r="N198" s="296">
        <v>0</v>
      </c>
      <c r="O198" s="28"/>
      <c r="P198" s="28"/>
      <c r="Q198" s="28"/>
      <c r="R198" s="28"/>
    </row>
    <row r="199" spans="1:18" ht="12.75">
      <c r="A199" s="377"/>
      <c r="B199" s="392" t="s">
        <v>17</v>
      </c>
      <c r="C199" s="456"/>
      <c r="D199" s="369"/>
      <c r="E199" s="369"/>
      <c r="F199" s="370"/>
      <c r="G199" s="453"/>
      <c r="H199" s="276">
        <v>2000</v>
      </c>
      <c r="I199" s="296">
        <v>2000</v>
      </c>
      <c r="J199" s="296">
        <v>2000</v>
      </c>
      <c r="K199" s="296">
        <v>2000</v>
      </c>
      <c r="L199" s="296">
        <v>1000</v>
      </c>
      <c r="M199" s="296">
        <v>0</v>
      </c>
      <c r="N199" s="296">
        <v>0</v>
      </c>
      <c r="O199" s="28"/>
      <c r="P199" s="28"/>
      <c r="Q199" s="28"/>
      <c r="R199" s="28"/>
    </row>
    <row r="200" spans="1:18" ht="12.75">
      <c r="A200" s="377"/>
      <c r="B200" s="392" t="s">
        <v>77</v>
      </c>
      <c r="C200" s="456"/>
      <c r="D200" s="369"/>
      <c r="E200" s="369"/>
      <c r="F200" s="370"/>
      <c r="G200" s="453"/>
      <c r="H200" s="276">
        <v>0</v>
      </c>
      <c r="I200" s="296">
        <v>0</v>
      </c>
      <c r="J200" s="296">
        <v>0</v>
      </c>
      <c r="K200" s="296">
        <v>0</v>
      </c>
      <c r="L200" s="296">
        <v>0</v>
      </c>
      <c r="M200" s="296">
        <v>0</v>
      </c>
      <c r="N200" s="296">
        <v>0</v>
      </c>
      <c r="O200" s="28"/>
      <c r="P200" s="28"/>
      <c r="Q200" s="28"/>
      <c r="R200" s="28"/>
    </row>
    <row r="201" spans="1:18" ht="12.75">
      <c r="A201" s="377"/>
      <c r="B201" s="392" t="s">
        <v>77</v>
      </c>
      <c r="C201" s="456"/>
      <c r="D201" s="369"/>
      <c r="E201" s="369"/>
      <c r="F201" s="370"/>
      <c r="G201" s="453"/>
      <c r="H201" s="276">
        <v>0</v>
      </c>
      <c r="I201" s="296">
        <v>0</v>
      </c>
      <c r="J201" s="296">
        <v>0</v>
      </c>
      <c r="K201" s="296">
        <v>0</v>
      </c>
      <c r="L201" s="296">
        <v>0</v>
      </c>
      <c r="M201" s="296">
        <v>0</v>
      </c>
      <c r="N201" s="296">
        <v>0</v>
      </c>
      <c r="O201" s="28"/>
      <c r="P201" s="28"/>
      <c r="Q201" s="28"/>
      <c r="R201" s="28"/>
    </row>
    <row r="202" spans="1:18" ht="13.5" thickBot="1">
      <c r="A202" s="377"/>
      <c r="B202" s="393" t="s">
        <v>77</v>
      </c>
      <c r="C202" s="457"/>
      <c r="D202" s="385"/>
      <c r="E202" s="385"/>
      <c r="F202" s="386"/>
      <c r="G202" s="453"/>
      <c r="H202" s="424">
        <v>0</v>
      </c>
      <c r="I202" s="296">
        <v>0</v>
      </c>
      <c r="J202" s="296">
        <v>0</v>
      </c>
      <c r="K202" s="296">
        <v>0</v>
      </c>
      <c r="L202" s="296">
        <v>0</v>
      </c>
      <c r="M202" s="296">
        <v>0</v>
      </c>
      <c r="N202" s="296">
        <v>0</v>
      </c>
      <c r="O202" s="28"/>
      <c r="P202" s="28"/>
      <c r="Q202" s="28"/>
      <c r="R202" s="28"/>
    </row>
    <row r="203" spans="1:18" ht="13.5" thickTop="1">
      <c r="A203" s="377"/>
      <c r="B203" s="67" t="s">
        <v>447</v>
      </c>
      <c r="C203" s="28"/>
      <c r="D203" s="28"/>
      <c r="E203" s="28"/>
      <c r="F203" s="28"/>
      <c r="G203" s="28"/>
      <c r="H203" s="68"/>
      <c r="I203" s="63"/>
      <c r="J203" s="63"/>
      <c r="K203" s="63"/>
      <c r="L203" s="63"/>
      <c r="M203" s="63"/>
      <c r="N203" s="63"/>
      <c r="O203" s="28"/>
      <c r="P203" s="28"/>
      <c r="Q203" s="28"/>
      <c r="R203" s="28"/>
    </row>
    <row r="204" spans="1:18" ht="13.5" thickBot="1">
      <c r="A204" s="377"/>
      <c r="B204" s="28"/>
      <c r="C204" s="28"/>
      <c r="D204" s="28"/>
      <c r="E204" s="28"/>
      <c r="F204" s="28"/>
      <c r="G204" s="470" t="s">
        <v>546</v>
      </c>
      <c r="H204" s="472">
        <f>SUM(H191:H203)</f>
        <v>21000</v>
      </c>
      <c r="I204" s="64"/>
      <c r="J204" s="64"/>
      <c r="K204" s="64"/>
      <c r="L204" s="64"/>
      <c r="M204" s="28"/>
      <c r="N204" s="28"/>
      <c r="O204" s="28"/>
      <c r="P204" s="28"/>
      <c r="Q204" s="28"/>
      <c r="R204" s="28"/>
    </row>
    <row r="205" spans="1:18" ht="13.5" thickTop="1">
      <c r="A205" s="377"/>
      <c r="B205" s="28"/>
      <c r="C205" s="28"/>
      <c r="D205" s="28"/>
      <c r="E205" s="468" t="s">
        <v>545</v>
      </c>
      <c r="F205" s="57">
        <f>(H184+H204)/G9</f>
        <v>502.4166666666667</v>
      </c>
      <c r="G205" s="28"/>
      <c r="H205" s="69"/>
      <c r="I205" s="64"/>
      <c r="J205" s="64"/>
      <c r="K205" s="64"/>
      <c r="L205" s="64"/>
      <c r="M205" s="28"/>
      <c r="N205" s="28"/>
      <c r="O205" s="28"/>
      <c r="P205" s="28"/>
      <c r="Q205" s="28"/>
      <c r="R205" s="28"/>
    </row>
    <row r="206" spans="1:18" ht="12.75">
      <c r="A206" s="377"/>
      <c r="B206" s="28"/>
      <c r="C206" s="28"/>
      <c r="D206" s="28"/>
      <c r="E206" s="468" t="s">
        <v>687</v>
      </c>
      <c r="F206" s="57">
        <f>(H184+H204)/($C$32*$D$32+($C$33+$G$24)*$D$33)</f>
        <v>0.9867430441898527</v>
      </c>
      <c r="G206" s="28"/>
      <c r="H206" s="69"/>
      <c r="I206" s="64"/>
      <c r="J206" s="64"/>
      <c r="K206" s="64"/>
      <c r="L206" s="64"/>
      <c r="M206" s="28"/>
      <c r="N206" s="28"/>
      <c r="O206" s="28"/>
      <c r="P206" s="28"/>
      <c r="Q206" s="28"/>
      <c r="R206" s="28"/>
    </row>
    <row r="207" spans="1:18" ht="12.75">
      <c r="A207" s="377"/>
      <c r="B207" s="28"/>
      <c r="C207" s="28"/>
      <c r="D207" s="28"/>
      <c r="E207" s="28"/>
      <c r="F207" s="28"/>
      <c r="G207" s="28"/>
      <c r="H207" s="69"/>
      <c r="I207" s="64"/>
      <c r="J207" s="64"/>
      <c r="K207" s="64"/>
      <c r="L207" s="64"/>
      <c r="M207" s="28"/>
      <c r="N207" s="28"/>
      <c r="O207" s="28"/>
      <c r="P207" s="28"/>
      <c r="Q207" s="28"/>
      <c r="R207" s="28"/>
    </row>
    <row r="208" spans="1:18" ht="12.75">
      <c r="A208" s="377"/>
      <c r="B208" s="67" t="s">
        <v>83</v>
      </c>
      <c r="C208" s="28"/>
      <c r="D208" s="28"/>
      <c r="E208" s="28"/>
      <c r="F208" s="28"/>
      <c r="G208" s="28"/>
      <c r="H208" s="471">
        <f>H65-H174-H204</f>
        <v>86457.99999999997</v>
      </c>
      <c r="I208" s="63"/>
      <c r="J208" s="63"/>
      <c r="K208" s="63"/>
      <c r="L208" s="63"/>
      <c r="M208" s="63"/>
      <c r="N208" s="63"/>
      <c r="O208" s="28"/>
      <c r="P208" s="28"/>
      <c r="Q208" s="28"/>
      <c r="R208" s="28"/>
    </row>
    <row r="209" spans="1:18" ht="12.75">
      <c r="A209" s="377"/>
      <c r="B209" s="33" t="s">
        <v>84</v>
      </c>
      <c r="C209" s="33"/>
      <c r="D209" s="33"/>
      <c r="E209" s="33"/>
      <c r="F209" s="33"/>
      <c r="G209" s="33"/>
      <c r="H209" s="70"/>
      <c r="I209" s="71"/>
      <c r="J209" s="71"/>
      <c r="K209" s="71"/>
      <c r="L209" s="71"/>
      <c r="M209" s="33"/>
      <c r="N209" s="33"/>
      <c r="O209" s="28"/>
      <c r="P209" s="28"/>
      <c r="Q209" s="28"/>
      <c r="R209" s="28"/>
    </row>
    <row r="210" spans="1:18" ht="12.75">
      <c r="A210" s="377"/>
      <c r="B210" s="42"/>
      <c r="C210" s="42"/>
      <c r="D210" s="42"/>
      <c r="H210" s="466"/>
      <c r="I210" s="467"/>
      <c r="J210" s="467"/>
      <c r="K210" s="467"/>
      <c r="L210" s="467"/>
      <c r="M210" s="42"/>
      <c r="N210" s="42"/>
      <c r="O210" s="28"/>
      <c r="P210" s="28"/>
      <c r="Q210" s="28"/>
      <c r="R210" s="28"/>
    </row>
    <row r="211" spans="1:18" ht="12.75">
      <c r="A211" s="377"/>
      <c r="B211" s="45"/>
      <c r="C211" s="45"/>
      <c r="D211" s="45"/>
      <c r="E211" s="45"/>
      <c r="F211" s="45"/>
      <c r="G211" s="45"/>
      <c r="H211" s="73"/>
      <c r="I211" s="72"/>
      <c r="J211" s="72"/>
      <c r="K211" s="72"/>
      <c r="L211" s="72"/>
      <c r="M211" s="28"/>
      <c r="N211" s="28"/>
      <c r="O211" s="28"/>
      <c r="P211" s="28"/>
      <c r="Q211" s="28"/>
      <c r="R211" s="28"/>
    </row>
    <row r="212" spans="1:18" ht="12.75">
      <c r="A212" s="465" t="s">
        <v>539</v>
      </c>
      <c r="B212" s="45"/>
      <c r="C212" s="45"/>
      <c r="D212" s="45"/>
      <c r="E212" s="45"/>
      <c r="F212" s="45"/>
      <c r="G212" s="45"/>
      <c r="H212" s="73"/>
      <c r="I212" s="28"/>
      <c r="J212" s="28"/>
      <c r="K212" s="28"/>
      <c r="L212" s="28"/>
      <c r="M212" s="28"/>
      <c r="N212" s="28"/>
      <c r="O212" s="28"/>
      <c r="P212" s="28"/>
      <c r="Q212" s="28"/>
      <c r="R212" s="28"/>
    </row>
    <row r="213" spans="1:18" ht="12.75">
      <c r="A213" s="377"/>
      <c r="B213" s="45"/>
      <c r="C213" s="45"/>
      <c r="D213" s="45"/>
      <c r="E213" s="45"/>
      <c r="F213" s="45"/>
      <c r="G213" s="45"/>
      <c r="H213" s="73"/>
      <c r="I213" s="37" t="s">
        <v>51</v>
      </c>
      <c r="J213" s="37" t="s">
        <v>51</v>
      </c>
      <c r="K213" s="37" t="s">
        <v>51</v>
      </c>
      <c r="L213" s="37" t="s">
        <v>51</v>
      </c>
      <c r="M213" s="34" t="s">
        <v>51</v>
      </c>
      <c r="N213" s="34" t="s">
        <v>51</v>
      </c>
      <c r="O213" s="28"/>
      <c r="P213" s="28"/>
      <c r="Q213" s="28"/>
      <c r="R213" s="28"/>
    </row>
    <row r="214" spans="1:18" ht="27" customHeight="1">
      <c r="A214" s="377"/>
      <c r="B214" s="74"/>
      <c r="C214" s="74"/>
      <c r="D214" s="74"/>
      <c r="E214" s="74"/>
      <c r="F214" s="74"/>
      <c r="G214" s="74"/>
      <c r="H214" s="74"/>
      <c r="I214" s="75" t="s">
        <v>52</v>
      </c>
      <c r="J214" s="75" t="s">
        <v>55</v>
      </c>
      <c r="K214" s="75" t="s">
        <v>54</v>
      </c>
      <c r="L214" s="75" t="s">
        <v>53</v>
      </c>
      <c r="M214" s="34" t="s">
        <v>79</v>
      </c>
      <c r="N214" s="34" t="s">
        <v>80</v>
      </c>
      <c r="O214" s="28"/>
      <c r="P214" s="28"/>
      <c r="Q214" s="28"/>
      <c r="R214" s="28"/>
    </row>
    <row r="215" spans="1:18" ht="27" customHeight="1">
      <c r="A215" s="377"/>
      <c r="B215" s="74"/>
      <c r="C215" s="74"/>
      <c r="D215" s="74"/>
      <c r="E215" s="74"/>
      <c r="F215" s="74"/>
      <c r="G215" s="74"/>
      <c r="H215" s="76"/>
      <c r="I215" s="634" t="str">
        <f>$I$41</f>
        <v>Keep Cows and buy Hay</v>
      </c>
      <c r="J215" s="634" t="str">
        <f>$J$41</f>
        <v>Keep Cows, Buy Straw &amp; Protein Supplement</v>
      </c>
      <c r="K215" s="634" t="str">
        <f>$K$41</f>
        <v>Keep Cows, Ship to Grazing</v>
      </c>
      <c r="L215" s="634" t="str">
        <f>$L$41</f>
        <v>Sell 100 Cows to Meet Forage Available</v>
      </c>
      <c r="M215" s="634" t="str">
        <f>M$41</f>
        <v>Description</v>
      </c>
      <c r="N215" s="634" t="str">
        <f>N$41</f>
        <v>Description</v>
      </c>
      <c r="O215" s="28"/>
      <c r="P215" s="28"/>
      <c r="Q215" s="28"/>
      <c r="R215" s="28"/>
    </row>
    <row r="216" spans="1:18" ht="15.75">
      <c r="A216" s="377"/>
      <c r="B216" s="284" t="s">
        <v>428</v>
      </c>
      <c r="C216" s="246"/>
      <c r="D216" s="246"/>
      <c r="E216" s="246"/>
      <c r="F216" s="246"/>
      <c r="G216" s="246"/>
      <c r="H216" s="247"/>
      <c r="I216" s="635"/>
      <c r="J216" s="635"/>
      <c r="K216" s="635"/>
      <c r="L216" s="635"/>
      <c r="M216" s="635"/>
      <c r="N216" s="635"/>
      <c r="O216" s="28"/>
      <c r="P216" s="28"/>
      <c r="Q216" s="28"/>
      <c r="R216" s="28"/>
    </row>
    <row r="217" spans="1:18" ht="12.75">
      <c r="A217" s="377"/>
      <c r="B217" s="94"/>
      <c r="C217" s="11"/>
      <c r="D217" s="11"/>
      <c r="E217" s="11"/>
      <c r="F217" s="11"/>
      <c r="G217" s="11"/>
      <c r="H217" s="12"/>
      <c r="I217" s="260">
        <v>0</v>
      </c>
      <c r="J217" s="260">
        <v>0</v>
      </c>
      <c r="K217" s="260">
        <v>0</v>
      </c>
      <c r="L217" s="260">
        <v>0</v>
      </c>
      <c r="M217" s="260">
        <v>0</v>
      </c>
      <c r="N217" s="260">
        <v>0</v>
      </c>
      <c r="O217" s="28"/>
      <c r="P217" s="28"/>
      <c r="Q217" s="28"/>
      <c r="R217" s="28"/>
    </row>
    <row r="218" spans="1:18" ht="12.75">
      <c r="A218" s="377"/>
      <c r="B218" s="94"/>
      <c r="C218" s="11"/>
      <c r="D218" s="11"/>
      <c r="E218" s="11"/>
      <c r="F218" s="11"/>
      <c r="G218" s="11"/>
      <c r="H218" s="12"/>
      <c r="I218" s="260">
        <v>0</v>
      </c>
      <c r="J218" s="260">
        <v>0</v>
      </c>
      <c r="K218" s="260">
        <v>0</v>
      </c>
      <c r="L218" s="260">
        <v>0</v>
      </c>
      <c r="M218" s="260">
        <v>0</v>
      </c>
      <c r="N218" s="260">
        <v>0</v>
      </c>
      <c r="O218" s="28"/>
      <c r="P218" s="28"/>
      <c r="Q218" s="28"/>
      <c r="R218" s="28"/>
    </row>
    <row r="219" spans="1:18" ht="12.75">
      <c r="A219" s="377"/>
      <c r="B219" s="94"/>
      <c r="C219" s="11"/>
      <c r="D219" s="11"/>
      <c r="E219" s="11"/>
      <c r="F219" s="11"/>
      <c r="G219" s="11"/>
      <c r="H219" s="12"/>
      <c r="I219" s="260">
        <v>0</v>
      </c>
      <c r="J219" s="260">
        <v>0</v>
      </c>
      <c r="K219" s="260">
        <v>0</v>
      </c>
      <c r="L219" s="260">
        <v>0</v>
      </c>
      <c r="M219" s="260">
        <v>0</v>
      </c>
      <c r="N219" s="260">
        <v>0</v>
      </c>
      <c r="O219" s="28"/>
      <c r="P219" s="28"/>
      <c r="Q219" s="28"/>
      <c r="R219" s="28"/>
    </row>
    <row r="220" spans="1:18" ht="12.75">
      <c r="A220" s="377"/>
      <c r="B220" s="94"/>
      <c r="C220" s="11"/>
      <c r="D220" s="11"/>
      <c r="E220" s="11"/>
      <c r="F220" s="11"/>
      <c r="G220" s="11"/>
      <c r="H220" s="12"/>
      <c r="I220" s="260">
        <v>0</v>
      </c>
      <c r="J220" s="260">
        <v>0</v>
      </c>
      <c r="K220" s="260">
        <v>0</v>
      </c>
      <c r="L220" s="260">
        <v>0</v>
      </c>
      <c r="M220" s="260">
        <v>0</v>
      </c>
      <c r="N220" s="260">
        <v>0</v>
      </c>
      <c r="O220" s="28"/>
      <c r="P220" s="28"/>
      <c r="Q220" s="28"/>
      <c r="R220" s="28"/>
    </row>
    <row r="221" spans="1:18" ht="12.75">
      <c r="A221" s="377"/>
      <c r="B221" s="94"/>
      <c r="C221" s="11"/>
      <c r="D221" s="11"/>
      <c r="E221" s="11"/>
      <c r="F221" s="11"/>
      <c r="G221" s="11"/>
      <c r="H221" s="12"/>
      <c r="I221" s="260">
        <v>0</v>
      </c>
      <c r="J221" s="260">
        <v>0</v>
      </c>
      <c r="K221" s="260">
        <v>0</v>
      </c>
      <c r="L221" s="260">
        <v>0</v>
      </c>
      <c r="M221" s="260">
        <v>0</v>
      </c>
      <c r="N221" s="260">
        <v>0</v>
      </c>
      <c r="O221" s="28"/>
      <c r="P221" s="28"/>
      <c r="Q221" s="28"/>
      <c r="R221" s="28"/>
    </row>
    <row r="222" spans="1:18" ht="12.75">
      <c r="A222" s="377"/>
      <c r="B222" s="94"/>
      <c r="C222" s="11"/>
      <c r="D222" s="11"/>
      <c r="E222" s="11"/>
      <c r="F222" s="11"/>
      <c r="G222" s="11"/>
      <c r="H222" s="12"/>
      <c r="I222" s="260">
        <v>0</v>
      </c>
      <c r="J222" s="260">
        <v>0</v>
      </c>
      <c r="K222" s="260">
        <v>0</v>
      </c>
      <c r="L222" s="260">
        <v>0</v>
      </c>
      <c r="M222" s="260">
        <v>0</v>
      </c>
      <c r="N222" s="260">
        <v>0</v>
      </c>
      <c r="O222" s="28"/>
      <c r="P222" s="28"/>
      <c r="Q222" s="28"/>
      <c r="R222" s="28"/>
    </row>
    <row r="223" spans="1:18" ht="12.75">
      <c r="A223" s="377"/>
      <c r="B223" s="94"/>
      <c r="C223" s="11"/>
      <c r="D223" s="11"/>
      <c r="E223" s="11"/>
      <c r="F223" s="11"/>
      <c r="G223" s="11"/>
      <c r="H223" s="12"/>
      <c r="I223" s="260">
        <v>0</v>
      </c>
      <c r="J223" s="260">
        <v>0</v>
      </c>
      <c r="K223" s="260">
        <v>0</v>
      </c>
      <c r="L223" s="260">
        <v>0</v>
      </c>
      <c r="M223" s="260">
        <v>0</v>
      </c>
      <c r="N223" s="260">
        <v>0</v>
      </c>
      <c r="O223" s="28"/>
      <c r="P223" s="28"/>
      <c r="Q223" s="28"/>
      <c r="R223" s="28"/>
    </row>
    <row r="224" spans="1:18" ht="12.75">
      <c r="A224" s="377"/>
      <c r="B224" s="94"/>
      <c r="C224" s="11"/>
      <c r="D224" s="11"/>
      <c r="E224" s="11"/>
      <c r="F224" s="11"/>
      <c r="G224" s="11"/>
      <c r="H224" s="12"/>
      <c r="I224" s="260">
        <v>0</v>
      </c>
      <c r="J224" s="260">
        <v>0</v>
      </c>
      <c r="K224" s="260">
        <v>0</v>
      </c>
      <c r="L224" s="260">
        <v>0</v>
      </c>
      <c r="M224" s="260">
        <v>0</v>
      </c>
      <c r="N224" s="260">
        <v>0</v>
      </c>
      <c r="O224" s="28"/>
      <c r="P224" s="28"/>
      <c r="Q224" s="28"/>
      <c r="R224" s="28"/>
    </row>
    <row r="225" spans="1:18" ht="12.75">
      <c r="A225" s="377"/>
      <c r="B225" s="94"/>
      <c r="C225" s="11"/>
      <c r="D225" s="11"/>
      <c r="E225" s="11"/>
      <c r="F225" s="11"/>
      <c r="G225" s="11"/>
      <c r="H225" s="12"/>
      <c r="I225" s="260">
        <v>0</v>
      </c>
      <c r="J225" s="260">
        <v>0</v>
      </c>
      <c r="K225" s="260">
        <v>0</v>
      </c>
      <c r="L225" s="260">
        <v>0</v>
      </c>
      <c r="M225" s="260">
        <v>0</v>
      </c>
      <c r="N225" s="260">
        <v>0</v>
      </c>
      <c r="O225" s="28"/>
      <c r="P225" s="28"/>
      <c r="Q225" s="28"/>
      <c r="R225" s="28"/>
    </row>
    <row r="226" spans="1:18" ht="12.75">
      <c r="A226" s="377"/>
      <c r="B226" s="94"/>
      <c r="C226" s="11"/>
      <c r="D226" s="11"/>
      <c r="E226" s="11"/>
      <c r="F226" s="11"/>
      <c r="G226" s="11"/>
      <c r="H226" s="12"/>
      <c r="I226" s="260">
        <v>0</v>
      </c>
      <c r="J226" s="260">
        <v>0</v>
      </c>
      <c r="K226" s="260">
        <v>0</v>
      </c>
      <c r="L226" s="260">
        <v>0</v>
      </c>
      <c r="M226" s="260">
        <v>0</v>
      </c>
      <c r="N226" s="260">
        <v>0</v>
      </c>
      <c r="O226" s="28"/>
      <c r="P226" s="28"/>
      <c r="Q226" s="28"/>
      <c r="R226" s="28"/>
    </row>
    <row r="227" spans="1:18" ht="12.75">
      <c r="A227" s="377"/>
      <c r="B227" s="94"/>
      <c r="C227" s="11"/>
      <c r="D227" s="11"/>
      <c r="E227" s="11"/>
      <c r="F227" s="11"/>
      <c r="G227" s="11"/>
      <c r="H227" s="12"/>
      <c r="I227" s="260">
        <v>0</v>
      </c>
      <c r="J227" s="260">
        <v>0</v>
      </c>
      <c r="K227" s="260">
        <v>0</v>
      </c>
      <c r="L227" s="260">
        <v>0</v>
      </c>
      <c r="M227" s="260">
        <v>0</v>
      </c>
      <c r="N227" s="260">
        <v>0</v>
      </c>
      <c r="O227" s="28"/>
      <c r="P227" s="28"/>
      <c r="Q227" s="28"/>
      <c r="R227" s="28"/>
    </row>
    <row r="228" spans="1:18" ht="12.75">
      <c r="A228" s="377"/>
      <c r="B228" s="94"/>
      <c r="C228" s="11"/>
      <c r="D228" s="11"/>
      <c r="E228" s="11"/>
      <c r="F228" s="11"/>
      <c r="G228" s="11"/>
      <c r="H228" s="12"/>
      <c r="I228" s="260">
        <v>0</v>
      </c>
      <c r="J228" s="260">
        <v>0</v>
      </c>
      <c r="K228" s="260">
        <v>0</v>
      </c>
      <c r="L228" s="260">
        <v>0</v>
      </c>
      <c r="M228" s="260">
        <v>0</v>
      </c>
      <c r="N228" s="260">
        <v>0</v>
      </c>
      <c r="O228" s="28"/>
      <c r="P228" s="28"/>
      <c r="Q228" s="28"/>
      <c r="R228" s="28"/>
    </row>
    <row r="229" spans="1:18" ht="12.75">
      <c r="A229" s="377"/>
      <c r="B229" s="94"/>
      <c r="C229" s="11"/>
      <c r="D229" s="11"/>
      <c r="E229" s="11"/>
      <c r="F229" s="11"/>
      <c r="G229" s="11"/>
      <c r="H229" s="12"/>
      <c r="I229" s="260">
        <v>0</v>
      </c>
      <c r="J229" s="260">
        <v>0</v>
      </c>
      <c r="K229" s="260">
        <v>0</v>
      </c>
      <c r="L229" s="260">
        <v>0</v>
      </c>
      <c r="M229" s="260">
        <v>0</v>
      </c>
      <c r="N229" s="260">
        <v>0</v>
      </c>
      <c r="O229" s="28"/>
      <c r="P229" s="28"/>
      <c r="Q229" s="28"/>
      <c r="R229" s="28"/>
    </row>
    <row r="230" spans="1:18" ht="12.75">
      <c r="A230" s="377"/>
      <c r="B230" s="94"/>
      <c r="C230" s="11"/>
      <c r="D230" s="11"/>
      <c r="E230" s="11"/>
      <c r="F230" s="11"/>
      <c r="G230" s="11"/>
      <c r="H230" s="12"/>
      <c r="I230" s="260">
        <v>0</v>
      </c>
      <c r="J230" s="260">
        <v>0</v>
      </c>
      <c r="K230" s="260">
        <v>0</v>
      </c>
      <c r="L230" s="260">
        <v>0</v>
      </c>
      <c r="M230" s="260">
        <v>0</v>
      </c>
      <c r="N230" s="260">
        <v>0</v>
      </c>
      <c r="O230" s="28"/>
      <c r="P230" s="28"/>
      <c r="Q230" s="28"/>
      <c r="R230" s="28"/>
    </row>
    <row r="231" spans="1:18" ht="12.75">
      <c r="A231" s="377"/>
      <c r="B231" s="94"/>
      <c r="C231" s="11"/>
      <c r="D231" s="11"/>
      <c r="E231" s="11"/>
      <c r="F231" s="11"/>
      <c r="G231" s="11"/>
      <c r="H231" s="12"/>
      <c r="I231" s="260">
        <v>0</v>
      </c>
      <c r="J231" s="260">
        <v>0</v>
      </c>
      <c r="K231" s="260">
        <v>0</v>
      </c>
      <c r="L231" s="260">
        <v>0</v>
      </c>
      <c r="M231" s="260">
        <v>0</v>
      </c>
      <c r="N231" s="260">
        <v>0</v>
      </c>
      <c r="O231" s="28"/>
      <c r="P231" s="28"/>
      <c r="Q231" s="28"/>
      <c r="R231" s="28"/>
    </row>
    <row r="232" spans="1:18" ht="12.75">
      <c r="A232" s="28"/>
      <c r="B232" s="94"/>
      <c r="C232" s="11"/>
      <c r="D232" s="11"/>
      <c r="E232" s="11"/>
      <c r="F232" s="11"/>
      <c r="G232" s="11"/>
      <c r="H232" s="12"/>
      <c r="I232" s="260">
        <v>0</v>
      </c>
      <c r="J232" s="260">
        <v>0</v>
      </c>
      <c r="K232" s="260">
        <v>0</v>
      </c>
      <c r="L232" s="260">
        <v>0</v>
      </c>
      <c r="M232" s="260">
        <v>0</v>
      </c>
      <c r="N232" s="260">
        <v>0</v>
      </c>
      <c r="O232" s="28"/>
      <c r="P232" s="28"/>
      <c r="Q232" s="28"/>
      <c r="R232" s="28"/>
    </row>
    <row r="233" spans="1:18" ht="12.75">
      <c r="A233" s="377"/>
      <c r="B233" s="94"/>
      <c r="C233" s="11"/>
      <c r="D233" s="11"/>
      <c r="E233" s="11"/>
      <c r="F233" s="11"/>
      <c r="G233" s="11"/>
      <c r="H233" s="12"/>
      <c r="I233" s="260">
        <v>0</v>
      </c>
      <c r="J233" s="260">
        <v>0</v>
      </c>
      <c r="K233" s="260">
        <v>0</v>
      </c>
      <c r="L233" s="260">
        <v>0</v>
      </c>
      <c r="M233" s="260">
        <v>0</v>
      </c>
      <c r="N233" s="260">
        <v>0</v>
      </c>
      <c r="O233" s="28"/>
      <c r="P233" s="28"/>
      <c r="Q233" s="28"/>
      <c r="R233" s="28"/>
    </row>
    <row r="234" spans="1:18" ht="12.75">
      <c r="A234" s="377"/>
      <c r="B234" s="94"/>
      <c r="C234" s="11"/>
      <c r="D234" s="11"/>
      <c r="E234" s="11"/>
      <c r="F234" s="11"/>
      <c r="G234" s="11"/>
      <c r="H234" s="12"/>
      <c r="I234" s="260">
        <v>0</v>
      </c>
      <c r="J234" s="260">
        <v>0</v>
      </c>
      <c r="K234" s="260">
        <v>0</v>
      </c>
      <c r="L234" s="260">
        <v>0</v>
      </c>
      <c r="M234" s="260">
        <v>0</v>
      </c>
      <c r="N234" s="260">
        <v>0</v>
      </c>
      <c r="O234" s="28"/>
      <c r="P234" s="28"/>
      <c r="Q234" s="28"/>
      <c r="R234" s="28"/>
    </row>
    <row r="235" spans="1:18" ht="12.75">
      <c r="A235" s="377"/>
      <c r="B235" s="94"/>
      <c r="C235" s="11"/>
      <c r="D235" s="11"/>
      <c r="E235" s="11"/>
      <c r="F235" s="11"/>
      <c r="G235" s="11"/>
      <c r="H235" s="12"/>
      <c r="I235" s="260">
        <v>0</v>
      </c>
      <c r="J235" s="260">
        <v>0</v>
      </c>
      <c r="K235" s="260">
        <v>0</v>
      </c>
      <c r="L235" s="260">
        <v>0</v>
      </c>
      <c r="M235" s="260">
        <v>0</v>
      </c>
      <c r="N235" s="260">
        <v>0</v>
      </c>
      <c r="O235" s="28"/>
      <c r="P235" s="28"/>
      <c r="Q235" s="28"/>
      <c r="R235" s="28"/>
    </row>
    <row r="236" spans="1:18" ht="12.75">
      <c r="A236" s="377"/>
      <c r="B236" s="94"/>
      <c r="C236" s="11"/>
      <c r="D236" s="11"/>
      <c r="E236" s="11"/>
      <c r="F236" s="11"/>
      <c r="G236" s="11"/>
      <c r="H236" s="12"/>
      <c r="I236" s="260">
        <v>0</v>
      </c>
      <c r="J236" s="260">
        <v>0</v>
      </c>
      <c r="K236" s="260">
        <v>0</v>
      </c>
      <c r="L236" s="260">
        <v>0</v>
      </c>
      <c r="M236" s="260">
        <v>0</v>
      </c>
      <c r="N236" s="260">
        <v>0</v>
      </c>
      <c r="O236" s="28"/>
      <c r="P236" s="28"/>
      <c r="Q236" s="28"/>
      <c r="R236" s="28"/>
    </row>
    <row r="237" spans="1:18" ht="12.75">
      <c r="A237" s="377"/>
      <c r="B237" s="94"/>
      <c r="C237" s="11"/>
      <c r="D237" s="11"/>
      <c r="E237" s="11"/>
      <c r="F237" s="11"/>
      <c r="G237" s="11"/>
      <c r="H237" s="12"/>
      <c r="I237" s="260">
        <v>0</v>
      </c>
      <c r="J237" s="260">
        <v>0</v>
      </c>
      <c r="K237" s="260">
        <v>0</v>
      </c>
      <c r="L237" s="260">
        <v>0</v>
      </c>
      <c r="M237" s="260">
        <v>0</v>
      </c>
      <c r="N237" s="260">
        <v>0</v>
      </c>
      <c r="O237" s="28"/>
      <c r="P237" s="28"/>
      <c r="Q237" s="28"/>
      <c r="R237" s="28"/>
    </row>
    <row r="238" spans="1:18" ht="12.75">
      <c r="A238" s="377"/>
      <c r="B238" s="94"/>
      <c r="C238" s="11"/>
      <c r="D238" s="11"/>
      <c r="E238" s="11"/>
      <c r="F238" s="11"/>
      <c r="G238" s="11"/>
      <c r="H238" s="12"/>
      <c r="I238" s="260">
        <v>0</v>
      </c>
      <c r="J238" s="260">
        <v>0</v>
      </c>
      <c r="K238" s="260">
        <v>0</v>
      </c>
      <c r="L238" s="260">
        <v>0</v>
      </c>
      <c r="M238" s="260">
        <v>0</v>
      </c>
      <c r="N238" s="260">
        <v>0</v>
      </c>
      <c r="O238" s="28"/>
      <c r="P238" s="28"/>
      <c r="Q238" s="28"/>
      <c r="R238" s="28"/>
    </row>
    <row r="239" spans="1:18" ht="12.75">
      <c r="A239" s="377"/>
      <c r="B239" s="94"/>
      <c r="C239" s="11"/>
      <c r="D239" s="11"/>
      <c r="E239" s="11"/>
      <c r="F239" s="11"/>
      <c r="G239" s="11"/>
      <c r="H239" s="12"/>
      <c r="I239" s="260">
        <v>0</v>
      </c>
      <c r="J239" s="260">
        <v>0</v>
      </c>
      <c r="K239" s="260">
        <v>0</v>
      </c>
      <c r="L239" s="260">
        <v>0</v>
      </c>
      <c r="M239" s="260">
        <v>0</v>
      </c>
      <c r="N239" s="260">
        <v>0</v>
      </c>
      <c r="O239" s="28"/>
      <c r="P239" s="28"/>
      <c r="Q239" s="28"/>
      <c r="R239" s="28"/>
    </row>
    <row r="240" spans="1:18" ht="12.75">
      <c r="A240" s="28"/>
      <c r="B240" s="94"/>
      <c r="C240" s="11"/>
      <c r="D240" s="11"/>
      <c r="E240" s="11"/>
      <c r="F240" s="11"/>
      <c r="G240" s="11"/>
      <c r="H240" s="12"/>
      <c r="I240" s="260">
        <v>0</v>
      </c>
      <c r="J240" s="260">
        <v>0</v>
      </c>
      <c r="K240" s="260">
        <v>0</v>
      </c>
      <c r="L240" s="260">
        <v>0</v>
      </c>
      <c r="M240" s="260">
        <v>0</v>
      </c>
      <c r="N240" s="260">
        <v>0</v>
      </c>
      <c r="O240" s="28"/>
      <c r="P240" s="28"/>
      <c r="Q240" s="28"/>
      <c r="R240" s="28"/>
    </row>
    <row r="241" spans="1:18" ht="12.75">
      <c r="A241" s="377"/>
      <c r="B241" s="94"/>
      <c r="C241" s="11"/>
      <c r="D241" s="11"/>
      <c r="E241" s="11"/>
      <c r="F241" s="11"/>
      <c r="G241" s="11"/>
      <c r="H241" s="12"/>
      <c r="I241" s="260">
        <v>0</v>
      </c>
      <c r="J241" s="260">
        <v>0</v>
      </c>
      <c r="K241" s="260">
        <v>0</v>
      </c>
      <c r="L241" s="260">
        <v>0</v>
      </c>
      <c r="M241" s="260">
        <v>0</v>
      </c>
      <c r="N241" s="260">
        <v>0</v>
      </c>
      <c r="O241" s="28"/>
      <c r="P241" s="28"/>
      <c r="Q241" s="28"/>
      <c r="R241" s="28"/>
    </row>
    <row r="242" spans="1:18" ht="12.75">
      <c r="A242" s="377"/>
      <c r="B242" s="94"/>
      <c r="C242" s="11"/>
      <c r="D242" s="11"/>
      <c r="E242" s="11"/>
      <c r="F242" s="11"/>
      <c r="G242" s="11"/>
      <c r="H242" s="12"/>
      <c r="I242" s="260">
        <v>0</v>
      </c>
      <c r="J242" s="260">
        <v>0</v>
      </c>
      <c r="K242" s="260">
        <v>0</v>
      </c>
      <c r="L242" s="260">
        <v>0</v>
      </c>
      <c r="M242" s="260">
        <v>0</v>
      </c>
      <c r="N242" s="260">
        <v>0</v>
      </c>
      <c r="O242" s="28"/>
      <c r="P242" s="28"/>
      <c r="Q242" s="28"/>
      <c r="R242" s="28"/>
    </row>
    <row r="243" spans="1:18" ht="12.75">
      <c r="A243" s="377"/>
      <c r="B243" s="94"/>
      <c r="C243" s="11"/>
      <c r="D243" s="11"/>
      <c r="E243" s="11"/>
      <c r="F243" s="11"/>
      <c r="G243" s="11"/>
      <c r="H243" s="12"/>
      <c r="I243" s="260">
        <v>0</v>
      </c>
      <c r="J243" s="260">
        <v>0</v>
      </c>
      <c r="K243" s="260">
        <v>0</v>
      </c>
      <c r="L243" s="260">
        <v>0</v>
      </c>
      <c r="M243" s="260">
        <v>0</v>
      </c>
      <c r="N243" s="260">
        <v>0</v>
      </c>
      <c r="O243" s="28"/>
      <c r="P243" s="28"/>
      <c r="Q243" s="28"/>
      <c r="R243" s="28"/>
    </row>
    <row r="244" spans="1:18" ht="12.75">
      <c r="A244" s="377"/>
      <c r="B244" s="94"/>
      <c r="C244" s="11"/>
      <c r="D244" s="11"/>
      <c r="E244" s="11"/>
      <c r="F244" s="11"/>
      <c r="G244" s="11"/>
      <c r="H244" s="12"/>
      <c r="I244" s="260">
        <v>0</v>
      </c>
      <c r="J244" s="260">
        <v>0</v>
      </c>
      <c r="K244" s="260">
        <v>0</v>
      </c>
      <c r="L244" s="260">
        <v>0</v>
      </c>
      <c r="M244" s="260">
        <v>0</v>
      </c>
      <c r="N244" s="260">
        <v>0</v>
      </c>
      <c r="O244" s="28"/>
      <c r="P244" s="28"/>
      <c r="Q244" s="28"/>
      <c r="R244" s="28"/>
    </row>
    <row r="245" spans="1:18" ht="12.75">
      <c r="A245" s="377"/>
      <c r="B245" s="94"/>
      <c r="C245" s="11"/>
      <c r="D245" s="11"/>
      <c r="E245" s="11"/>
      <c r="F245" s="11"/>
      <c r="G245" s="11"/>
      <c r="H245" s="12"/>
      <c r="I245" s="260">
        <v>0</v>
      </c>
      <c r="J245" s="260">
        <v>0</v>
      </c>
      <c r="K245" s="260">
        <v>0</v>
      </c>
      <c r="L245" s="260">
        <v>0</v>
      </c>
      <c r="M245" s="260">
        <v>0</v>
      </c>
      <c r="N245" s="260">
        <v>0</v>
      </c>
      <c r="O245" s="28"/>
      <c r="P245" s="28"/>
      <c r="Q245" s="28"/>
      <c r="R245" s="28"/>
    </row>
    <row r="246" spans="1:18" ht="12.75">
      <c r="A246" s="377"/>
      <c r="B246" s="94"/>
      <c r="C246" s="11"/>
      <c r="D246" s="11"/>
      <c r="E246" s="11"/>
      <c r="F246" s="11"/>
      <c r="G246" s="11"/>
      <c r="H246" s="12"/>
      <c r="I246" s="260">
        <v>0</v>
      </c>
      <c r="J246" s="260">
        <v>0</v>
      </c>
      <c r="K246" s="260">
        <v>0</v>
      </c>
      <c r="L246" s="260">
        <v>0</v>
      </c>
      <c r="M246" s="260">
        <v>0</v>
      </c>
      <c r="N246" s="260">
        <v>0</v>
      </c>
      <c r="O246" s="28"/>
      <c r="P246" s="28"/>
      <c r="Q246" s="28"/>
      <c r="R246" s="28"/>
    </row>
    <row r="247" spans="1:18" ht="12.75">
      <c r="A247" s="377"/>
      <c r="B247" s="94"/>
      <c r="C247" s="11"/>
      <c r="D247" s="11"/>
      <c r="E247" s="11"/>
      <c r="F247" s="11"/>
      <c r="G247" s="11"/>
      <c r="H247" s="12"/>
      <c r="I247" s="260">
        <v>0</v>
      </c>
      <c r="J247" s="260">
        <v>0</v>
      </c>
      <c r="K247" s="260">
        <v>0</v>
      </c>
      <c r="L247" s="260">
        <v>0</v>
      </c>
      <c r="M247" s="260">
        <v>0</v>
      </c>
      <c r="N247" s="260">
        <v>0</v>
      </c>
      <c r="O247" s="28"/>
      <c r="P247" s="28"/>
      <c r="Q247" s="28"/>
      <c r="R247" s="28"/>
    </row>
    <row r="248" spans="1:18" ht="12.75">
      <c r="A248" s="377"/>
      <c r="B248" s="94"/>
      <c r="C248" s="11"/>
      <c r="D248" s="11"/>
      <c r="E248" s="11"/>
      <c r="F248" s="11"/>
      <c r="G248" s="11"/>
      <c r="H248" s="12"/>
      <c r="I248" s="260">
        <v>0</v>
      </c>
      <c r="J248" s="260">
        <v>0</v>
      </c>
      <c r="K248" s="260">
        <v>0</v>
      </c>
      <c r="L248" s="260">
        <v>0</v>
      </c>
      <c r="M248" s="260">
        <v>0</v>
      </c>
      <c r="N248" s="260">
        <v>0</v>
      </c>
      <c r="O248" s="28"/>
      <c r="P248" s="28"/>
      <c r="Q248" s="28"/>
      <c r="R248" s="28"/>
    </row>
    <row r="249" spans="1:18" ht="12.75">
      <c r="A249" s="377"/>
      <c r="B249" s="94"/>
      <c r="C249" s="11"/>
      <c r="D249" s="11"/>
      <c r="E249" s="11"/>
      <c r="F249" s="11"/>
      <c r="G249" s="11"/>
      <c r="H249" s="12"/>
      <c r="I249" s="260">
        <v>0</v>
      </c>
      <c r="J249" s="260">
        <v>0</v>
      </c>
      <c r="K249" s="260">
        <v>0</v>
      </c>
      <c r="L249" s="260">
        <v>0</v>
      </c>
      <c r="M249" s="260">
        <v>0</v>
      </c>
      <c r="N249" s="260">
        <v>0</v>
      </c>
      <c r="O249" s="28"/>
      <c r="P249" s="28"/>
      <c r="Q249" s="28"/>
      <c r="R249" s="28"/>
    </row>
    <row r="250" spans="1:18" ht="12.75">
      <c r="A250" s="377"/>
      <c r="B250" s="94"/>
      <c r="C250" s="11"/>
      <c r="D250" s="11"/>
      <c r="E250" s="11"/>
      <c r="F250" s="11"/>
      <c r="G250" s="11"/>
      <c r="H250" s="12"/>
      <c r="I250" s="260">
        <v>0</v>
      </c>
      <c r="J250" s="260">
        <v>0</v>
      </c>
      <c r="K250" s="260">
        <v>0</v>
      </c>
      <c r="L250" s="260">
        <v>0</v>
      </c>
      <c r="M250" s="260">
        <v>0</v>
      </c>
      <c r="N250" s="260">
        <v>0</v>
      </c>
      <c r="O250" s="28"/>
      <c r="P250" s="28"/>
      <c r="Q250" s="28"/>
      <c r="R250" s="28"/>
    </row>
    <row r="251" spans="1:18" ht="12.75">
      <c r="A251" s="377"/>
      <c r="B251" s="94"/>
      <c r="C251" s="11"/>
      <c r="D251" s="11"/>
      <c r="E251" s="11"/>
      <c r="F251" s="11"/>
      <c r="G251" s="11"/>
      <c r="H251" s="12"/>
      <c r="I251" s="260">
        <v>0</v>
      </c>
      <c r="J251" s="260">
        <v>0</v>
      </c>
      <c r="K251" s="260">
        <v>0</v>
      </c>
      <c r="L251" s="260">
        <v>0</v>
      </c>
      <c r="M251" s="260">
        <v>0</v>
      </c>
      <c r="N251" s="260">
        <v>0</v>
      </c>
      <c r="O251" s="28"/>
      <c r="P251" s="28"/>
      <c r="Q251" s="28"/>
      <c r="R251" s="28"/>
    </row>
    <row r="252" spans="1:18" ht="12.75">
      <c r="A252" s="377"/>
      <c r="B252" s="94"/>
      <c r="C252" s="11"/>
      <c r="D252" s="11"/>
      <c r="E252" s="11"/>
      <c r="F252" s="11"/>
      <c r="G252" s="11"/>
      <c r="H252" s="12"/>
      <c r="I252" s="260">
        <v>0</v>
      </c>
      <c r="J252" s="260">
        <v>0</v>
      </c>
      <c r="K252" s="260">
        <v>0</v>
      </c>
      <c r="L252" s="260">
        <v>0</v>
      </c>
      <c r="M252" s="260">
        <v>0</v>
      </c>
      <c r="N252" s="260">
        <v>0</v>
      </c>
      <c r="O252" s="28"/>
      <c r="P252" s="28"/>
      <c r="Q252" s="28"/>
      <c r="R252" s="28"/>
    </row>
    <row r="253" spans="1:18" ht="12.75">
      <c r="A253" s="377"/>
      <c r="B253" s="94"/>
      <c r="C253" s="11"/>
      <c r="D253" s="11"/>
      <c r="E253" s="11"/>
      <c r="F253" s="11"/>
      <c r="G253" s="11"/>
      <c r="H253" s="12"/>
      <c r="I253" s="260">
        <v>0</v>
      </c>
      <c r="J253" s="260">
        <v>0</v>
      </c>
      <c r="K253" s="260">
        <v>0</v>
      </c>
      <c r="L253" s="260">
        <v>0</v>
      </c>
      <c r="M253" s="260">
        <v>0</v>
      </c>
      <c r="N253" s="260">
        <v>0</v>
      </c>
      <c r="O253" s="28"/>
      <c r="P253" s="28"/>
      <c r="Q253" s="28"/>
      <c r="R253" s="28"/>
    </row>
    <row r="254" spans="1:18" ht="12.75">
      <c r="A254" s="377"/>
      <c r="B254" s="94"/>
      <c r="C254" s="11"/>
      <c r="D254" s="11"/>
      <c r="E254" s="11"/>
      <c r="F254" s="11"/>
      <c r="G254" s="11"/>
      <c r="H254" s="12"/>
      <c r="I254" s="260">
        <v>0</v>
      </c>
      <c r="J254" s="260">
        <v>0</v>
      </c>
      <c r="K254" s="260">
        <v>0</v>
      </c>
      <c r="L254" s="260">
        <v>0</v>
      </c>
      <c r="M254" s="260">
        <v>0</v>
      </c>
      <c r="N254" s="260">
        <v>0</v>
      </c>
      <c r="O254" s="28"/>
      <c r="P254" s="28"/>
      <c r="Q254" s="28"/>
      <c r="R254" s="28"/>
    </row>
    <row r="255" spans="1:18" ht="12.75">
      <c r="A255" s="377"/>
      <c r="B255" s="94"/>
      <c r="C255" s="11"/>
      <c r="D255" s="11"/>
      <c r="E255" s="11"/>
      <c r="F255" s="11"/>
      <c r="G255" s="11"/>
      <c r="H255" s="12"/>
      <c r="I255" s="260">
        <v>0</v>
      </c>
      <c r="J255" s="260">
        <v>0</v>
      </c>
      <c r="K255" s="260">
        <v>0</v>
      </c>
      <c r="L255" s="260">
        <v>0</v>
      </c>
      <c r="M255" s="260">
        <v>0</v>
      </c>
      <c r="N255" s="260">
        <v>0</v>
      </c>
      <c r="O255" s="28"/>
      <c r="P255" s="28"/>
      <c r="Q255" s="28"/>
      <c r="R255" s="28"/>
    </row>
    <row r="256" spans="1:18" ht="12.75">
      <c r="A256" s="377"/>
      <c r="B256" s="94"/>
      <c r="C256" s="11"/>
      <c r="D256" s="11"/>
      <c r="E256" s="11"/>
      <c r="F256" s="11"/>
      <c r="G256" s="11"/>
      <c r="H256" s="12"/>
      <c r="I256" s="260">
        <v>0</v>
      </c>
      <c r="J256" s="260">
        <v>0</v>
      </c>
      <c r="K256" s="260">
        <v>0</v>
      </c>
      <c r="L256" s="260">
        <v>0</v>
      </c>
      <c r="M256" s="260">
        <v>0</v>
      </c>
      <c r="N256" s="260">
        <v>0</v>
      </c>
      <c r="O256" s="28"/>
      <c r="P256" s="28"/>
      <c r="Q256" s="28"/>
      <c r="R256" s="28"/>
    </row>
    <row r="257" spans="1:18" ht="12.75">
      <c r="A257" s="377"/>
      <c r="B257" s="94"/>
      <c r="C257" s="11"/>
      <c r="D257" s="11"/>
      <c r="E257" s="11"/>
      <c r="F257" s="11"/>
      <c r="G257" s="11"/>
      <c r="H257" s="12"/>
      <c r="I257" s="260">
        <v>0</v>
      </c>
      <c r="J257" s="260">
        <v>0</v>
      </c>
      <c r="K257" s="260">
        <v>0</v>
      </c>
      <c r="L257" s="260">
        <v>0</v>
      </c>
      <c r="M257" s="260">
        <v>0</v>
      </c>
      <c r="N257" s="260">
        <v>0</v>
      </c>
      <c r="O257" s="28"/>
      <c r="P257" s="28"/>
      <c r="Q257" s="28"/>
      <c r="R257" s="28"/>
    </row>
    <row r="258" spans="1:18" ht="12.75">
      <c r="A258" s="377"/>
      <c r="B258" s="94"/>
      <c r="C258" s="11"/>
      <c r="D258" s="11"/>
      <c r="E258" s="11"/>
      <c r="F258" s="11"/>
      <c r="G258" s="11"/>
      <c r="H258" s="12"/>
      <c r="I258" s="260">
        <v>0</v>
      </c>
      <c r="J258" s="260">
        <v>0</v>
      </c>
      <c r="K258" s="260">
        <v>0</v>
      </c>
      <c r="L258" s="260">
        <v>0</v>
      </c>
      <c r="M258" s="260">
        <v>0</v>
      </c>
      <c r="N258" s="260">
        <v>0</v>
      </c>
      <c r="O258" s="28"/>
      <c r="P258" s="28"/>
      <c r="Q258" s="28"/>
      <c r="R258" s="28"/>
    </row>
    <row r="259" spans="1:18" ht="12.75">
      <c r="A259" s="377"/>
      <c r="B259" s="94"/>
      <c r="C259" s="11"/>
      <c r="D259" s="11"/>
      <c r="E259" s="11"/>
      <c r="F259" s="11"/>
      <c r="G259" s="11"/>
      <c r="H259" s="12"/>
      <c r="I259" s="260">
        <v>0</v>
      </c>
      <c r="J259" s="260">
        <v>0</v>
      </c>
      <c r="K259" s="260">
        <v>0</v>
      </c>
      <c r="L259" s="260">
        <v>0</v>
      </c>
      <c r="M259" s="260">
        <v>0</v>
      </c>
      <c r="N259" s="260">
        <v>0</v>
      </c>
      <c r="O259" s="28"/>
      <c r="P259" s="28"/>
      <c r="Q259" s="28"/>
      <c r="R259" s="28"/>
    </row>
    <row r="260" spans="1:18" ht="12.75">
      <c r="A260" s="377"/>
      <c r="B260" s="94"/>
      <c r="C260" s="11"/>
      <c r="D260" s="11"/>
      <c r="E260" s="11"/>
      <c r="F260" s="11"/>
      <c r="G260" s="11"/>
      <c r="H260" s="12"/>
      <c r="I260" s="260">
        <v>0</v>
      </c>
      <c r="J260" s="260">
        <v>0</v>
      </c>
      <c r="K260" s="260">
        <v>0</v>
      </c>
      <c r="L260" s="260">
        <v>0</v>
      </c>
      <c r="M260" s="260">
        <v>0</v>
      </c>
      <c r="N260" s="260">
        <v>0</v>
      </c>
      <c r="O260" s="28"/>
      <c r="P260" s="28"/>
      <c r="Q260" s="28"/>
      <c r="R260" s="28"/>
    </row>
    <row r="261" spans="1:18" ht="12.75">
      <c r="A261" s="377"/>
      <c r="B261" s="94"/>
      <c r="C261" s="11"/>
      <c r="D261" s="11"/>
      <c r="E261" s="11"/>
      <c r="F261" s="11"/>
      <c r="G261" s="11"/>
      <c r="H261" s="12"/>
      <c r="I261" s="260">
        <v>0</v>
      </c>
      <c r="J261" s="260">
        <v>0</v>
      </c>
      <c r="K261" s="260">
        <v>0</v>
      </c>
      <c r="L261" s="260">
        <v>0</v>
      </c>
      <c r="M261" s="260">
        <v>0</v>
      </c>
      <c r="N261" s="260">
        <v>0</v>
      </c>
      <c r="O261" s="28"/>
      <c r="P261" s="28"/>
      <c r="Q261" s="28"/>
      <c r="R261" s="28"/>
    </row>
    <row r="262" spans="1:18" ht="12.75">
      <c r="A262" s="377"/>
      <c r="B262" s="94"/>
      <c r="C262" s="11"/>
      <c r="D262" s="11"/>
      <c r="E262" s="11"/>
      <c r="F262" s="11"/>
      <c r="G262" s="11"/>
      <c r="H262" s="12"/>
      <c r="I262" s="260">
        <v>0</v>
      </c>
      <c r="J262" s="260">
        <v>0</v>
      </c>
      <c r="K262" s="260">
        <v>0</v>
      </c>
      <c r="L262" s="260">
        <v>0</v>
      </c>
      <c r="M262" s="260">
        <v>0</v>
      </c>
      <c r="N262" s="260">
        <v>0</v>
      </c>
      <c r="O262" s="28"/>
      <c r="P262" s="28"/>
      <c r="Q262" s="28"/>
      <c r="R262" s="28"/>
    </row>
    <row r="263" spans="1:18" ht="12.75">
      <c r="A263" s="377"/>
      <c r="B263" s="94"/>
      <c r="C263" s="11"/>
      <c r="D263" s="11"/>
      <c r="E263" s="11"/>
      <c r="F263" s="11"/>
      <c r="G263" s="11"/>
      <c r="H263" s="12"/>
      <c r="I263" s="260">
        <v>0</v>
      </c>
      <c r="J263" s="260">
        <v>0</v>
      </c>
      <c r="K263" s="260">
        <v>0</v>
      </c>
      <c r="L263" s="260">
        <v>0</v>
      </c>
      <c r="M263" s="260">
        <v>0</v>
      </c>
      <c r="N263" s="260">
        <v>0</v>
      </c>
      <c r="O263" s="28"/>
      <c r="P263" s="28"/>
      <c r="Q263" s="28"/>
      <c r="R263" s="28"/>
    </row>
    <row r="264" spans="1:18" ht="12.75">
      <c r="A264" s="377"/>
      <c r="B264" s="94"/>
      <c r="C264" s="11"/>
      <c r="D264" s="11"/>
      <c r="E264" s="11"/>
      <c r="F264" s="11"/>
      <c r="G264" s="11"/>
      <c r="H264" s="12"/>
      <c r="I264" s="260">
        <v>0</v>
      </c>
      <c r="J264" s="260">
        <v>0</v>
      </c>
      <c r="K264" s="260">
        <v>0</v>
      </c>
      <c r="L264" s="260">
        <v>0</v>
      </c>
      <c r="M264" s="260">
        <v>0</v>
      </c>
      <c r="N264" s="260">
        <v>0</v>
      </c>
      <c r="O264" s="28"/>
      <c r="P264" s="28"/>
      <c r="Q264" s="28"/>
      <c r="R264" s="28"/>
    </row>
    <row r="265" spans="1:18" ht="12.75">
      <c r="A265" s="377"/>
      <c r="B265" s="94"/>
      <c r="C265" s="11"/>
      <c r="D265" s="11"/>
      <c r="E265" s="11"/>
      <c r="F265" s="11"/>
      <c r="G265" s="11"/>
      <c r="H265" s="12"/>
      <c r="I265" s="260">
        <v>0</v>
      </c>
      <c r="J265" s="260">
        <v>0</v>
      </c>
      <c r="K265" s="260">
        <v>0</v>
      </c>
      <c r="L265" s="260">
        <v>0</v>
      </c>
      <c r="M265" s="260">
        <v>0</v>
      </c>
      <c r="N265" s="260">
        <v>0</v>
      </c>
      <c r="O265" s="28"/>
      <c r="P265" s="28"/>
      <c r="Q265" s="28"/>
      <c r="R265" s="28"/>
    </row>
    <row r="266" spans="1:18" ht="12.75">
      <c r="A266" s="377"/>
      <c r="B266" s="94"/>
      <c r="C266" s="11"/>
      <c r="D266" s="11"/>
      <c r="E266" s="11"/>
      <c r="F266" s="11"/>
      <c r="G266" s="11"/>
      <c r="H266" s="12"/>
      <c r="I266" s="260">
        <v>0</v>
      </c>
      <c r="J266" s="260">
        <v>0</v>
      </c>
      <c r="K266" s="260">
        <v>0</v>
      </c>
      <c r="L266" s="260">
        <v>0</v>
      </c>
      <c r="M266" s="260">
        <v>0</v>
      </c>
      <c r="N266" s="260">
        <v>0</v>
      </c>
      <c r="O266" s="28"/>
      <c r="P266" s="28"/>
      <c r="Q266" s="28"/>
      <c r="R266" s="28"/>
    </row>
    <row r="267" spans="1:18" ht="12.75">
      <c r="A267" s="377"/>
      <c r="B267" s="94"/>
      <c r="C267" s="11"/>
      <c r="D267" s="11"/>
      <c r="E267" s="11"/>
      <c r="F267" s="11"/>
      <c r="G267" s="11"/>
      <c r="H267" s="12"/>
      <c r="I267" s="260">
        <v>0</v>
      </c>
      <c r="J267" s="260">
        <v>0</v>
      </c>
      <c r="K267" s="260">
        <v>0</v>
      </c>
      <c r="L267" s="260">
        <v>0</v>
      </c>
      <c r="M267" s="260">
        <v>0</v>
      </c>
      <c r="N267" s="260">
        <v>0</v>
      </c>
      <c r="O267" s="28"/>
      <c r="P267" s="28"/>
      <c r="Q267" s="28"/>
      <c r="R267" s="28"/>
    </row>
    <row r="268" spans="1:18" ht="12.75">
      <c r="A268" s="377"/>
      <c r="B268" s="13"/>
      <c r="C268" s="11"/>
      <c r="D268" s="11"/>
      <c r="E268" s="11"/>
      <c r="F268" s="11"/>
      <c r="G268" s="11"/>
      <c r="H268" s="12"/>
      <c r="I268" s="260">
        <v>0</v>
      </c>
      <c r="J268" s="260">
        <v>0</v>
      </c>
      <c r="K268" s="260">
        <v>0</v>
      </c>
      <c r="L268" s="260">
        <v>0</v>
      </c>
      <c r="M268" s="260">
        <v>0</v>
      </c>
      <c r="N268" s="260">
        <v>0</v>
      </c>
      <c r="O268" s="28"/>
      <c r="P268" s="28"/>
      <c r="Q268" s="28"/>
      <c r="R268" s="28"/>
    </row>
    <row r="269" spans="1:18" ht="12.75">
      <c r="A269" s="377"/>
      <c r="B269" s="89"/>
      <c r="C269" s="90"/>
      <c r="D269" s="90"/>
      <c r="E269" s="90"/>
      <c r="F269" s="90"/>
      <c r="G269" s="90"/>
      <c r="H269" s="91"/>
      <c r="I269" s="260">
        <v>0</v>
      </c>
      <c r="J269" s="260">
        <v>0</v>
      </c>
      <c r="K269" s="260">
        <v>0</v>
      </c>
      <c r="L269" s="260">
        <v>0</v>
      </c>
      <c r="M269" s="260">
        <v>0</v>
      </c>
      <c r="N269" s="260">
        <v>0</v>
      </c>
      <c r="O269" s="28"/>
      <c r="P269" s="28"/>
      <c r="Q269" s="28"/>
      <c r="R269" s="28"/>
    </row>
    <row r="270" spans="1:18" ht="12.75">
      <c r="A270" s="377"/>
      <c r="B270" s="50"/>
      <c r="C270" s="50"/>
      <c r="D270" s="50"/>
      <c r="E270" s="50"/>
      <c r="F270" s="50"/>
      <c r="G270" s="50"/>
      <c r="H270" s="73"/>
      <c r="I270" s="77"/>
      <c r="J270" s="77"/>
      <c r="K270" s="77"/>
      <c r="L270" s="77"/>
      <c r="M270" s="54"/>
      <c r="N270" s="54"/>
      <c r="O270" s="28"/>
      <c r="P270" s="28"/>
      <c r="Q270" s="28"/>
      <c r="R270" s="28"/>
    </row>
    <row r="271" spans="1:18" ht="12.75">
      <c r="A271" s="377"/>
      <c r="B271" s="50"/>
      <c r="C271" s="50"/>
      <c r="D271" s="50"/>
      <c r="E271" s="50"/>
      <c r="F271" s="50"/>
      <c r="G271" s="50"/>
      <c r="H271" s="73"/>
      <c r="I271" s="78"/>
      <c r="J271" s="78"/>
      <c r="K271" s="78"/>
      <c r="L271" s="78"/>
      <c r="M271" s="54"/>
      <c r="N271" s="54"/>
      <c r="O271" s="28"/>
      <c r="P271" s="28"/>
      <c r="Q271" s="28"/>
      <c r="R271" s="28"/>
    </row>
    <row r="272" spans="1:18" ht="15.75">
      <c r="A272" s="465" t="s">
        <v>540</v>
      </c>
      <c r="B272" s="284" t="s">
        <v>427</v>
      </c>
      <c r="C272" s="246"/>
      <c r="D272" s="246"/>
      <c r="E272" s="246"/>
      <c r="F272" s="246"/>
      <c r="G272" s="246"/>
      <c r="H272" s="246"/>
      <c r="I272" s="297" t="s">
        <v>52</v>
      </c>
      <c r="J272" s="297" t="s">
        <v>55</v>
      </c>
      <c r="K272" s="297" t="s">
        <v>54</v>
      </c>
      <c r="L272" s="297" t="s">
        <v>53</v>
      </c>
      <c r="M272" s="297" t="s">
        <v>79</v>
      </c>
      <c r="N272" s="297" t="s">
        <v>80</v>
      </c>
      <c r="O272" s="28"/>
      <c r="P272" s="28"/>
      <c r="Q272" s="28"/>
      <c r="R272" s="28"/>
    </row>
    <row r="273" spans="1:18" ht="12.75">
      <c r="A273" s="377"/>
      <c r="B273" s="13"/>
      <c r="C273" s="11"/>
      <c r="D273" s="11"/>
      <c r="E273" s="11"/>
      <c r="F273" s="11"/>
      <c r="G273" s="11"/>
      <c r="H273" s="12"/>
      <c r="I273" s="260">
        <v>0</v>
      </c>
      <c r="J273" s="260">
        <v>0</v>
      </c>
      <c r="K273" s="260">
        <v>0</v>
      </c>
      <c r="L273" s="260">
        <v>0</v>
      </c>
      <c r="M273" s="260">
        <v>0</v>
      </c>
      <c r="N273" s="260">
        <v>0</v>
      </c>
      <c r="O273" s="28"/>
      <c r="P273" s="28"/>
      <c r="Q273" s="28"/>
      <c r="R273" s="28"/>
    </row>
    <row r="274" spans="1:18" ht="12.75">
      <c r="A274" s="377"/>
      <c r="B274" s="13" t="s">
        <v>18</v>
      </c>
      <c r="C274" s="11"/>
      <c r="D274" s="11"/>
      <c r="E274" s="11"/>
      <c r="F274" s="11"/>
      <c r="G274" s="11"/>
      <c r="H274" s="12"/>
      <c r="I274" s="260">
        <v>0</v>
      </c>
      <c r="J274" s="260">
        <v>0</v>
      </c>
      <c r="K274" s="260">
        <v>0</v>
      </c>
      <c r="L274" s="260">
        <v>0</v>
      </c>
      <c r="M274" s="260">
        <v>0</v>
      </c>
      <c r="N274" s="260">
        <v>0</v>
      </c>
      <c r="O274" s="28"/>
      <c r="P274" s="28"/>
      <c r="Q274" s="28"/>
      <c r="R274" s="28"/>
    </row>
    <row r="275" spans="1:18" ht="12.75" customHeight="1">
      <c r="A275" s="377"/>
      <c r="B275" s="13" t="s">
        <v>19</v>
      </c>
      <c r="C275" s="11"/>
      <c r="D275" s="11"/>
      <c r="E275" s="11"/>
      <c r="F275" s="11"/>
      <c r="G275" s="11"/>
      <c r="H275" s="12"/>
      <c r="I275" s="260">
        <v>0</v>
      </c>
      <c r="J275" s="260">
        <v>0</v>
      </c>
      <c r="K275" s="260">
        <v>0</v>
      </c>
      <c r="L275" s="260">
        <f>100*G10*G13*(1-G17)*0.5*D32*E32</f>
        <v>33130.35</v>
      </c>
      <c r="M275" s="260">
        <v>0</v>
      </c>
      <c r="N275" s="260">
        <v>0</v>
      </c>
      <c r="O275" s="28"/>
      <c r="P275" s="28"/>
      <c r="Q275" s="28"/>
      <c r="R275" s="28"/>
    </row>
    <row r="276" spans="1:18" ht="12.75">
      <c r="A276" s="377"/>
      <c r="B276" s="13" t="s">
        <v>20</v>
      </c>
      <c r="C276" s="11"/>
      <c r="D276" s="11"/>
      <c r="E276" s="11"/>
      <c r="F276" s="11"/>
      <c r="G276" s="11"/>
      <c r="H276" s="12"/>
      <c r="I276" s="260">
        <v>0</v>
      </c>
      <c r="J276" s="260">
        <v>0</v>
      </c>
      <c r="K276" s="260">
        <v>0</v>
      </c>
      <c r="L276" s="260">
        <f>100*G10*G13*(1-G17)*0.5*D33*E33-(100*G22*D33*E33)</f>
        <v>22365.521999999994</v>
      </c>
      <c r="M276" s="260">
        <v>0</v>
      </c>
      <c r="N276" s="260">
        <v>0</v>
      </c>
      <c r="O276" s="28"/>
      <c r="P276" s="28"/>
      <c r="Q276" s="28"/>
      <c r="R276" s="28"/>
    </row>
    <row r="277" spans="1:18" ht="12.75" customHeight="1">
      <c r="A277" s="377"/>
      <c r="B277" s="13" t="s">
        <v>21</v>
      </c>
      <c r="C277" s="11"/>
      <c r="D277" s="11"/>
      <c r="E277" s="11"/>
      <c r="F277" s="11"/>
      <c r="G277" s="11"/>
      <c r="H277" s="12"/>
      <c r="I277" s="260">
        <v>0</v>
      </c>
      <c r="J277" s="260">
        <v>0</v>
      </c>
      <c r="K277" s="260">
        <v>0</v>
      </c>
      <c r="L277" s="260">
        <f>100*G22*D36*E36</f>
        <v>7350.0000000000055</v>
      </c>
      <c r="M277" s="260">
        <v>0</v>
      </c>
      <c r="N277" s="260">
        <v>0</v>
      </c>
      <c r="O277" s="28"/>
      <c r="P277" s="28"/>
      <c r="Q277" s="28"/>
      <c r="R277" s="28"/>
    </row>
    <row r="278" spans="1:18" ht="12.75">
      <c r="A278" s="377"/>
      <c r="B278" s="13" t="s">
        <v>22</v>
      </c>
      <c r="C278" s="11"/>
      <c r="D278" s="11"/>
      <c r="E278" s="11"/>
      <c r="F278" s="11"/>
      <c r="G278" s="11"/>
      <c r="H278" s="12"/>
      <c r="I278" s="260">
        <v>0</v>
      </c>
      <c r="J278" s="260">
        <v>0</v>
      </c>
      <c r="K278" s="260">
        <v>0</v>
      </c>
      <c r="L278" s="260">
        <v>0</v>
      </c>
      <c r="M278" s="260">
        <v>0</v>
      </c>
      <c r="N278" s="260">
        <v>0</v>
      </c>
      <c r="O278" s="28"/>
      <c r="P278" s="28"/>
      <c r="Q278" s="28"/>
      <c r="R278" s="28"/>
    </row>
    <row r="279" spans="1:18" ht="12.75">
      <c r="A279" s="377"/>
      <c r="B279" s="13" t="s">
        <v>23</v>
      </c>
      <c r="C279" s="11"/>
      <c r="D279" s="11"/>
      <c r="E279" s="11"/>
      <c r="F279" s="11"/>
      <c r="G279" s="11"/>
      <c r="H279" s="12"/>
      <c r="I279" s="260">
        <v>0</v>
      </c>
      <c r="J279" s="260">
        <v>0</v>
      </c>
      <c r="K279" s="260">
        <v>0</v>
      </c>
      <c r="L279" s="260">
        <f>100/25/3*D38*E38</f>
        <v>1320</v>
      </c>
      <c r="M279" s="260">
        <v>0</v>
      </c>
      <c r="N279" s="260">
        <v>0</v>
      </c>
      <c r="O279" s="28"/>
      <c r="P279" s="28"/>
      <c r="Q279" s="28"/>
      <c r="R279" s="28"/>
    </row>
    <row r="280" spans="1:18" ht="12.75">
      <c r="A280" s="377"/>
      <c r="B280" s="13"/>
      <c r="C280" s="11"/>
      <c r="D280" s="11"/>
      <c r="E280" s="11"/>
      <c r="F280" s="11"/>
      <c r="G280" s="11"/>
      <c r="H280" s="12"/>
      <c r="I280" s="260">
        <v>0</v>
      </c>
      <c r="J280" s="260">
        <v>0</v>
      </c>
      <c r="K280" s="260">
        <v>0</v>
      </c>
      <c r="L280" s="260">
        <v>0</v>
      </c>
      <c r="M280" s="260">
        <v>0</v>
      </c>
      <c r="N280" s="260">
        <v>0</v>
      </c>
      <c r="O280" s="28"/>
      <c r="P280" s="28"/>
      <c r="Q280" s="28"/>
      <c r="R280" s="28"/>
    </row>
    <row r="281" spans="1:18" ht="12.75">
      <c r="A281" s="377"/>
      <c r="B281" s="13"/>
      <c r="C281" s="11"/>
      <c r="D281" s="11"/>
      <c r="E281" s="11"/>
      <c r="F281" s="11"/>
      <c r="G281" s="11"/>
      <c r="H281" s="12"/>
      <c r="I281" s="260">
        <v>0</v>
      </c>
      <c r="J281" s="260">
        <v>0</v>
      </c>
      <c r="K281" s="260">
        <v>0</v>
      </c>
      <c r="L281" s="260">
        <v>0</v>
      </c>
      <c r="M281" s="260">
        <v>0</v>
      </c>
      <c r="N281" s="260">
        <v>0</v>
      </c>
      <c r="O281" s="28"/>
      <c r="P281" s="28"/>
      <c r="Q281" s="28"/>
      <c r="R281" s="28"/>
    </row>
    <row r="282" spans="1:18" ht="12.75">
      <c r="A282" s="377"/>
      <c r="B282" s="13"/>
      <c r="C282" s="11"/>
      <c r="D282" s="11"/>
      <c r="E282" s="11"/>
      <c r="F282" s="11"/>
      <c r="G282" s="11"/>
      <c r="H282" s="12"/>
      <c r="I282" s="260">
        <v>0</v>
      </c>
      <c r="J282" s="260">
        <v>0</v>
      </c>
      <c r="K282" s="260">
        <v>0</v>
      </c>
      <c r="L282" s="260">
        <v>0</v>
      </c>
      <c r="M282" s="260">
        <v>0</v>
      </c>
      <c r="N282" s="260">
        <v>0</v>
      </c>
      <c r="O282" s="28"/>
      <c r="P282" s="28"/>
      <c r="Q282" s="28"/>
      <c r="R282" s="28"/>
    </row>
    <row r="283" spans="1:18" ht="12.75">
      <c r="A283" s="377"/>
      <c r="B283" s="13"/>
      <c r="C283" s="11"/>
      <c r="D283" s="11"/>
      <c r="E283" s="11"/>
      <c r="F283" s="11"/>
      <c r="G283" s="11"/>
      <c r="H283" s="12"/>
      <c r="I283" s="260">
        <v>0</v>
      </c>
      <c r="J283" s="260">
        <v>0</v>
      </c>
      <c r="K283" s="260">
        <v>0</v>
      </c>
      <c r="L283" s="260">
        <v>0</v>
      </c>
      <c r="M283" s="260">
        <v>0</v>
      </c>
      <c r="N283" s="260">
        <v>0</v>
      </c>
      <c r="O283" s="28"/>
      <c r="P283" s="28"/>
      <c r="Q283" s="28"/>
      <c r="R283" s="28"/>
    </row>
    <row r="284" spans="1:18" ht="12.75">
      <c r="A284" s="377"/>
      <c r="B284" s="13"/>
      <c r="C284" s="11"/>
      <c r="D284" s="11"/>
      <c r="E284" s="11"/>
      <c r="F284" s="11"/>
      <c r="G284" s="11"/>
      <c r="H284" s="12"/>
      <c r="I284" s="260">
        <v>0</v>
      </c>
      <c r="J284" s="260">
        <v>0</v>
      </c>
      <c r="K284" s="260">
        <v>0</v>
      </c>
      <c r="L284" s="260">
        <v>0</v>
      </c>
      <c r="M284" s="260">
        <v>0</v>
      </c>
      <c r="N284" s="260">
        <v>0</v>
      </c>
      <c r="O284" s="28"/>
      <c r="P284" s="28"/>
      <c r="Q284" s="28"/>
      <c r="R284" s="28"/>
    </row>
    <row r="285" spans="1:18" ht="12.75">
      <c r="A285" s="377"/>
      <c r="B285" s="13"/>
      <c r="C285" s="11"/>
      <c r="D285" s="11"/>
      <c r="E285" s="11"/>
      <c r="F285" s="11"/>
      <c r="G285" s="11"/>
      <c r="H285" s="12"/>
      <c r="I285" s="260">
        <v>0</v>
      </c>
      <c r="J285" s="260">
        <v>0</v>
      </c>
      <c r="K285" s="260">
        <v>0</v>
      </c>
      <c r="L285" s="260">
        <v>0</v>
      </c>
      <c r="M285" s="260">
        <v>0</v>
      </c>
      <c r="N285" s="260">
        <v>0</v>
      </c>
      <c r="O285" s="28"/>
      <c r="P285" s="28"/>
      <c r="Q285" s="28"/>
      <c r="R285" s="28"/>
    </row>
    <row r="286" spans="1:18" ht="12.75">
      <c r="A286" s="377"/>
      <c r="B286" s="13"/>
      <c r="C286" s="11"/>
      <c r="D286" s="11"/>
      <c r="E286" s="11"/>
      <c r="F286" s="11"/>
      <c r="G286" s="11"/>
      <c r="H286" s="12"/>
      <c r="I286" s="260">
        <v>0</v>
      </c>
      <c r="J286" s="260">
        <v>0</v>
      </c>
      <c r="K286" s="260">
        <v>0</v>
      </c>
      <c r="L286" s="260">
        <v>0</v>
      </c>
      <c r="M286" s="260">
        <v>0</v>
      </c>
      <c r="N286" s="260">
        <v>0</v>
      </c>
      <c r="O286" s="28"/>
      <c r="P286" s="28"/>
      <c r="Q286" s="28"/>
      <c r="R286" s="28"/>
    </row>
    <row r="287" spans="1:18" ht="12.75">
      <c r="A287" s="377"/>
      <c r="B287" s="13"/>
      <c r="C287" s="11"/>
      <c r="D287" s="11"/>
      <c r="E287" s="11"/>
      <c r="F287" s="11"/>
      <c r="G287" s="11"/>
      <c r="H287" s="12"/>
      <c r="I287" s="260">
        <v>0</v>
      </c>
      <c r="J287" s="260">
        <v>0</v>
      </c>
      <c r="K287" s="260">
        <v>0</v>
      </c>
      <c r="L287" s="260">
        <v>0</v>
      </c>
      <c r="M287" s="260">
        <v>0</v>
      </c>
      <c r="N287" s="260">
        <v>0</v>
      </c>
      <c r="O287" s="28"/>
      <c r="P287" s="28"/>
      <c r="Q287" s="28"/>
      <c r="R287" s="28"/>
    </row>
    <row r="288" spans="1:18" ht="12.75">
      <c r="A288" s="377"/>
      <c r="B288" s="13"/>
      <c r="C288" s="11"/>
      <c r="D288" s="11"/>
      <c r="E288" s="11"/>
      <c r="F288" s="11"/>
      <c r="G288" s="11"/>
      <c r="H288" s="12"/>
      <c r="I288" s="260">
        <v>0</v>
      </c>
      <c r="J288" s="260">
        <v>0</v>
      </c>
      <c r="K288" s="260">
        <v>0</v>
      </c>
      <c r="L288" s="260">
        <v>0</v>
      </c>
      <c r="M288" s="260">
        <v>0</v>
      </c>
      <c r="N288" s="260">
        <v>0</v>
      </c>
      <c r="O288" s="28"/>
      <c r="P288" s="28"/>
      <c r="Q288" s="28"/>
      <c r="R288" s="28"/>
    </row>
    <row r="289" spans="1:18" ht="12.75">
      <c r="A289" s="377"/>
      <c r="B289" s="13"/>
      <c r="C289" s="11"/>
      <c r="D289" s="11"/>
      <c r="E289" s="11"/>
      <c r="F289" s="11"/>
      <c r="G289" s="11"/>
      <c r="H289" s="12"/>
      <c r="I289" s="260">
        <v>0</v>
      </c>
      <c r="J289" s="260">
        <v>0</v>
      </c>
      <c r="K289" s="260">
        <v>0</v>
      </c>
      <c r="L289" s="260">
        <v>0</v>
      </c>
      <c r="M289" s="260">
        <v>0</v>
      </c>
      <c r="N289" s="260">
        <v>0</v>
      </c>
      <c r="O289" s="28"/>
      <c r="P289" s="28"/>
      <c r="Q289" s="28"/>
      <c r="R289" s="28"/>
    </row>
    <row r="290" spans="1:18" ht="12.75">
      <c r="A290" s="377"/>
      <c r="B290" s="13"/>
      <c r="C290" s="11"/>
      <c r="D290" s="11"/>
      <c r="E290" s="11"/>
      <c r="F290" s="11"/>
      <c r="G290" s="11"/>
      <c r="H290" s="12"/>
      <c r="I290" s="260">
        <v>0</v>
      </c>
      <c r="J290" s="260">
        <v>0</v>
      </c>
      <c r="K290" s="260">
        <v>0</v>
      </c>
      <c r="L290" s="260">
        <v>0</v>
      </c>
      <c r="M290" s="260">
        <v>0</v>
      </c>
      <c r="N290" s="260">
        <v>0</v>
      </c>
      <c r="O290" s="28"/>
      <c r="P290" s="28"/>
      <c r="Q290" s="28"/>
      <c r="R290" s="28"/>
    </row>
    <row r="291" spans="1:18" ht="12.75">
      <c r="A291" s="377"/>
      <c r="B291" s="13"/>
      <c r="C291" s="11"/>
      <c r="D291" s="11"/>
      <c r="E291" s="11"/>
      <c r="F291" s="11"/>
      <c r="G291" s="11"/>
      <c r="H291" s="12"/>
      <c r="I291" s="260">
        <v>0</v>
      </c>
      <c r="J291" s="260">
        <v>0</v>
      </c>
      <c r="K291" s="260">
        <v>0</v>
      </c>
      <c r="L291" s="260">
        <v>0</v>
      </c>
      <c r="M291" s="260">
        <v>0</v>
      </c>
      <c r="N291" s="260">
        <v>0</v>
      </c>
      <c r="O291" s="28"/>
      <c r="P291" s="28"/>
      <c r="Q291" s="28"/>
      <c r="R291" s="28"/>
    </row>
    <row r="292" spans="1:18" ht="12.75">
      <c r="A292" s="377"/>
      <c r="B292" s="13"/>
      <c r="C292" s="11"/>
      <c r="D292" s="11"/>
      <c r="E292" s="11"/>
      <c r="F292" s="11"/>
      <c r="G292" s="11"/>
      <c r="H292" s="12"/>
      <c r="I292" s="260">
        <v>0</v>
      </c>
      <c r="J292" s="260">
        <v>0</v>
      </c>
      <c r="K292" s="260">
        <v>0</v>
      </c>
      <c r="L292" s="260">
        <v>0</v>
      </c>
      <c r="M292" s="260">
        <v>0</v>
      </c>
      <c r="N292" s="260">
        <v>0</v>
      </c>
      <c r="O292" s="28"/>
      <c r="P292" s="28"/>
      <c r="Q292" s="28"/>
      <c r="R292" s="28"/>
    </row>
    <row r="293" spans="1:18" ht="12.75">
      <c r="A293" s="377"/>
      <c r="B293" s="13"/>
      <c r="C293" s="11"/>
      <c r="D293" s="11"/>
      <c r="E293" s="11"/>
      <c r="F293" s="11"/>
      <c r="G293" s="11"/>
      <c r="H293" s="12"/>
      <c r="I293" s="260">
        <v>0</v>
      </c>
      <c r="J293" s="260">
        <v>0</v>
      </c>
      <c r="K293" s="260">
        <v>0</v>
      </c>
      <c r="L293" s="260">
        <v>0</v>
      </c>
      <c r="M293" s="260">
        <v>0</v>
      </c>
      <c r="N293" s="260">
        <v>0</v>
      </c>
      <c r="O293" s="28"/>
      <c r="P293" s="28"/>
      <c r="Q293" s="28"/>
      <c r="R293" s="28"/>
    </row>
    <row r="294" spans="1:18" ht="12.75">
      <c r="A294" s="377"/>
      <c r="B294" s="13"/>
      <c r="C294" s="11"/>
      <c r="D294" s="11"/>
      <c r="E294" s="11"/>
      <c r="F294" s="11"/>
      <c r="G294" s="11"/>
      <c r="H294" s="12"/>
      <c r="I294" s="260">
        <v>0</v>
      </c>
      <c r="J294" s="260">
        <v>0</v>
      </c>
      <c r="K294" s="260">
        <v>0</v>
      </c>
      <c r="L294" s="260">
        <v>0</v>
      </c>
      <c r="M294" s="260">
        <v>0</v>
      </c>
      <c r="N294" s="260">
        <v>0</v>
      </c>
      <c r="O294" s="28"/>
      <c r="P294" s="28"/>
      <c r="Q294" s="28"/>
      <c r="R294" s="28"/>
    </row>
    <row r="295" spans="1:18" ht="12.75">
      <c r="A295" s="377"/>
      <c r="B295" s="13"/>
      <c r="C295" s="11"/>
      <c r="D295" s="11"/>
      <c r="E295" s="11"/>
      <c r="F295" s="11"/>
      <c r="G295" s="11"/>
      <c r="H295" s="12"/>
      <c r="I295" s="260">
        <v>0</v>
      </c>
      <c r="J295" s="260">
        <v>0</v>
      </c>
      <c r="K295" s="260">
        <v>0</v>
      </c>
      <c r="L295" s="260">
        <v>0</v>
      </c>
      <c r="M295" s="260">
        <v>0</v>
      </c>
      <c r="N295" s="260">
        <v>0</v>
      </c>
      <c r="O295" s="28"/>
      <c r="P295" s="28"/>
      <c r="Q295" s="28"/>
      <c r="R295" s="28"/>
    </row>
    <row r="296" spans="1:18" ht="12.75">
      <c r="A296" s="377"/>
      <c r="B296" s="13"/>
      <c r="C296" s="11"/>
      <c r="D296" s="11"/>
      <c r="E296" s="11"/>
      <c r="F296" s="11"/>
      <c r="G296" s="11"/>
      <c r="H296" s="12"/>
      <c r="I296" s="260">
        <v>0</v>
      </c>
      <c r="J296" s="260">
        <v>0</v>
      </c>
      <c r="K296" s="260">
        <v>0</v>
      </c>
      <c r="L296" s="260">
        <v>0</v>
      </c>
      <c r="M296" s="260">
        <v>0</v>
      </c>
      <c r="N296" s="260">
        <v>0</v>
      </c>
      <c r="O296" s="28"/>
      <c r="P296" s="28"/>
      <c r="Q296" s="28"/>
      <c r="R296" s="28"/>
    </row>
    <row r="297" spans="1:18" ht="12.75">
      <c r="A297" s="377"/>
      <c r="B297" s="89"/>
      <c r="C297" s="90"/>
      <c r="D297" s="90"/>
      <c r="E297" s="90"/>
      <c r="F297" s="90"/>
      <c r="G297" s="90"/>
      <c r="H297" s="91"/>
      <c r="I297" s="260">
        <v>0</v>
      </c>
      <c r="J297" s="260">
        <v>0</v>
      </c>
      <c r="K297" s="260">
        <v>0</v>
      </c>
      <c r="L297" s="260">
        <v>0</v>
      </c>
      <c r="M297" s="260">
        <v>0</v>
      </c>
      <c r="N297" s="260">
        <v>0</v>
      </c>
      <c r="O297" s="28"/>
      <c r="P297" s="28"/>
      <c r="Q297" s="28"/>
      <c r="R297" s="28"/>
    </row>
    <row r="298" spans="1:18" ht="12.75">
      <c r="A298" s="377"/>
      <c r="B298" s="45"/>
      <c r="C298" s="45"/>
      <c r="D298" s="45"/>
      <c r="E298" s="45"/>
      <c r="F298" s="45"/>
      <c r="G298" s="45"/>
      <c r="H298" s="73"/>
      <c r="I298" s="79"/>
      <c r="J298" s="79"/>
      <c r="K298" s="79"/>
      <c r="L298" s="79"/>
      <c r="M298" s="54"/>
      <c r="N298" s="54"/>
      <c r="O298" s="28"/>
      <c r="P298" s="28"/>
      <c r="Q298" s="28"/>
      <c r="R298" s="28"/>
    </row>
    <row r="299" spans="1:18" ht="15">
      <c r="A299" s="377"/>
      <c r="B299" s="286" t="s">
        <v>68</v>
      </c>
      <c r="C299" s="258"/>
      <c r="D299" s="258"/>
      <c r="E299" s="258"/>
      <c r="F299" s="258"/>
      <c r="G299" s="258"/>
      <c r="H299" s="258"/>
      <c r="I299" s="80">
        <f>SUM(I217:I269)-SUM(I273:I297)</f>
        <v>0</v>
      </c>
      <c r="J299" s="80">
        <f>SUM(J217:J269)-SUM(J273:J297)</f>
        <v>0</v>
      </c>
      <c r="K299" s="80">
        <f>SUM(K217:K269)-SUM(K273:K297)</f>
        <v>0</v>
      </c>
      <c r="L299" s="80">
        <f>SUM(L217:L268)-SUM(L273:L297)</f>
        <v>-64165.871999999996</v>
      </c>
      <c r="M299" s="80">
        <f>SUM(M217:M269)-SUM(M273:M297)</f>
        <v>0</v>
      </c>
      <c r="N299" s="80">
        <f>SUM(N217:N269)-SUM(N273:N297)</f>
        <v>0</v>
      </c>
      <c r="O299" s="28"/>
      <c r="P299" s="28"/>
      <c r="Q299" s="28"/>
      <c r="R299" s="28"/>
    </row>
    <row r="300" spans="1:18" ht="12.75">
      <c r="A300" s="377"/>
      <c r="B300" s="45"/>
      <c r="C300" s="45"/>
      <c r="D300" s="45"/>
      <c r="E300" s="45"/>
      <c r="F300" s="45"/>
      <c r="G300" s="45"/>
      <c r="H300" s="73"/>
      <c r="I300" s="72"/>
      <c r="J300" s="72"/>
      <c r="K300" s="72"/>
      <c r="L300" s="72"/>
      <c r="M300" s="54"/>
      <c r="N300" s="54"/>
      <c r="O300" s="28"/>
      <c r="P300" s="28"/>
      <c r="Q300" s="28"/>
      <c r="R300" s="28"/>
    </row>
    <row r="301" spans="1:18" ht="32.25" customHeight="1">
      <c r="A301" s="377"/>
      <c r="B301" s="42"/>
      <c r="C301" s="42"/>
      <c r="D301" s="41"/>
      <c r="E301" s="42"/>
      <c r="F301" s="42"/>
      <c r="G301" s="42"/>
      <c r="H301" s="81"/>
      <c r="I301" s="298" t="str">
        <f>I179</f>
        <v>#   1</v>
      </c>
      <c r="J301" s="298" t="str">
        <f>J179</f>
        <v>#   2</v>
      </c>
      <c r="K301" s="298" t="str">
        <f>K179</f>
        <v>#   3</v>
      </c>
      <c r="L301" s="298" t="str">
        <f>L179</f>
        <v>#   4</v>
      </c>
      <c r="M301" s="297" t="s">
        <v>79</v>
      </c>
      <c r="N301" s="297" t="s">
        <v>80</v>
      </c>
      <c r="O301" s="28"/>
      <c r="P301" s="28"/>
      <c r="Q301" s="28"/>
      <c r="R301" s="28"/>
    </row>
    <row r="302" spans="1:18" ht="32.25" customHeight="1">
      <c r="A302" s="377"/>
      <c r="B302" s="28"/>
      <c r="C302" s="28"/>
      <c r="D302" s="28"/>
      <c r="E302" s="28"/>
      <c r="F302" s="28"/>
      <c r="G302" s="28"/>
      <c r="H302" s="28"/>
      <c r="I302" s="632" t="str">
        <f>$I$41</f>
        <v>Keep Cows and buy Hay</v>
      </c>
      <c r="J302" s="632" t="str">
        <f>$J$41</f>
        <v>Keep Cows, Buy Straw &amp; Protein Supplement</v>
      </c>
      <c r="K302" s="632" t="str">
        <f>$K$41</f>
        <v>Keep Cows, Ship to Grazing</v>
      </c>
      <c r="L302" s="632" t="str">
        <f>$L$41</f>
        <v>Sell 100 Cows to Meet Forage Available</v>
      </c>
      <c r="M302" s="632" t="str">
        <f>M$41</f>
        <v>Description</v>
      </c>
      <c r="N302" s="632" t="str">
        <f>N$41</f>
        <v>Description</v>
      </c>
      <c r="O302" s="28"/>
      <c r="P302" s="28"/>
      <c r="Q302" s="28"/>
      <c r="R302" s="28"/>
    </row>
    <row r="303" spans="1:18" ht="15.75">
      <c r="A303" s="465" t="s">
        <v>541</v>
      </c>
      <c r="B303" s="284" t="s">
        <v>429</v>
      </c>
      <c r="C303" s="246"/>
      <c r="D303" s="246"/>
      <c r="E303" s="246"/>
      <c r="F303" s="246"/>
      <c r="G303" s="246"/>
      <c r="H303" s="247"/>
      <c r="I303" s="633"/>
      <c r="J303" s="633"/>
      <c r="K303" s="633"/>
      <c r="L303" s="633"/>
      <c r="M303" s="633"/>
      <c r="N303" s="633"/>
      <c r="O303" s="28"/>
      <c r="P303" s="28"/>
      <c r="Q303" s="28"/>
      <c r="R303" s="28"/>
    </row>
    <row r="304" spans="1:18" ht="12.75">
      <c r="A304" s="377"/>
      <c r="B304" s="92"/>
      <c r="C304" s="93"/>
      <c r="D304" s="93"/>
      <c r="E304" s="183"/>
      <c r="F304" s="93"/>
      <c r="G304" s="183"/>
      <c r="H304" s="230"/>
      <c r="I304" s="260">
        <v>0</v>
      </c>
      <c r="J304" s="260">
        <v>0</v>
      </c>
      <c r="K304" s="260">
        <v>0</v>
      </c>
      <c r="L304" s="260">
        <v>0</v>
      </c>
      <c r="M304" s="260">
        <v>0</v>
      </c>
      <c r="N304" s="260">
        <v>0</v>
      </c>
      <c r="O304" s="28"/>
      <c r="P304" s="28"/>
      <c r="Q304" s="28"/>
      <c r="R304" s="28"/>
    </row>
    <row r="305" spans="1:18" ht="12.75">
      <c r="A305" s="377"/>
      <c r="B305" s="371" t="s">
        <v>24</v>
      </c>
      <c r="C305" s="11"/>
      <c r="D305" s="11"/>
      <c r="E305" s="11"/>
      <c r="F305" s="11"/>
      <c r="G305" s="11"/>
      <c r="H305" s="12"/>
      <c r="I305" s="260">
        <v>0</v>
      </c>
      <c r="J305" s="260">
        <v>0</v>
      </c>
      <c r="K305" s="260">
        <v>0</v>
      </c>
      <c r="L305" s="260">
        <v>0</v>
      </c>
      <c r="M305" s="260">
        <v>0</v>
      </c>
      <c r="N305" s="260">
        <v>0</v>
      </c>
      <c r="O305" s="28"/>
      <c r="P305" s="28"/>
      <c r="Q305" s="28"/>
      <c r="R305" s="28"/>
    </row>
    <row r="306" spans="1:18" ht="12.75">
      <c r="A306" s="377"/>
      <c r="B306" s="13" t="s">
        <v>25</v>
      </c>
      <c r="C306" s="11"/>
      <c r="D306" s="11"/>
      <c r="E306" s="11"/>
      <c r="F306" s="11"/>
      <c r="G306" s="11"/>
      <c r="H306" s="12"/>
      <c r="I306" s="260">
        <v>0</v>
      </c>
      <c r="J306" s="260">
        <v>0</v>
      </c>
      <c r="K306" s="260">
        <v>0</v>
      </c>
      <c r="L306" s="260">
        <f>0.5*SUM(H85:H89)</f>
        <v>4600</v>
      </c>
      <c r="M306" s="260">
        <v>0</v>
      </c>
      <c r="N306" s="260">
        <v>0</v>
      </c>
      <c r="O306" s="28"/>
      <c r="P306" s="28"/>
      <c r="Q306" s="28"/>
      <c r="R306" s="28"/>
    </row>
    <row r="307" spans="1:18" ht="12.75">
      <c r="A307" s="377"/>
      <c r="B307" s="13" t="s">
        <v>26</v>
      </c>
      <c r="C307" s="11"/>
      <c r="D307" s="11"/>
      <c r="E307" s="11"/>
      <c r="F307" s="11"/>
      <c r="G307" s="11"/>
      <c r="H307" s="12"/>
      <c r="I307" s="260">
        <v>0</v>
      </c>
      <c r="J307" s="260">
        <v>0</v>
      </c>
      <c r="K307" s="260">
        <v>0</v>
      </c>
      <c r="L307" s="260">
        <f>3000+500+250</f>
        <v>3750</v>
      </c>
      <c r="M307" s="260">
        <v>0</v>
      </c>
      <c r="N307" s="260">
        <v>0</v>
      </c>
      <c r="O307" s="28"/>
      <c r="P307" s="28"/>
      <c r="Q307" s="28"/>
      <c r="R307" s="28"/>
    </row>
    <row r="308" spans="1:18" ht="12.75">
      <c r="A308" s="377"/>
      <c r="B308" s="13" t="s">
        <v>27</v>
      </c>
      <c r="C308" s="11"/>
      <c r="D308" s="11"/>
      <c r="E308" s="11"/>
      <c r="F308" s="11"/>
      <c r="G308" s="11"/>
      <c r="H308" s="12"/>
      <c r="I308" s="260">
        <v>0</v>
      </c>
      <c r="J308" s="260">
        <v>0</v>
      </c>
      <c r="K308" s="260">
        <v>0</v>
      </c>
      <c r="L308" s="260">
        <f>H109+H112</f>
        <v>6250</v>
      </c>
      <c r="M308" s="260">
        <v>0</v>
      </c>
      <c r="N308" s="260">
        <v>0</v>
      </c>
      <c r="O308" s="28"/>
      <c r="P308" s="28"/>
      <c r="Q308" s="28"/>
      <c r="R308" s="28"/>
    </row>
    <row r="309" spans="1:18" ht="12.75">
      <c r="A309" s="377"/>
      <c r="B309" s="13" t="s">
        <v>28</v>
      </c>
      <c r="C309" s="11"/>
      <c r="D309" s="11"/>
      <c r="E309" s="11"/>
      <c r="F309" s="11"/>
      <c r="G309" s="11"/>
      <c r="H309" s="12"/>
      <c r="I309" s="260">
        <v>0</v>
      </c>
      <c r="J309" s="260">
        <v>0</v>
      </c>
      <c r="K309" s="260">
        <v>0</v>
      </c>
      <c r="L309" s="260">
        <v>1000</v>
      </c>
      <c r="M309" s="260">
        <v>0</v>
      </c>
      <c r="N309" s="260">
        <v>0</v>
      </c>
      <c r="O309" s="28"/>
      <c r="P309" s="28"/>
      <c r="Q309" s="28"/>
      <c r="R309" s="28"/>
    </row>
    <row r="310" spans="1:18" ht="12.75">
      <c r="A310" s="377"/>
      <c r="B310" s="13" t="s">
        <v>29</v>
      </c>
      <c r="C310" s="11"/>
      <c r="D310" s="11"/>
      <c r="E310" s="11"/>
      <c r="F310" s="11"/>
      <c r="G310" s="11"/>
      <c r="H310" s="12"/>
      <c r="I310" s="260">
        <v>0</v>
      </c>
      <c r="J310" s="260">
        <v>0</v>
      </c>
      <c r="K310" s="260">
        <v>0</v>
      </c>
      <c r="L310" s="260">
        <v>300</v>
      </c>
      <c r="M310" s="260">
        <v>0</v>
      </c>
      <c r="N310" s="260">
        <v>0</v>
      </c>
      <c r="O310" s="28"/>
      <c r="P310" s="28"/>
      <c r="Q310" s="28"/>
      <c r="R310" s="28"/>
    </row>
    <row r="311" spans="1:18" ht="12.75">
      <c r="A311" s="377"/>
      <c r="B311" s="13" t="s">
        <v>30</v>
      </c>
      <c r="C311" s="11"/>
      <c r="D311" s="11"/>
      <c r="E311" s="11"/>
      <c r="F311" s="11"/>
      <c r="G311" s="11"/>
      <c r="H311" s="12"/>
      <c r="I311" s="260">
        <v>0</v>
      </c>
      <c r="J311" s="260">
        <v>0</v>
      </c>
      <c r="K311" s="260">
        <v>0</v>
      </c>
      <c r="L311" s="260">
        <v>3500</v>
      </c>
      <c r="M311" s="260">
        <v>0</v>
      </c>
      <c r="N311" s="260">
        <v>0</v>
      </c>
      <c r="O311" s="28"/>
      <c r="P311" s="28"/>
      <c r="Q311" s="28"/>
      <c r="R311" s="28"/>
    </row>
    <row r="312" spans="1:18" ht="12.75">
      <c r="A312" s="28"/>
      <c r="B312" s="13" t="s">
        <v>31</v>
      </c>
      <c r="C312" s="11"/>
      <c r="D312" s="11"/>
      <c r="E312" s="11"/>
      <c r="F312" s="11"/>
      <c r="G312" s="11"/>
      <c r="H312" s="12"/>
      <c r="I312" s="260">
        <v>0</v>
      </c>
      <c r="J312" s="260">
        <v>0</v>
      </c>
      <c r="K312" s="260">
        <v>0</v>
      </c>
      <c r="L312" s="260">
        <v>100</v>
      </c>
      <c r="M312" s="260">
        <v>0</v>
      </c>
      <c r="N312" s="260">
        <v>0</v>
      </c>
      <c r="O312" s="28"/>
      <c r="P312" s="28"/>
      <c r="Q312" s="28"/>
      <c r="R312" s="28"/>
    </row>
    <row r="313" spans="1:18" ht="12.75">
      <c r="A313" s="377"/>
      <c r="B313" s="13"/>
      <c r="C313" s="11"/>
      <c r="D313" s="11"/>
      <c r="E313" s="11"/>
      <c r="F313" s="11"/>
      <c r="G313" s="11"/>
      <c r="H313" s="12"/>
      <c r="I313" s="260">
        <v>0</v>
      </c>
      <c r="J313" s="260">
        <v>0</v>
      </c>
      <c r="K313" s="260">
        <v>0</v>
      </c>
      <c r="L313" s="260">
        <v>0</v>
      </c>
      <c r="M313" s="260">
        <v>0</v>
      </c>
      <c r="N313" s="260">
        <v>0</v>
      </c>
      <c r="O313" s="28"/>
      <c r="P313" s="28"/>
      <c r="Q313" s="28"/>
      <c r="R313" s="28"/>
    </row>
    <row r="314" spans="1:18" ht="12.75">
      <c r="A314" s="377"/>
      <c r="B314" s="13"/>
      <c r="C314" s="11"/>
      <c r="D314" s="11"/>
      <c r="E314" s="11"/>
      <c r="F314" s="11"/>
      <c r="G314" s="11"/>
      <c r="H314" s="12"/>
      <c r="I314" s="260">
        <v>0</v>
      </c>
      <c r="J314" s="260">
        <v>0</v>
      </c>
      <c r="K314" s="260">
        <v>0</v>
      </c>
      <c r="L314" s="260">
        <v>0</v>
      </c>
      <c r="M314" s="260">
        <v>0</v>
      </c>
      <c r="N314" s="260">
        <v>0</v>
      </c>
      <c r="O314" s="28"/>
      <c r="P314" s="28"/>
      <c r="Q314" s="28"/>
      <c r="R314" s="28"/>
    </row>
    <row r="315" spans="1:18" ht="12.75">
      <c r="A315" s="454"/>
      <c r="B315" s="13"/>
      <c r="C315" s="11"/>
      <c r="D315" s="11"/>
      <c r="E315" s="11"/>
      <c r="F315" s="11"/>
      <c r="G315" s="11"/>
      <c r="H315" s="12"/>
      <c r="I315" s="260">
        <v>0</v>
      </c>
      <c r="J315" s="260">
        <v>0</v>
      </c>
      <c r="K315" s="260">
        <v>0</v>
      </c>
      <c r="L315" s="260">
        <v>0</v>
      </c>
      <c r="M315" s="260">
        <v>0</v>
      </c>
      <c r="N315" s="260">
        <v>0</v>
      </c>
      <c r="O315" s="28"/>
      <c r="P315" s="28"/>
      <c r="Q315" s="28"/>
      <c r="R315" s="28"/>
    </row>
    <row r="316" spans="1:18" ht="12.75">
      <c r="A316" s="430"/>
      <c r="B316" s="13"/>
      <c r="C316" s="11"/>
      <c r="D316" s="11"/>
      <c r="E316" s="11"/>
      <c r="F316" s="11"/>
      <c r="G316" s="11"/>
      <c r="H316" s="12"/>
      <c r="I316" s="260">
        <v>0</v>
      </c>
      <c r="J316" s="260">
        <v>0</v>
      </c>
      <c r="K316" s="260">
        <v>0</v>
      </c>
      <c r="L316" s="260">
        <v>0</v>
      </c>
      <c r="M316" s="260">
        <v>0</v>
      </c>
      <c r="N316" s="260">
        <v>0</v>
      </c>
      <c r="O316" s="28"/>
      <c r="P316" s="28"/>
      <c r="Q316" s="28"/>
      <c r="R316" s="28"/>
    </row>
    <row r="317" spans="1:18" ht="12.75">
      <c r="A317" s="454"/>
      <c r="B317" s="13"/>
      <c r="C317" s="11"/>
      <c r="D317" s="11"/>
      <c r="E317" s="11"/>
      <c r="F317" s="11"/>
      <c r="G317" s="11"/>
      <c r="H317" s="12"/>
      <c r="I317" s="260">
        <v>0</v>
      </c>
      <c r="J317" s="260">
        <v>0</v>
      </c>
      <c r="K317" s="260">
        <v>0</v>
      </c>
      <c r="L317" s="260">
        <v>0</v>
      </c>
      <c r="M317" s="260">
        <v>0</v>
      </c>
      <c r="N317" s="260">
        <v>0</v>
      </c>
      <c r="O317" s="28"/>
      <c r="P317" s="28"/>
      <c r="Q317" s="28"/>
      <c r="R317" s="28"/>
    </row>
    <row r="318" spans="1:18" ht="12.75">
      <c r="A318" s="454"/>
      <c r="B318" s="13"/>
      <c r="C318" s="11"/>
      <c r="D318" s="11"/>
      <c r="E318" s="11"/>
      <c r="F318" s="11"/>
      <c r="G318" s="11"/>
      <c r="H318" s="12"/>
      <c r="I318" s="260">
        <v>0</v>
      </c>
      <c r="J318" s="260">
        <v>0</v>
      </c>
      <c r="K318" s="260">
        <v>0</v>
      </c>
      <c r="L318" s="260">
        <v>0</v>
      </c>
      <c r="M318" s="260">
        <v>0</v>
      </c>
      <c r="N318" s="260">
        <v>0</v>
      </c>
      <c r="O318" s="28"/>
      <c r="P318" s="28"/>
      <c r="Q318" s="28"/>
      <c r="R318" s="28"/>
    </row>
    <row r="319" spans="1:18" ht="12.75">
      <c r="A319" s="430"/>
      <c r="B319" s="13"/>
      <c r="C319" s="11"/>
      <c r="D319" s="11"/>
      <c r="E319" s="11"/>
      <c r="F319" s="11"/>
      <c r="G319" s="11"/>
      <c r="H319" s="12"/>
      <c r="I319" s="260">
        <v>0</v>
      </c>
      <c r="J319" s="260">
        <v>0</v>
      </c>
      <c r="K319" s="260">
        <v>0</v>
      </c>
      <c r="L319" s="260">
        <v>0</v>
      </c>
      <c r="M319" s="260">
        <v>0</v>
      </c>
      <c r="N319" s="260">
        <v>0</v>
      </c>
      <c r="O319" s="28"/>
      <c r="P319" s="28"/>
      <c r="Q319" s="28"/>
      <c r="R319" s="28"/>
    </row>
    <row r="320" spans="1:18" ht="12.75">
      <c r="A320" s="377"/>
      <c r="B320" s="13"/>
      <c r="C320" s="11"/>
      <c r="D320" s="11"/>
      <c r="E320" s="11"/>
      <c r="F320" s="11"/>
      <c r="G320" s="11"/>
      <c r="H320" s="12"/>
      <c r="I320" s="260">
        <v>0</v>
      </c>
      <c r="J320" s="260">
        <v>0</v>
      </c>
      <c r="K320" s="260">
        <v>0</v>
      </c>
      <c r="L320" s="260">
        <v>0</v>
      </c>
      <c r="M320" s="260">
        <v>0</v>
      </c>
      <c r="N320" s="260">
        <v>0</v>
      </c>
      <c r="O320" s="28"/>
      <c r="P320" s="28"/>
      <c r="Q320" s="28"/>
      <c r="R320" s="28"/>
    </row>
    <row r="321" spans="1:18" ht="12.75">
      <c r="A321" s="454"/>
      <c r="B321" s="13"/>
      <c r="C321" s="11"/>
      <c r="D321" s="11"/>
      <c r="E321" s="11"/>
      <c r="F321" s="11"/>
      <c r="G321" s="11"/>
      <c r="H321" s="12"/>
      <c r="I321" s="260">
        <v>0</v>
      </c>
      <c r="J321" s="260">
        <v>0</v>
      </c>
      <c r="K321" s="260">
        <v>0</v>
      </c>
      <c r="L321" s="260">
        <v>0</v>
      </c>
      <c r="M321" s="260">
        <v>0</v>
      </c>
      <c r="N321" s="260">
        <v>0</v>
      </c>
      <c r="O321" s="28"/>
      <c r="P321" s="28"/>
      <c r="Q321" s="28"/>
      <c r="R321" s="28"/>
    </row>
    <row r="322" spans="1:18" ht="12.75">
      <c r="A322" s="377"/>
      <c r="B322" s="13"/>
      <c r="C322" s="11"/>
      <c r="D322" s="11"/>
      <c r="E322" s="11"/>
      <c r="F322" s="11"/>
      <c r="G322" s="11"/>
      <c r="H322" s="12"/>
      <c r="I322" s="260">
        <v>0</v>
      </c>
      <c r="J322" s="260">
        <v>0</v>
      </c>
      <c r="K322" s="260">
        <v>0</v>
      </c>
      <c r="L322" s="260">
        <v>0</v>
      </c>
      <c r="M322" s="260">
        <v>0</v>
      </c>
      <c r="N322" s="260">
        <v>0</v>
      </c>
      <c r="O322" s="28"/>
      <c r="P322" s="28"/>
      <c r="Q322" s="28"/>
      <c r="R322" s="28"/>
    </row>
    <row r="323" spans="1:18" ht="12.75">
      <c r="A323" s="377"/>
      <c r="B323" s="13"/>
      <c r="C323" s="11"/>
      <c r="D323" s="11"/>
      <c r="E323" s="11"/>
      <c r="F323" s="11"/>
      <c r="G323" s="11"/>
      <c r="H323" s="12"/>
      <c r="I323" s="260">
        <v>0</v>
      </c>
      <c r="J323" s="260">
        <v>0</v>
      </c>
      <c r="K323" s="260">
        <v>0</v>
      </c>
      <c r="L323" s="260">
        <v>0</v>
      </c>
      <c r="M323" s="260">
        <v>0</v>
      </c>
      <c r="N323" s="260">
        <v>0</v>
      </c>
      <c r="O323" s="28"/>
      <c r="P323" s="28"/>
      <c r="Q323" s="28"/>
      <c r="R323" s="28"/>
    </row>
    <row r="324" spans="1:18" ht="12.75">
      <c r="A324" s="377"/>
      <c r="B324" s="13"/>
      <c r="C324" s="11"/>
      <c r="D324" s="11"/>
      <c r="E324" s="11"/>
      <c r="F324" s="11"/>
      <c r="G324" s="11"/>
      <c r="H324" s="12"/>
      <c r="I324" s="260">
        <v>0</v>
      </c>
      <c r="J324" s="260">
        <v>0</v>
      </c>
      <c r="K324" s="260">
        <v>0</v>
      </c>
      <c r="L324" s="260">
        <v>0</v>
      </c>
      <c r="M324" s="260">
        <v>0</v>
      </c>
      <c r="N324" s="260">
        <v>0</v>
      </c>
      <c r="O324" s="28"/>
      <c r="P324" s="28"/>
      <c r="Q324" s="28"/>
      <c r="R324" s="28"/>
    </row>
    <row r="325" spans="1:18" ht="12.75">
      <c r="A325" s="377"/>
      <c r="B325" s="13"/>
      <c r="C325" s="11"/>
      <c r="D325" s="11"/>
      <c r="E325" s="11"/>
      <c r="F325" s="11"/>
      <c r="G325" s="11"/>
      <c r="H325" s="12"/>
      <c r="I325" s="260">
        <v>0</v>
      </c>
      <c r="J325" s="260">
        <v>0</v>
      </c>
      <c r="K325" s="260">
        <v>0</v>
      </c>
      <c r="L325" s="260">
        <v>0</v>
      </c>
      <c r="M325" s="260">
        <v>0</v>
      </c>
      <c r="N325" s="260">
        <v>0</v>
      </c>
      <c r="O325" s="28"/>
      <c r="P325" s="28"/>
      <c r="Q325" s="28"/>
      <c r="R325" s="28"/>
    </row>
    <row r="326" spans="1:18" ht="12.75">
      <c r="A326" s="377"/>
      <c r="B326" s="13"/>
      <c r="C326" s="11"/>
      <c r="D326" s="11"/>
      <c r="E326" s="11"/>
      <c r="F326" s="11"/>
      <c r="G326" s="11"/>
      <c r="H326" s="12"/>
      <c r="I326" s="260">
        <v>0</v>
      </c>
      <c r="J326" s="260">
        <v>0</v>
      </c>
      <c r="K326" s="260">
        <v>0</v>
      </c>
      <c r="L326" s="260">
        <v>0</v>
      </c>
      <c r="M326" s="260">
        <v>0</v>
      </c>
      <c r="N326" s="260">
        <v>0</v>
      </c>
      <c r="O326" s="28"/>
      <c r="P326" s="28"/>
      <c r="Q326" s="28"/>
      <c r="R326" s="28"/>
    </row>
    <row r="327" spans="1:18" ht="12.75">
      <c r="A327" s="377"/>
      <c r="B327" s="13"/>
      <c r="C327" s="11"/>
      <c r="D327" s="11"/>
      <c r="E327" s="11"/>
      <c r="F327" s="11"/>
      <c r="G327" s="11"/>
      <c r="H327" s="12"/>
      <c r="I327" s="260">
        <v>0</v>
      </c>
      <c r="J327" s="260">
        <v>0</v>
      </c>
      <c r="K327" s="260">
        <v>0</v>
      </c>
      <c r="L327" s="260">
        <v>0</v>
      </c>
      <c r="M327" s="260">
        <v>0</v>
      </c>
      <c r="N327" s="260">
        <v>0</v>
      </c>
      <c r="O327" s="28"/>
      <c r="P327" s="28"/>
      <c r="Q327" s="28"/>
      <c r="R327" s="28"/>
    </row>
    <row r="328" spans="1:18" ht="12.75">
      <c r="A328" s="377"/>
      <c r="B328" s="13"/>
      <c r="C328" s="11"/>
      <c r="D328" s="11"/>
      <c r="E328" s="11"/>
      <c r="F328" s="11"/>
      <c r="G328" s="11"/>
      <c r="H328" s="12"/>
      <c r="I328" s="260">
        <v>0</v>
      </c>
      <c r="J328" s="260">
        <v>0</v>
      </c>
      <c r="K328" s="260">
        <v>0</v>
      </c>
      <c r="L328" s="260">
        <v>0</v>
      </c>
      <c r="M328" s="260">
        <v>0</v>
      </c>
      <c r="N328" s="260">
        <v>0</v>
      </c>
      <c r="O328" s="28"/>
      <c r="P328" s="28"/>
      <c r="Q328" s="28"/>
      <c r="R328" s="28"/>
    </row>
    <row r="329" spans="1:18" ht="12.75">
      <c r="A329" s="377"/>
      <c r="B329" s="89"/>
      <c r="C329" s="90"/>
      <c r="D329" s="90"/>
      <c r="E329" s="90"/>
      <c r="F329" s="90"/>
      <c r="G329" s="90"/>
      <c r="H329" s="91"/>
      <c r="I329" s="260">
        <v>0</v>
      </c>
      <c r="J329" s="260">
        <v>0</v>
      </c>
      <c r="K329" s="260">
        <v>0</v>
      </c>
      <c r="L329" s="260">
        <v>0</v>
      </c>
      <c r="M329" s="260">
        <v>0</v>
      </c>
      <c r="N329" s="260">
        <v>0</v>
      </c>
      <c r="O329" s="28"/>
      <c r="P329" s="28"/>
      <c r="Q329" s="28"/>
      <c r="R329" s="28"/>
    </row>
    <row r="330" spans="1:18" ht="12.75">
      <c r="A330" s="377"/>
      <c r="B330" s="72"/>
      <c r="C330" s="72"/>
      <c r="D330" s="72"/>
      <c r="E330" s="72"/>
      <c r="F330" s="72"/>
      <c r="G330" s="72"/>
      <c r="H330" s="54"/>
      <c r="I330" s="54"/>
      <c r="J330" s="54"/>
      <c r="K330" s="54"/>
      <c r="L330" s="54"/>
      <c r="M330" s="54"/>
      <c r="N330" s="54"/>
      <c r="O330" s="28"/>
      <c r="P330" s="28"/>
      <c r="Q330" s="28"/>
      <c r="R330" s="28"/>
    </row>
    <row r="331" spans="1:18" ht="62.25" customHeight="1">
      <c r="A331" s="377"/>
      <c r="B331" s="28"/>
      <c r="C331" s="28"/>
      <c r="D331" s="28"/>
      <c r="E331" s="28"/>
      <c r="F331" s="28"/>
      <c r="G331" s="28"/>
      <c r="H331" s="28"/>
      <c r="I331" s="54"/>
      <c r="J331" s="54"/>
      <c r="K331" s="54"/>
      <c r="L331" s="54"/>
      <c r="M331" s="54"/>
      <c r="N331" s="54"/>
      <c r="O331" s="28"/>
      <c r="P331" s="28"/>
      <c r="Q331" s="28"/>
      <c r="R331" s="28"/>
    </row>
    <row r="332" spans="1:18" ht="39">
      <c r="A332" s="465" t="s">
        <v>542</v>
      </c>
      <c r="B332" s="284" t="s">
        <v>430</v>
      </c>
      <c r="C332" s="246"/>
      <c r="D332" s="246"/>
      <c r="E332" s="246"/>
      <c r="F332" s="246"/>
      <c r="G332" s="246"/>
      <c r="H332" s="246"/>
      <c r="I332" s="299" t="str">
        <f aca="true" t="shared" si="4" ref="I332:N332">I41</f>
        <v>Keep Cows and buy Hay</v>
      </c>
      <c r="J332" s="299" t="str">
        <f t="shared" si="4"/>
        <v>Keep Cows, Buy Straw &amp; Protein Supplement</v>
      </c>
      <c r="K332" s="299" t="str">
        <f t="shared" si="4"/>
        <v>Keep Cows, Ship to Grazing</v>
      </c>
      <c r="L332" s="299" t="str">
        <f t="shared" si="4"/>
        <v>Sell 100 Cows to Meet Forage Available</v>
      </c>
      <c r="M332" s="299" t="str">
        <f t="shared" si="4"/>
        <v>Description</v>
      </c>
      <c r="N332" s="299" t="str">
        <f t="shared" si="4"/>
        <v>Description</v>
      </c>
      <c r="O332" s="28"/>
      <c r="P332" s="28"/>
      <c r="Q332" s="28"/>
      <c r="R332" s="28"/>
    </row>
    <row r="333" spans="1:18" ht="12.75">
      <c r="A333" s="377"/>
      <c r="B333" s="382"/>
      <c r="C333" s="383"/>
      <c r="D333" s="383"/>
      <c r="E333" s="383"/>
      <c r="F333" s="383"/>
      <c r="G333" s="383"/>
      <c r="H333" s="12"/>
      <c r="I333" s="260">
        <v>0</v>
      </c>
      <c r="J333" s="260">
        <v>0</v>
      </c>
      <c r="K333" s="260">
        <v>0</v>
      </c>
      <c r="L333" s="260">
        <v>0</v>
      </c>
      <c r="M333" s="260">
        <v>0</v>
      </c>
      <c r="N333" s="260">
        <v>0</v>
      </c>
      <c r="O333" s="28"/>
      <c r="P333" s="28"/>
      <c r="Q333" s="28"/>
      <c r="R333" s="28"/>
    </row>
    <row r="334" spans="1:18" ht="12.75">
      <c r="A334" s="377"/>
      <c r="B334" s="405" t="s">
        <v>32</v>
      </c>
      <c r="C334" s="425"/>
      <c r="D334" s="425"/>
      <c r="E334" s="425"/>
      <c r="F334" s="369"/>
      <c r="G334" s="369"/>
      <c r="H334" s="12"/>
      <c r="I334" s="260">
        <v>0</v>
      </c>
      <c r="J334" s="260">
        <v>0</v>
      </c>
      <c r="K334" s="260">
        <v>0</v>
      </c>
      <c r="L334" s="260">
        <v>0</v>
      </c>
      <c r="M334" s="260">
        <v>0</v>
      </c>
      <c r="N334" s="260">
        <v>0</v>
      </c>
      <c r="O334" s="28"/>
      <c r="P334" s="28"/>
      <c r="Q334" s="28"/>
      <c r="R334" s="28"/>
    </row>
    <row r="335" spans="1:18" ht="12.75">
      <c r="A335" s="377"/>
      <c r="B335" s="374" t="s">
        <v>33</v>
      </c>
      <c r="C335" s="375"/>
      <c r="D335" s="375"/>
      <c r="E335" s="375"/>
      <c r="F335" s="375"/>
      <c r="G335" s="375"/>
      <c r="H335" s="12"/>
      <c r="I335" s="260">
        <v>600</v>
      </c>
      <c r="J335" s="260">
        <v>600</v>
      </c>
      <c r="K335" s="260">
        <v>600</v>
      </c>
      <c r="L335" s="260">
        <v>0</v>
      </c>
      <c r="M335" s="260">
        <v>0</v>
      </c>
      <c r="N335" s="260">
        <v>0</v>
      </c>
      <c r="O335" s="28"/>
      <c r="P335" s="28"/>
      <c r="Q335" s="28"/>
      <c r="R335" s="28"/>
    </row>
    <row r="336" spans="1:18" ht="12.75">
      <c r="A336" s="377"/>
      <c r="B336" s="13"/>
      <c r="C336" s="11"/>
      <c r="D336" s="11"/>
      <c r="E336" s="11"/>
      <c r="F336" s="11"/>
      <c r="G336" s="11"/>
      <c r="H336" s="12"/>
      <c r="I336" s="260">
        <v>0</v>
      </c>
      <c r="J336" s="260">
        <v>0</v>
      </c>
      <c r="K336" s="260">
        <v>0</v>
      </c>
      <c r="L336" s="260">
        <v>0</v>
      </c>
      <c r="M336" s="260">
        <v>0</v>
      </c>
      <c r="N336" s="260">
        <v>0</v>
      </c>
      <c r="O336" s="28"/>
      <c r="P336" s="28"/>
      <c r="Q336" s="28"/>
      <c r="R336" s="28"/>
    </row>
    <row r="337" spans="1:18" ht="12.75">
      <c r="A337" s="377"/>
      <c r="B337" s="13"/>
      <c r="C337" s="11"/>
      <c r="D337" s="11"/>
      <c r="E337" s="11"/>
      <c r="F337" s="11"/>
      <c r="G337" s="11"/>
      <c r="H337" s="12"/>
      <c r="I337" s="260">
        <v>0</v>
      </c>
      <c r="J337" s="260">
        <v>0</v>
      </c>
      <c r="K337" s="260">
        <v>0</v>
      </c>
      <c r="L337" s="260">
        <v>0</v>
      </c>
      <c r="M337" s="260">
        <v>0</v>
      </c>
      <c r="N337" s="260">
        <v>0</v>
      </c>
      <c r="O337" s="28"/>
      <c r="P337" s="28"/>
      <c r="Q337" s="28"/>
      <c r="R337" s="28"/>
    </row>
    <row r="338" spans="1:18" ht="12.75">
      <c r="A338" s="377"/>
      <c r="B338" s="371" t="s">
        <v>34</v>
      </c>
      <c r="C338" s="203"/>
      <c r="D338" s="203"/>
      <c r="E338" s="203"/>
      <c r="F338" s="11"/>
      <c r="G338" s="11"/>
      <c r="H338" s="12"/>
      <c r="I338" s="260">
        <v>0</v>
      </c>
      <c r="J338" s="260">
        <v>0</v>
      </c>
      <c r="K338" s="260">
        <v>0</v>
      </c>
      <c r="L338" s="260">
        <v>0</v>
      </c>
      <c r="M338" s="260">
        <v>0</v>
      </c>
      <c r="N338" s="260">
        <v>0</v>
      </c>
      <c r="O338" s="28"/>
      <c r="P338" s="28"/>
      <c r="Q338" s="28"/>
      <c r="R338" s="28"/>
    </row>
    <row r="339" spans="1:18" ht="12.75">
      <c r="A339" s="377"/>
      <c r="B339" s="13" t="s">
        <v>35</v>
      </c>
      <c r="C339" s="11"/>
      <c r="D339" s="11"/>
      <c r="E339" s="11"/>
      <c r="F339" s="11"/>
      <c r="G339" s="11"/>
      <c r="H339" s="12"/>
      <c r="I339" s="260">
        <f>4*75*100</f>
        <v>30000</v>
      </c>
      <c r="J339" s="260">
        <v>0</v>
      </c>
      <c r="K339" s="260">
        <v>0</v>
      </c>
      <c r="L339" s="260">
        <v>0</v>
      </c>
      <c r="M339" s="260">
        <v>0</v>
      </c>
      <c r="N339" s="260">
        <v>0</v>
      </c>
      <c r="O339" s="28"/>
      <c r="P339" s="28"/>
      <c r="Q339" s="28"/>
      <c r="R339" s="28"/>
    </row>
    <row r="340" spans="1:18" ht="12.75">
      <c r="A340" s="377"/>
      <c r="B340" s="13" t="s">
        <v>36</v>
      </c>
      <c r="C340" s="11"/>
      <c r="D340" s="11"/>
      <c r="E340" s="11"/>
      <c r="F340" s="11"/>
      <c r="G340" s="11"/>
      <c r="H340" s="12"/>
      <c r="I340" s="260">
        <f>100*1.5*75</f>
        <v>11250</v>
      </c>
      <c r="J340" s="260">
        <v>0</v>
      </c>
      <c r="K340" s="260">
        <v>0</v>
      </c>
      <c r="L340" s="260">
        <v>0</v>
      </c>
      <c r="M340" s="260">
        <v>0</v>
      </c>
      <c r="N340" s="260">
        <v>0</v>
      </c>
      <c r="O340" s="28"/>
      <c r="P340" s="28"/>
      <c r="Q340" s="28"/>
      <c r="R340" s="28"/>
    </row>
    <row r="341" spans="1:18" ht="12.75">
      <c r="A341" s="377"/>
      <c r="B341" s="13" t="s">
        <v>37</v>
      </c>
      <c r="C341" s="11"/>
      <c r="D341" s="11"/>
      <c r="E341" s="11"/>
      <c r="F341" s="11"/>
      <c r="G341" s="11"/>
      <c r="H341" s="12"/>
      <c r="I341" s="260">
        <f>200*3*250*0.02</f>
        <v>3000</v>
      </c>
      <c r="J341" s="260">
        <v>0</v>
      </c>
      <c r="K341" s="260">
        <v>0</v>
      </c>
      <c r="L341" s="260">
        <v>0</v>
      </c>
      <c r="M341" s="260">
        <v>0</v>
      </c>
      <c r="N341" s="260">
        <v>0</v>
      </c>
      <c r="O341" s="28"/>
      <c r="P341" s="28"/>
      <c r="Q341" s="28"/>
      <c r="R341" s="28"/>
    </row>
    <row r="342" spans="1:18" ht="12.75">
      <c r="A342" s="377"/>
      <c r="B342" s="13"/>
      <c r="C342" s="11"/>
      <c r="D342" s="11"/>
      <c r="E342" s="11"/>
      <c r="F342" s="11"/>
      <c r="G342" s="11"/>
      <c r="H342" s="12"/>
      <c r="I342" s="260">
        <v>0</v>
      </c>
      <c r="J342" s="260">
        <v>0</v>
      </c>
      <c r="K342" s="260">
        <v>0</v>
      </c>
      <c r="L342" s="260">
        <v>0</v>
      </c>
      <c r="M342" s="260">
        <v>0</v>
      </c>
      <c r="N342" s="260">
        <v>0</v>
      </c>
      <c r="O342" s="28"/>
      <c r="P342" s="28"/>
      <c r="Q342" s="28"/>
      <c r="R342" s="28"/>
    </row>
    <row r="343" spans="1:18" ht="12.75">
      <c r="A343" s="377"/>
      <c r="B343" s="13"/>
      <c r="C343" s="11"/>
      <c r="D343" s="11"/>
      <c r="E343" s="11"/>
      <c r="F343" s="11"/>
      <c r="G343" s="11"/>
      <c r="H343" s="12"/>
      <c r="I343" s="260">
        <v>0</v>
      </c>
      <c r="J343" s="260">
        <v>0</v>
      </c>
      <c r="K343" s="260">
        <v>0</v>
      </c>
      <c r="L343" s="260">
        <v>0</v>
      </c>
      <c r="M343" s="260">
        <v>0</v>
      </c>
      <c r="N343" s="260">
        <v>0</v>
      </c>
      <c r="O343" s="28"/>
      <c r="P343" s="28"/>
      <c r="Q343" s="28"/>
      <c r="R343" s="28"/>
    </row>
    <row r="344" spans="1:18" ht="12.75">
      <c r="A344" s="377"/>
      <c r="B344" s="13"/>
      <c r="C344" s="11"/>
      <c r="D344" s="11"/>
      <c r="E344" s="11"/>
      <c r="F344" s="11"/>
      <c r="G344" s="11"/>
      <c r="H344" s="12"/>
      <c r="I344" s="260">
        <v>0</v>
      </c>
      <c r="J344" s="260">
        <v>0</v>
      </c>
      <c r="K344" s="260">
        <v>0</v>
      </c>
      <c r="L344" s="260">
        <v>0</v>
      </c>
      <c r="M344" s="260">
        <v>0</v>
      </c>
      <c r="N344" s="260">
        <v>0</v>
      </c>
      <c r="O344" s="28"/>
      <c r="P344" s="28"/>
      <c r="Q344" s="28"/>
      <c r="R344" s="28"/>
    </row>
    <row r="345" spans="1:18" ht="12.75">
      <c r="A345" s="377"/>
      <c r="B345" s="371" t="s">
        <v>38</v>
      </c>
      <c r="C345" s="203"/>
      <c r="D345" s="203"/>
      <c r="E345" s="203"/>
      <c r="F345" s="11"/>
      <c r="G345" s="11"/>
      <c r="H345" s="12"/>
      <c r="I345" s="260">
        <v>0</v>
      </c>
      <c r="J345" s="260">
        <v>0</v>
      </c>
      <c r="K345" s="260">
        <v>0</v>
      </c>
      <c r="L345" s="260">
        <v>0</v>
      </c>
      <c r="M345" s="260">
        <v>0</v>
      </c>
      <c r="N345" s="260">
        <v>0</v>
      </c>
      <c r="O345" s="28"/>
      <c r="P345" s="28"/>
      <c r="Q345" s="28"/>
      <c r="R345" s="28"/>
    </row>
    <row r="346" spans="1:18" ht="12.75">
      <c r="A346" s="377"/>
      <c r="B346" s="13" t="s">
        <v>39</v>
      </c>
      <c r="C346" s="11"/>
      <c r="D346" s="11"/>
      <c r="E346" s="11"/>
      <c r="F346" s="11"/>
      <c r="G346" s="11"/>
      <c r="H346" s="12"/>
      <c r="I346" s="260">
        <v>0</v>
      </c>
      <c r="J346" s="260">
        <f>200*2*40</f>
        <v>16000</v>
      </c>
      <c r="K346" s="260">
        <v>0</v>
      </c>
      <c r="L346" s="260">
        <v>0</v>
      </c>
      <c r="M346" s="260">
        <v>0</v>
      </c>
      <c r="N346" s="260">
        <v>0</v>
      </c>
      <c r="O346" s="28"/>
      <c r="P346" s="28"/>
      <c r="Q346" s="28"/>
      <c r="R346" s="28"/>
    </row>
    <row r="347" spans="1:18" ht="12.75">
      <c r="A347" s="377"/>
      <c r="B347" s="13"/>
      <c r="C347" s="11"/>
      <c r="D347" s="11"/>
      <c r="E347" s="11"/>
      <c r="F347" s="11"/>
      <c r="G347" s="11"/>
      <c r="H347" s="12"/>
      <c r="I347" s="260">
        <v>0</v>
      </c>
      <c r="J347" s="260">
        <v>0</v>
      </c>
      <c r="K347" s="260">
        <v>0</v>
      </c>
      <c r="L347" s="260">
        <v>0</v>
      </c>
      <c r="M347" s="260">
        <v>0</v>
      </c>
      <c r="N347" s="260">
        <v>0</v>
      </c>
      <c r="O347" s="28"/>
      <c r="P347" s="28"/>
      <c r="Q347" s="28"/>
      <c r="R347" s="28"/>
    </row>
    <row r="348" spans="1:18" ht="12.75">
      <c r="A348" s="377"/>
      <c r="B348" s="13" t="s">
        <v>40</v>
      </c>
      <c r="C348" s="11"/>
      <c r="D348" s="11"/>
      <c r="E348" s="11"/>
      <c r="F348" s="11"/>
      <c r="G348" s="11"/>
      <c r="H348" s="12"/>
      <c r="I348" s="260">
        <v>0</v>
      </c>
      <c r="J348" s="260">
        <f>200*5*250*0.02</f>
        <v>5000</v>
      </c>
      <c r="K348" s="260">
        <v>0</v>
      </c>
      <c r="L348" s="260">
        <v>0</v>
      </c>
      <c r="M348" s="260">
        <v>0</v>
      </c>
      <c r="N348" s="260">
        <v>0</v>
      </c>
      <c r="O348" s="28"/>
      <c r="P348" s="28"/>
      <c r="Q348" s="28"/>
      <c r="R348" s="28"/>
    </row>
    <row r="349" spans="1:18" ht="12.75">
      <c r="A349" s="377"/>
      <c r="B349" s="13"/>
      <c r="C349" s="11"/>
      <c r="D349" s="11"/>
      <c r="E349" s="11"/>
      <c r="F349" s="11"/>
      <c r="G349" s="11"/>
      <c r="H349" s="12"/>
      <c r="I349" s="260">
        <v>0</v>
      </c>
      <c r="J349" s="260">
        <v>0</v>
      </c>
      <c r="K349" s="260">
        <v>0</v>
      </c>
      <c r="L349" s="260">
        <v>0</v>
      </c>
      <c r="M349" s="260">
        <v>0</v>
      </c>
      <c r="N349" s="260">
        <v>0</v>
      </c>
      <c r="O349" s="28"/>
      <c r="P349" s="28"/>
      <c r="Q349" s="28"/>
      <c r="R349" s="28"/>
    </row>
    <row r="350" spans="1:18" ht="12.75">
      <c r="A350" s="377"/>
      <c r="B350" s="13"/>
      <c r="C350" s="11"/>
      <c r="D350" s="11"/>
      <c r="E350" s="11"/>
      <c r="F350" s="11"/>
      <c r="G350" s="11"/>
      <c r="H350" s="12"/>
      <c r="I350" s="260">
        <v>0</v>
      </c>
      <c r="J350" s="260">
        <v>0</v>
      </c>
      <c r="K350" s="260">
        <v>0</v>
      </c>
      <c r="L350" s="260">
        <v>0</v>
      </c>
      <c r="M350" s="260">
        <v>0</v>
      </c>
      <c r="N350" s="260">
        <v>0</v>
      </c>
      <c r="O350" s="28"/>
      <c r="P350" s="28"/>
      <c r="Q350" s="28"/>
      <c r="R350" s="28"/>
    </row>
    <row r="351" spans="1:18" ht="12.75">
      <c r="A351" s="377"/>
      <c r="B351" s="371"/>
      <c r="C351" s="203"/>
      <c r="D351" s="203"/>
      <c r="E351" s="203"/>
      <c r="F351" s="11"/>
      <c r="G351" s="11"/>
      <c r="H351" s="12"/>
      <c r="I351" s="260">
        <v>0</v>
      </c>
      <c r="J351" s="260">
        <v>0</v>
      </c>
      <c r="K351" s="260">
        <v>0</v>
      </c>
      <c r="L351" s="260">
        <v>0</v>
      </c>
      <c r="M351" s="260">
        <v>0</v>
      </c>
      <c r="N351" s="260">
        <v>0</v>
      </c>
      <c r="O351" s="28"/>
      <c r="P351" s="28"/>
      <c r="Q351" s="28"/>
      <c r="R351" s="28"/>
    </row>
    <row r="352" spans="1:18" ht="12.75">
      <c r="A352" s="377"/>
      <c r="B352" s="13"/>
      <c r="C352" s="11"/>
      <c r="D352" s="11"/>
      <c r="E352" s="11"/>
      <c r="F352" s="11"/>
      <c r="G352" s="11"/>
      <c r="H352" s="12"/>
      <c r="I352" s="260">
        <v>0</v>
      </c>
      <c r="J352" s="260">
        <v>0</v>
      </c>
      <c r="K352" s="260">
        <v>0</v>
      </c>
      <c r="L352" s="260">
        <v>0</v>
      </c>
      <c r="M352" s="260">
        <v>0</v>
      </c>
      <c r="N352" s="260">
        <v>0</v>
      </c>
      <c r="O352" s="28"/>
      <c r="P352" s="28"/>
      <c r="Q352" s="28"/>
      <c r="R352" s="28"/>
    </row>
    <row r="353" spans="1:18" ht="12.75">
      <c r="A353" s="377"/>
      <c r="B353" s="371" t="s">
        <v>44</v>
      </c>
      <c r="C353" s="203"/>
      <c r="D353" s="203"/>
      <c r="E353" s="203"/>
      <c r="F353" s="11"/>
      <c r="G353" s="11"/>
      <c r="H353" s="12"/>
      <c r="I353" s="260">
        <v>0</v>
      </c>
      <c r="J353" s="260">
        <v>0</v>
      </c>
      <c r="K353" s="260">
        <v>0</v>
      </c>
      <c r="L353" s="260">
        <v>0</v>
      </c>
      <c r="M353" s="260">
        <v>0</v>
      </c>
      <c r="N353" s="260">
        <v>0</v>
      </c>
      <c r="O353" s="28"/>
      <c r="P353" s="28"/>
      <c r="Q353" s="28"/>
      <c r="R353" s="28"/>
    </row>
    <row r="354" spans="1:18" ht="12.75">
      <c r="A354" s="377"/>
      <c r="B354" s="13" t="s">
        <v>43</v>
      </c>
      <c r="C354" s="11"/>
      <c r="D354" s="11"/>
      <c r="E354" s="11"/>
      <c r="F354" s="11"/>
      <c r="G354" s="11"/>
      <c r="H354" s="12"/>
      <c r="I354" s="260">
        <v>0</v>
      </c>
      <c r="J354" s="260">
        <v>0</v>
      </c>
      <c r="K354" s="260">
        <f>3*1500*3.25</f>
        <v>14625</v>
      </c>
      <c r="L354" s="260">
        <v>0</v>
      </c>
      <c r="M354" s="260">
        <v>0</v>
      </c>
      <c r="N354" s="260">
        <v>0</v>
      </c>
      <c r="O354" s="28"/>
      <c r="P354" s="28"/>
      <c r="Q354" s="28"/>
      <c r="R354" s="28"/>
    </row>
    <row r="355" spans="1:18" ht="12.75">
      <c r="A355" s="377"/>
      <c r="B355" s="13" t="s">
        <v>41</v>
      </c>
      <c r="C355" s="11"/>
      <c r="D355" s="11"/>
      <c r="E355" s="11"/>
      <c r="F355" s="11"/>
      <c r="G355" s="11"/>
      <c r="H355" s="12"/>
      <c r="I355" s="260">
        <v>0</v>
      </c>
      <c r="J355" s="260">
        <v>0</v>
      </c>
      <c r="K355" s="260">
        <f>8*25*100</f>
        <v>20000</v>
      </c>
      <c r="L355" s="260">
        <v>0</v>
      </c>
      <c r="M355" s="260">
        <v>0</v>
      </c>
      <c r="N355" s="260">
        <v>0</v>
      </c>
      <c r="O355" s="28"/>
      <c r="P355" s="28"/>
      <c r="Q355" s="28"/>
      <c r="R355" s="28"/>
    </row>
    <row r="356" spans="1:18" ht="12.75">
      <c r="A356" s="377"/>
      <c r="B356" s="13" t="s">
        <v>42</v>
      </c>
      <c r="C356" s="11"/>
      <c r="D356" s="11"/>
      <c r="E356" s="11"/>
      <c r="F356" s="11"/>
      <c r="G356" s="11"/>
      <c r="H356" s="12"/>
      <c r="I356" s="260">
        <v>0</v>
      </c>
      <c r="J356" s="260">
        <v>0</v>
      </c>
      <c r="K356" s="260">
        <f>8*30*0.25*100</f>
        <v>6000</v>
      </c>
      <c r="L356" s="260">
        <v>0</v>
      </c>
      <c r="M356" s="260">
        <v>0</v>
      </c>
      <c r="N356" s="260">
        <v>0</v>
      </c>
      <c r="O356" s="28"/>
      <c r="P356" s="28"/>
      <c r="Q356" s="28"/>
      <c r="R356" s="28"/>
    </row>
    <row r="357" spans="1:18" ht="12.75">
      <c r="A357" s="377"/>
      <c r="B357" s="13"/>
      <c r="C357" s="11"/>
      <c r="D357" s="231"/>
      <c r="E357" s="11"/>
      <c r="F357" s="11"/>
      <c r="G357" s="11"/>
      <c r="H357" s="12"/>
      <c r="I357" s="260">
        <v>0</v>
      </c>
      <c r="J357" s="260">
        <v>0</v>
      </c>
      <c r="K357" s="260">
        <v>0</v>
      </c>
      <c r="L357" s="260">
        <v>0</v>
      </c>
      <c r="M357" s="260">
        <v>0</v>
      </c>
      <c r="N357" s="260">
        <v>0</v>
      </c>
      <c r="O357" s="28"/>
      <c r="P357" s="28"/>
      <c r="Q357" s="28"/>
      <c r="R357" s="28"/>
    </row>
    <row r="358" spans="1:18" ht="12.75">
      <c r="A358" s="377"/>
      <c r="B358" s="13"/>
      <c r="C358" s="11"/>
      <c r="D358" s="231"/>
      <c r="E358" s="11"/>
      <c r="F358" s="11"/>
      <c r="G358" s="11"/>
      <c r="H358" s="12"/>
      <c r="I358" s="260">
        <v>0</v>
      </c>
      <c r="J358" s="260">
        <v>0</v>
      </c>
      <c r="K358" s="260">
        <v>0</v>
      </c>
      <c r="L358" s="260">
        <v>0</v>
      </c>
      <c r="M358" s="260">
        <v>0</v>
      </c>
      <c r="N358" s="260">
        <v>0</v>
      </c>
      <c r="O358" s="28"/>
      <c r="P358" s="28"/>
      <c r="Q358" s="28"/>
      <c r="R358" s="28"/>
    </row>
    <row r="359" spans="1:18" ht="12.75">
      <c r="A359" s="377"/>
      <c r="B359" s="13"/>
      <c r="C359" s="11"/>
      <c r="D359" s="231"/>
      <c r="E359" s="11"/>
      <c r="F359" s="11"/>
      <c r="G359" s="11"/>
      <c r="H359" s="12"/>
      <c r="I359" s="260">
        <v>0</v>
      </c>
      <c r="J359" s="260">
        <v>0</v>
      </c>
      <c r="K359" s="260">
        <v>0</v>
      </c>
      <c r="L359" s="260">
        <v>0</v>
      </c>
      <c r="M359" s="260">
        <v>0</v>
      </c>
      <c r="N359" s="260">
        <v>0</v>
      </c>
      <c r="O359" s="28"/>
      <c r="P359" s="28"/>
      <c r="Q359" s="28"/>
      <c r="R359" s="28"/>
    </row>
    <row r="360" spans="1:18" ht="12.75">
      <c r="A360" s="377"/>
      <c r="B360" s="13"/>
      <c r="C360" s="11"/>
      <c r="D360" s="231"/>
      <c r="E360" s="11"/>
      <c r="F360" s="11"/>
      <c r="G360" s="11"/>
      <c r="H360" s="12"/>
      <c r="I360" s="260">
        <v>0</v>
      </c>
      <c r="J360" s="260">
        <v>0</v>
      </c>
      <c r="K360" s="260">
        <v>0</v>
      </c>
      <c r="L360" s="260">
        <v>0</v>
      </c>
      <c r="M360" s="260">
        <v>0</v>
      </c>
      <c r="N360" s="260">
        <v>0</v>
      </c>
      <c r="O360" s="28"/>
      <c r="P360" s="28"/>
      <c r="Q360" s="28"/>
      <c r="R360" s="28"/>
    </row>
    <row r="361" spans="1:18" ht="12.75">
      <c r="A361" s="377"/>
      <c r="B361" s="13"/>
      <c r="C361" s="11"/>
      <c r="D361" s="231"/>
      <c r="E361" s="11"/>
      <c r="F361" s="11"/>
      <c r="G361" s="11"/>
      <c r="H361" s="12"/>
      <c r="I361" s="260">
        <v>0</v>
      </c>
      <c r="J361" s="260">
        <v>0</v>
      </c>
      <c r="K361" s="260">
        <v>0</v>
      </c>
      <c r="L361" s="260">
        <v>0</v>
      </c>
      <c r="M361" s="260">
        <v>0</v>
      </c>
      <c r="N361" s="260">
        <v>0</v>
      </c>
      <c r="O361" s="28"/>
      <c r="P361" s="28"/>
      <c r="Q361" s="28"/>
      <c r="R361" s="28"/>
    </row>
    <row r="362" spans="1:18" ht="12.75">
      <c r="A362" s="377"/>
      <c r="B362" s="13"/>
      <c r="C362" s="11"/>
      <c r="D362" s="231"/>
      <c r="E362" s="11"/>
      <c r="F362" s="11"/>
      <c r="G362" s="11"/>
      <c r="H362" s="12"/>
      <c r="I362" s="260">
        <v>0</v>
      </c>
      <c r="J362" s="260">
        <v>0</v>
      </c>
      <c r="K362" s="260">
        <v>0</v>
      </c>
      <c r="L362" s="260">
        <v>0</v>
      </c>
      <c r="M362" s="260">
        <v>0</v>
      </c>
      <c r="N362" s="260">
        <v>0</v>
      </c>
      <c r="O362" s="28"/>
      <c r="P362" s="28"/>
      <c r="Q362" s="28"/>
      <c r="R362" s="28"/>
    </row>
    <row r="363" spans="1:18" ht="12.75">
      <c r="A363" s="28"/>
      <c r="B363" s="13"/>
      <c r="C363" s="11"/>
      <c r="D363" s="231"/>
      <c r="E363" s="11"/>
      <c r="F363" s="11"/>
      <c r="G363" s="11"/>
      <c r="H363" s="12"/>
      <c r="I363" s="260">
        <v>0</v>
      </c>
      <c r="J363" s="260">
        <v>0</v>
      </c>
      <c r="K363" s="260">
        <v>0</v>
      </c>
      <c r="L363" s="260">
        <v>0</v>
      </c>
      <c r="M363" s="260">
        <v>0</v>
      </c>
      <c r="N363" s="260">
        <v>0</v>
      </c>
      <c r="O363" s="28"/>
      <c r="P363" s="28"/>
      <c r="Q363" s="28"/>
      <c r="R363" s="28"/>
    </row>
    <row r="364" spans="1:18" ht="12.75">
      <c r="A364" s="377"/>
      <c r="B364" s="13"/>
      <c r="C364" s="11"/>
      <c r="D364" s="231"/>
      <c r="E364" s="11"/>
      <c r="F364" s="11"/>
      <c r="G364" s="11"/>
      <c r="H364" s="12"/>
      <c r="I364" s="260">
        <v>0</v>
      </c>
      <c r="J364" s="260">
        <v>0</v>
      </c>
      <c r="K364" s="260">
        <v>0</v>
      </c>
      <c r="L364" s="260">
        <v>0</v>
      </c>
      <c r="M364" s="260">
        <v>0</v>
      </c>
      <c r="N364" s="260">
        <v>0</v>
      </c>
      <c r="O364" s="28"/>
      <c r="P364" s="28"/>
      <c r="Q364" s="28"/>
      <c r="R364" s="28"/>
    </row>
    <row r="365" spans="1:18" ht="12.75">
      <c r="A365" s="377"/>
      <c r="B365" s="13"/>
      <c r="C365" s="11"/>
      <c r="D365" s="231"/>
      <c r="E365" s="11"/>
      <c r="F365" s="11"/>
      <c r="G365" s="11"/>
      <c r="H365" s="12"/>
      <c r="I365" s="260">
        <v>0</v>
      </c>
      <c r="J365" s="260">
        <v>0</v>
      </c>
      <c r="K365" s="260">
        <v>0</v>
      </c>
      <c r="L365" s="260">
        <v>0</v>
      </c>
      <c r="M365" s="260">
        <v>0</v>
      </c>
      <c r="N365" s="260">
        <v>0</v>
      </c>
      <c r="O365" s="28"/>
      <c r="P365" s="28"/>
      <c r="Q365" s="28"/>
      <c r="R365" s="28"/>
    </row>
    <row r="366" spans="1:18" ht="12.75">
      <c r="A366" s="377"/>
      <c r="B366" s="13"/>
      <c r="C366" s="11"/>
      <c r="D366" s="231"/>
      <c r="E366" s="11"/>
      <c r="F366" s="11"/>
      <c r="G366" s="11"/>
      <c r="H366" s="12"/>
      <c r="I366" s="260">
        <v>0</v>
      </c>
      <c r="J366" s="260">
        <v>0</v>
      </c>
      <c r="K366" s="260">
        <v>0</v>
      </c>
      <c r="L366" s="260">
        <v>0</v>
      </c>
      <c r="M366" s="260">
        <v>0</v>
      </c>
      <c r="N366" s="260">
        <v>0</v>
      </c>
      <c r="O366" s="28"/>
      <c r="P366" s="28"/>
      <c r="Q366" s="28"/>
      <c r="R366" s="28"/>
    </row>
    <row r="367" spans="1:18" ht="12.75">
      <c r="A367" s="377"/>
      <c r="B367" s="13"/>
      <c r="C367" s="11"/>
      <c r="D367" s="231"/>
      <c r="E367" s="11"/>
      <c r="F367" s="11"/>
      <c r="G367" s="11"/>
      <c r="H367" s="12"/>
      <c r="I367" s="260">
        <v>0</v>
      </c>
      <c r="J367" s="260">
        <v>0</v>
      </c>
      <c r="K367" s="260">
        <v>0</v>
      </c>
      <c r="L367" s="260">
        <v>0</v>
      </c>
      <c r="M367" s="260">
        <v>0</v>
      </c>
      <c r="N367" s="260">
        <v>0</v>
      </c>
      <c r="O367" s="28"/>
      <c r="P367" s="28"/>
      <c r="Q367" s="28"/>
      <c r="R367" s="28"/>
    </row>
    <row r="368" spans="1:18" ht="12.75">
      <c r="A368" s="377"/>
      <c r="B368" s="13"/>
      <c r="C368" s="11"/>
      <c r="D368" s="231"/>
      <c r="E368" s="11"/>
      <c r="F368" s="11"/>
      <c r="G368" s="11"/>
      <c r="H368" s="12"/>
      <c r="I368" s="260">
        <v>0</v>
      </c>
      <c r="J368" s="260">
        <v>0</v>
      </c>
      <c r="K368" s="260">
        <v>0</v>
      </c>
      <c r="L368" s="260">
        <v>0</v>
      </c>
      <c r="M368" s="260">
        <v>0</v>
      </c>
      <c r="N368" s="260">
        <v>0</v>
      </c>
      <c r="O368" s="28"/>
      <c r="P368" s="28"/>
      <c r="Q368" s="28"/>
      <c r="R368" s="28"/>
    </row>
    <row r="369" spans="1:18" ht="12.75">
      <c r="A369" s="377"/>
      <c r="B369" s="13"/>
      <c r="C369" s="11"/>
      <c r="D369" s="231"/>
      <c r="E369" s="11"/>
      <c r="F369" s="11"/>
      <c r="G369" s="11"/>
      <c r="H369" s="12"/>
      <c r="I369" s="260">
        <v>0</v>
      </c>
      <c r="J369" s="260">
        <v>0</v>
      </c>
      <c r="K369" s="260">
        <v>0</v>
      </c>
      <c r="L369" s="260">
        <v>0</v>
      </c>
      <c r="M369" s="260">
        <v>0</v>
      </c>
      <c r="N369" s="260">
        <v>0</v>
      </c>
      <c r="O369" s="28"/>
      <c r="P369" s="28"/>
      <c r="Q369" s="28"/>
      <c r="R369" s="28"/>
    </row>
    <row r="370" spans="1:18" ht="12.75">
      <c r="A370" s="377"/>
      <c r="B370" s="13"/>
      <c r="C370" s="11"/>
      <c r="D370" s="231"/>
      <c r="E370" s="11"/>
      <c r="F370" s="11"/>
      <c r="G370" s="11"/>
      <c r="H370" s="12"/>
      <c r="I370" s="260">
        <v>0</v>
      </c>
      <c r="J370" s="260">
        <v>0</v>
      </c>
      <c r="K370" s="260">
        <v>0</v>
      </c>
      <c r="L370" s="260">
        <v>0</v>
      </c>
      <c r="M370" s="260">
        <v>0</v>
      </c>
      <c r="N370" s="260">
        <v>0</v>
      </c>
      <c r="O370" s="28"/>
      <c r="P370" s="28"/>
      <c r="Q370" s="28"/>
      <c r="R370" s="28"/>
    </row>
    <row r="371" spans="1:18" ht="12.75">
      <c r="A371" s="377"/>
      <c r="B371" s="13"/>
      <c r="C371" s="11"/>
      <c r="D371" s="11"/>
      <c r="E371" s="11"/>
      <c r="F371" s="11"/>
      <c r="G371" s="11"/>
      <c r="H371" s="12"/>
      <c r="I371" s="260">
        <v>0</v>
      </c>
      <c r="J371" s="260">
        <v>0</v>
      </c>
      <c r="K371" s="260">
        <v>0</v>
      </c>
      <c r="L371" s="260">
        <v>0</v>
      </c>
      <c r="M371" s="260">
        <v>0</v>
      </c>
      <c r="N371" s="260">
        <v>0</v>
      </c>
      <c r="O371" s="28"/>
      <c r="P371" s="28"/>
      <c r="Q371" s="28"/>
      <c r="R371" s="28"/>
    </row>
    <row r="372" spans="1:18" ht="12.75">
      <c r="A372" s="377"/>
      <c r="B372" s="13"/>
      <c r="C372" s="11"/>
      <c r="D372" s="11"/>
      <c r="E372" s="11"/>
      <c r="F372" s="11"/>
      <c r="G372" s="11"/>
      <c r="H372" s="12"/>
      <c r="I372" s="260">
        <v>0</v>
      </c>
      <c r="J372" s="260">
        <v>0</v>
      </c>
      <c r="K372" s="260">
        <v>0</v>
      </c>
      <c r="L372" s="260">
        <v>0</v>
      </c>
      <c r="M372" s="260">
        <v>0</v>
      </c>
      <c r="N372" s="260">
        <v>0</v>
      </c>
      <c r="O372" s="28"/>
      <c r="P372" s="28"/>
      <c r="Q372" s="28"/>
      <c r="R372" s="28"/>
    </row>
    <row r="373" spans="1:18" ht="12.75">
      <c r="A373" s="377"/>
      <c r="B373" s="13"/>
      <c r="C373" s="11"/>
      <c r="D373" s="11"/>
      <c r="E373" s="11"/>
      <c r="F373" s="11"/>
      <c r="G373" s="11"/>
      <c r="H373" s="12"/>
      <c r="I373" s="260">
        <v>0</v>
      </c>
      <c r="J373" s="260">
        <v>0</v>
      </c>
      <c r="K373" s="260">
        <v>0</v>
      </c>
      <c r="L373" s="260">
        <v>0</v>
      </c>
      <c r="M373" s="260">
        <v>0</v>
      </c>
      <c r="N373" s="260">
        <v>0</v>
      </c>
      <c r="O373" s="28"/>
      <c r="P373" s="28"/>
      <c r="Q373" s="28"/>
      <c r="R373" s="28"/>
    </row>
    <row r="374" spans="1:18" ht="12.75">
      <c r="A374" s="377"/>
      <c r="B374" s="13"/>
      <c r="C374" s="11"/>
      <c r="D374" s="11"/>
      <c r="E374" s="11"/>
      <c r="F374" s="11"/>
      <c r="G374" s="11"/>
      <c r="H374" s="12"/>
      <c r="I374" s="260">
        <v>0</v>
      </c>
      <c r="J374" s="260">
        <v>0</v>
      </c>
      <c r="K374" s="260">
        <v>0</v>
      </c>
      <c r="L374" s="260">
        <v>0</v>
      </c>
      <c r="M374" s="260">
        <v>0</v>
      </c>
      <c r="N374" s="260">
        <v>0</v>
      </c>
      <c r="O374" s="28"/>
      <c r="P374" s="28"/>
      <c r="Q374" s="28"/>
      <c r="R374" s="28"/>
    </row>
    <row r="375" spans="1:18" ht="12.75">
      <c r="A375" s="377"/>
      <c r="B375" s="13"/>
      <c r="C375" s="11"/>
      <c r="D375" s="11"/>
      <c r="E375" s="11"/>
      <c r="F375" s="11"/>
      <c r="G375" s="11"/>
      <c r="H375" s="12"/>
      <c r="I375" s="260">
        <v>0</v>
      </c>
      <c r="J375" s="260">
        <v>0</v>
      </c>
      <c r="K375" s="260">
        <v>0</v>
      </c>
      <c r="L375" s="260">
        <v>0</v>
      </c>
      <c r="M375" s="260">
        <v>0</v>
      </c>
      <c r="N375" s="260">
        <v>0</v>
      </c>
      <c r="O375" s="28"/>
      <c r="P375" s="28"/>
      <c r="Q375" s="28"/>
      <c r="R375" s="28"/>
    </row>
    <row r="376" spans="1:18" ht="12.75">
      <c r="A376" s="377"/>
      <c r="B376" s="13"/>
      <c r="C376" s="11"/>
      <c r="D376" s="11"/>
      <c r="E376" s="11"/>
      <c r="F376" s="11"/>
      <c r="G376" s="11"/>
      <c r="H376" s="12"/>
      <c r="I376" s="260">
        <v>0</v>
      </c>
      <c r="J376" s="260">
        <v>0</v>
      </c>
      <c r="K376" s="260">
        <v>0</v>
      </c>
      <c r="L376" s="260">
        <v>0</v>
      </c>
      <c r="M376" s="260">
        <v>0</v>
      </c>
      <c r="N376" s="260">
        <v>0</v>
      </c>
      <c r="O376" s="28"/>
      <c r="P376" s="28"/>
      <c r="Q376" s="28"/>
      <c r="R376" s="28"/>
    </row>
    <row r="377" spans="1:18" ht="12.75">
      <c r="A377" s="377"/>
      <c r="B377" s="13"/>
      <c r="C377" s="11"/>
      <c r="D377" s="11"/>
      <c r="E377" s="11"/>
      <c r="F377" s="11"/>
      <c r="G377" s="11"/>
      <c r="H377" s="12"/>
      <c r="I377" s="260">
        <v>0</v>
      </c>
      <c r="J377" s="260">
        <v>0</v>
      </c>
      <c r="K377" s="260">
        <v>0</v>
      </c>
      <c r="L377" s="260">
        <v>0</v>
      </c>
      <c r="M377" s="260">
        <v>0</v>
      </c>
      <c r="N377" s="260">
        <v>0</v>
      </c>
      <c r="O377" s="28"/>
      <c r="P377" s="28"/>
      <c r="Q377" s="28"/>
      <c r="R377" s="28"/>
    </row>
    <row r="378" spans="1:18" ht="12.75">
      <c r="A378" s="377"/>
      <c r="B378" s="13"/>
      <c r="C378" s="11"/>
      <c r="D378" s="11"/>
      <c r="E378" s="11"/>
      <c r="F378" s="11"/>
      <c r="G378" s="11"/>
      <c r="H378" s="12"/>
      <c r="I378" s="260">
        <v>0</v>
      </c>
      <c r="J378" s="260">
        <v>0</v>
      </c>
      <c r="K378" s="260">
        <v>0</v>
      </c>
      <c r="L378" s="260">
        <v>0</v>
      </c>
      <c r="M378" s="260">
        <v>0</v>
      </c>
      <c r="N378" s="260">
        <v>0</v>
      </c>
      <c r="O378" s="28"/>
      <c r="P378" s="28"/>
      <c r="Q378" s="28"/>
      <c r="R378" s="28"/>
    </row>
    <row r="379" spans="1:18" ht="12.75">
      <c r="A379" s="377"/>
      <c r="B379" s="13"/>
      <c r="C379" s="11"/>
      <c r="D379" s="11"/>
      <c r="E379" s="11"/>
      <c r="F379" s="11"/>
      <c r="G379" s="11"/>
      <c r="H379" s="12"/>
      <c r="I379" s="260">
        <v>0</v>
      </c>
      <c r="J379" s="260">
        <v>0</v>
      </c>
      <c r="K379" s="260">
        <v>0</v>
      </c>
      <c r="L379" s="260">
        <v>0</v>
      </c>
      <c r="M379" s="260">
        <v>0</v>
      </c>
      <c r="N379" s="260">
        <v>0</v>
      </c>
      <c r="O379" s="28"/>
      <c r="P379" s="28"/>
      <c r="Q379" s="28"/>
      <c r="R379" s="28"/>
    </row>
    <row r="380" spans="1:18" ht="12.75">
      <c r="A380" s="377"/>
      <c r="B380" s="13"/>
      <c r="C380" s="11"/>
      <c r="D380" s="11"/>
      <c r="E380" s="11"/>
      <c r="F380" s="11"/>
      <c r="G380" s="11"/>
      <c r="H380" s="12"/>
      <c r="I380" s="260">
        <v>0</v>
      </c>
      <c r="J380" s="260">
        <v>0</v>
      </c>
      <c r="K380" s="260">
        <v>0</v>
      </c>
      <c r="L380" s="260">
        <v>0</v>
      </c>
      <c r="M380" s="260">
        <v>0</v>
      </c>
      <c r="N380" s="260">
        <v>0</v>
      </c>
      <c r="O380" s="28"/>
      <c r="P380" s="28"/>
      <c r="Q380" s="28"/>
      <c r="R380" s="28"/>
    </row>
    <row r="381" spans="1:18" ht="12.75">
      <c r="A381" s="377"/>
      <c r="B381" s="13"/>
      <c r="C381" s="11"/>
      <c r="D381" s="11"/>
      <c r="E381" s="11"/>
      <c r="F381" s="11"/>
      <c r="G381" s="11"/>
      <c r="H381" s="12"/>
      <c r="I381" s="260">
        <v>0</v>
      </c>
      <c r="J381" s="260">
        <v>0</v>
      </c>
      <c r="K381" s="260">
        <v>0</v>
      </c>
      <c r="L381" s="260">
        <v>0</v>
      </c>
      <c r="M381" s="260">
        <v>0</v>
      </c>
      <c r="N381" s="260">
        <v>0</v>
      </c>
      <c r="O381" s="28"/>
      <c r="P381" s="28"/>
      <c r="Q381" s="28"/>
      <c r="R381" s="28"/>
    </row>
    <row r="382" spans="1:18" ht="12.75">
      <c r="A382" s="377"/>
      <c r="B382" s="13"/>
      <c r="C382" s="11"/>
      <c r="D382" s="11"/>
      <c r="E382" s="11"/>
      <c r="F382" s="11"/>
      <c r="G382" s="11"/>
      <c r="H382" s="12"/>
      <c r="I382" s="260">
        <v>0</v>
      </c>
      <c r="J382" s="260">
        <v>0</v>
      </c>
      <c r="K382" s="260">
        <v>0</v>
      </c>
      <c r="L382" s="260">
        <v>0</v>
      </c>
      <c r="M382" s="260">
        <v>0</v>
      </c>
      <c r="N382" s="260">
        <v>0</v>
      </c>
      <c r="O382" s="28"/>
      <c r="P382" s="28"/>
      <c r="Q382" s="28"/>
      <c r="R382" s="28"/>
    </row>
    <row r="383" spans="1:18" ht="12.75">
      <c r="A383" s="377"/>
      <c r="B383" s="13"/>
      <c r="C383" s="11"/>
      <c r="D383" s="11"/>
      <c r="E383" s="11"/>
      <c r="F383" s="11"/>
      <c r="G383" s="11"/>
      <c r="H383" s="12"/>
      <c r="I383" s="260">
        <v>0</v>
      </c>
      <c r="J383" s="260">
        <v>0</v>
      </c>
      <c r="K383" s="260">
        <v>0</v>
      </c>
      <c r="L383" s="260">
        <v>0</v>
      </c>
      <c r="M383" s="260">
        <v>0</v>
      </c>
      <c r="N383" s="260">
        <v>0</v>
      </c>
      <c r="O383" s="28"/>
      <c r="P383" s="28"/>
      <c r="Q383" s="28"/>
      <c r="R383" s="28"/>
    </row>
    <row r="384" spans="1:18" ht="12.75">
      <c r="A384" s="377"/>
      <c r="B384" s="13"/>
      <c r="C384" s="11"/>
      <c r="D384" s="11"/>
      <c r="E384" s="11"/>
      <c r="F384" s="11"/>
      <c r="G384" s="11"/>
      <c r="H384" s="12"/>
      <c r="I384" s="260">
        <v>0</v>
      </c>
      <c r="J384" s="260">
        <v>0</v>
      </c>
      <c r="K384" s="260">
        <v>0</v>
      </c>
      <c r="L384" s="260">
        <v>0</v>
      </c>
      <c r="M384" s="260">
        <v>0</v>
      </c>
      <c r="N384" s="260">
        <v>0</v>
      </c>
      <c r="O384" s="28"/>
      <c r="P384" s="28"/>
      <c r="Q384" s="28"/>
      <c r="R384" s="28"/>
    </row>
    <row r="385" spans="1:18" ht="12.75">
      <c r="A385" s="377"/>
      <c r="B385" s="13"/>
      <c r="C385" s="11"/>
      <c r="D385" s="11"/>
      <c r="E385" s="11"/>
      <c r="F385" s="11"/>
      <c r="G385" s="11"/>
      <c r="H385" s="12"/>
      <c r="I385" s="260">
        <v>0</v>
      </c>
      <c r="J385" s="260">
        <v>0</v>
      </c>
      <c r="K385" s="260">
        <v>0</v>
      </c>
      <c r="L385" s="260">
        <v>0</v>
      </c>
      <c r="M385" s="260">
        <v>0</v>
      </c>
      <c r="N385" s="260">
        <v>0</v>
      </c>
      <c r="O385" s="28"/>
      <c r="P385" s="28"/>
      <c r="Q385" s="28"/>
      <c r="R385" s="28"/>
    </row>
    <row r="386" spans="1:18" ht="12.75">
      <c r="A386" s="377"/>
      <c r="B386" s="13"/>
      <c r="C386" s="11"/>
      <c r="D386" s="11"/>
      <c r="E386" s="11"/>
      <c r="F386" s="11"/>
      <c r="G386" s="11"/>
      <c r="H386" s="12"/>
      <c r="I386" s="260">
        <v>0</v>
      </c>
      <c r="J386" s="260">
        <v>0</v>
      </c>
      <c r="K386" s="260">
        <v>0</v>
      </c>
      <c r="L386" s="260">
        <v>0</v>
      </c>
      <c r="M386" s="260">
        <v>0</v>
      </c>
      <c r="N386" s="260">
        <v>0</v>
      </c>
      <c r="O386" s="28"/>
      <c r="P386" s="28"/>
      <c r="Q386" s="28"/>
      <c r="R386" s="28"/>
    </row>
    <row r="387" spans="1:18" ht="12.75">
      <c r="A387" s="377"/>
      <c r="B387" s="13"/>
      <c r="C387" s="11"/>
      <c r="D387" s="11"/>
      <c r="E387" s="11"/>
      <c r="F387" s="11"/>
      <c r="G387" s="11"/>
      <c r="H387" s="12"/>
      <c r="I387" s="260">
        <v>0</v>
      </c>
      <c r="J387" s="260">
        <v>0</v>
      </c>
      <c r="K387" s="260">
        <v>0</v>
      </c>
      <c r="L387" s="260">
        <v>0</v>
      </c>
      <c r="M387" s="260">
        <v>0</v>
      </c>
      <c r="N387" s="260">
        <v>0</v>
      </c>
      <c r="O387" s="28"/>
      <c r="P387" s="28"/>
      <c r="Q387" s="28"/>
      <c r="R387" s="28"/>
    </row>
    <row r="388" spans="1:18" ht="12.75">
      <c r="A388" s="377"/>
      <c r="B388" s="13"/>
      <c r="C388" s="11"/>
      <c r="D388" s="11"/>
      <c r="E388" s="11"/>
      <c r="F388" s="11"/>
      <c r="G388" s="11"/>
      <c r="H388" s="12"/>
      <c r="I388" s="260">
        <v>0</v>
      </c>
      <c r="J388" s="260">
        <v>0</v>
      </c>
      <c r="K388" s="260">
        <v>0</v>
      </c>
      <c r="L388" s="260">
        <v>0</v>
      </c>
      <c r="M388" s="260">
        <v>0</v>
      </c>
      <c r="N388" s="260">
        <v>0</v>
      </c>
      <c r="O388" s="28"/>
      <c r="P388" s="28"/>
      <c r="Q388" s="28"/>
      <c r="R388" s="28"/>
    </row>
    <row r="389" spans="1:18" ht="12.75">
      <c r="A389" s="377"/>
      <c r="B389" s="13"/>
      <c r="C389" s="11"/>
      <c r="D389" s="11"/>
      <c r="E389" s="11"/>
      <c r="F389" s="11"/>
      <c r="G389" s="11"/>
      <c r="H389" s="12"/>
      <c r="I389" s="260">
        <v>0</v>
      </c>
      <c r="J389" s="260">
        <v>0</v>
      </c>
      <c r="K389" s="260">
        <v>0</v>
      </c>
      <c r="L389" s="260">
        <v>0</v>
      </c>
      <c r="M389" s="260">
        <v>0</v>
      </c>
      <c r="N389" s="260">
        <v>0</v>
      </c>
      <c r="O389" s="28"/>
      <c r="P389" s="28"/>
      <c r="Q389" s="28"/>
      <c r="R389" s="28"/>
    </row>
    <row r="390" spans="1:18" ht="12.75">
      <c r="A390" s="377"/>
      <c r="B390" s="13"/>
      <c r="C390" s="11"/>
      <c r="D390" s="11"/>
      <c r="E390" s="11"/>
      <c r="F390" s="11"/>
      <c r="G390" s="11"/>
      <c r="H390" s="12"/>
      <c r="I390" s="260">
        <v>0</v>
      </c>
      <c r="J390" s="260">
        <v>0</v>
      </c>
      <c r="K390" s="260">
        <v>0</v>
      </c>
      <c r="L390" s="260">
        <v>0</v>
      </c>
      <c r="M390" s="260">
        <v>0</v>
      </c>
      <c r="N390" s="260">
        <v>0</v>
      </c>
      <c r="O390" s="28"/>
      <c r="P390" s="28"/>
      <c r="Q390" s="28"/>
      <c r="R390" s="28"/>
    </row>
    <row r="391" spans="1:18" ht="15" customHeight="1">
      <c r="A391" s="377"/>
      <c r="B391" s="13"/>
      <c r="C391" s="11"/>
      <c r="D391" s="11"/>
      <c r="E391" s="11"/>
      <c r="F391" s="11"/>
      <c r="G391" s="11"/>
      <c r="H391" s="12"/>
      <c r="I391" s="260">
        <v>0</v>
      </c>
      <c r="J391" s="260">
        <v>0</v>
      </c>
      <c r="K391" s="260">
        <v>0</v>
      </c>
      <c r="L391" s="260">
        <v>0</v>
      </c>
      <c r="M391" s="260">
        <v>0</v>
      </c>
      <c r="N391" s="260">
        <v>0</v>
      </c>
      <c r="O391" s="28"/>
      <c r="P391" s="28"/>
      <c r="Q391" s="28"/>
      <c r="R391" s="28"/>
    </row>
    <row r="392" spans="1:18" ht="15">
      <c r="A392" s="377"/>
      <c r="B392" s="237"/>
      <c r="C392" s="238"/>
      <c r="D392" s="238"/>
      <c r="E392" s="238"/>
      <c r="F392" s="238"/>
      <c r="G392" s="238"/>
      <c r="H392" s="239"/>
      <c r="I392" s="260">
        <v>0</v>
      </c>
      <c r="J392" s="260">
        <v>0</v>
      </c>
      <c r="K392" s="260">
        <v>0</v>
      </c>
      <c r="L392" s="260">
        <v>0</v>
      </c>
      <c r="M392" s="260">
        <v>0</v>
      </c>
      <c r="N392" s="260">
        <v>0</v>
      </c>
      <c r="O392" s="28"/>
      <c r="P392" s="28"/>
      <c r="Q392" s="28"/>
      <c r="R392" s="28"/>
    </row>
    <row r="393" spans="1:18" ht="12.75">
      <c r="A393" s="377"/>
      <c r="B393" s="72"/>
      <c r="C393" s="72"/>
      <c r="D393" s="72"/>
      <c r="E393" s="72"/>
      <c r="F393" s="72"/>
      <c r="G393" s="72"/>
      <c r="H393" s="54"/>
      <c r="I393" s="34"/>
      <c r="J393" s="34"/>
      <c r="K393" s="34"/>
      <c r="L393" s="34"/>
      <c r="M393" s="28"/>
      <c r="N393" s="28"/>
      <c r="O393" s="28"/>
      <c r="P393" s="28"/>
      <c r="Q393" s="28"/>
      <c r="R393" s="28"/>
    </row>
    <row r="394" spans="1:18" ht="15">
      <c r="A394" s="377"/>
      <c r="B394" s="285" t="s">
        <v>67</v>
      </c>
      <c r="C394" s="257"/>
      <c r="D394" s="257"/>
      <c r="E394" s="257"/>
      <c r="F394" s="257"/>
      <c r="G394" s="257"/>
      <c r="H394" s="257"/>
      <c r="I394" s="82">
        <f aca="true" t="shared" si="5" ref="I394:N394">SUM(I333:I392)-SUM(I304:I329)</f>
        <v>44850</v>
      </c>
      <c r="J394" s="82">
        <f t="shared" si="5"/>
        <v>21600</v>
      </c>
      <c r="K394" s="82">
        <f t="shared" si="5"/>
        <v>41225</v>
      </c>
      <c r="L394" s="82">
        <f t="shared" si="5"/>
        <v>-19500</v>
      </c>
      <c r="M394" s="82">
        <f t="shared" si="5"/>
        <v>0</v>
      </c>
      <c r="N394" s="82">
        <f t="shared" si="5"/>
        <v>0</v>
      </c>
      <c r="O394" s="28"/>
      <c r="P394" s="28"/>
      <c r="Q394" s="28"/>
      <c r="R394" s="28"/>
    </row>
    <row r="395" spans="1:18" ht="18" customHeight="1" thickBot="1">
      <c r="A395" s="377"/>
      <c r="B395" s="28"/>
      <c r="C395" s="28"/>
      <c r="D395" s="28"/>
      <c r="E395" s="28"/>
      <c r="F395" s="28"/>
      <c r="G395" s="28"/>
      <c r="H395" s="28"/>
      <c r="I395" s="28"/>
      <c r="J395" s="28"/>
      <c r="K395" s="28"/>
      <c r="L395" s="28"/>
      <c r="M395" s="28"/>
      <c r="N395" s="28"/>
      <c r="O395" s="28"/>
      <c r="P395" s="28"/>
      <c r="Q395" s="28"/>
      <c r="R395" s="28"/>
    </row>
    <row r="396" spans="1:18" ht="31.5" customHeight="1">
      <c r="A396" s="465" t="s">
        <v>543</v>
      </c>
      <c r="B396" s="28"/>
      <c r="C396" s="28"/>
      <c r="D396" s="28"/>
      <c r="E396" s="28"/>
      <c r="F396" s="28"/>
      <c r="G396" s="28"/>
      <c r="H396" s="83" t="s">
        <v>56</v>
      </c>
      <c r="I396" s="632" t="str">
        <f>$I$41</f>
        <v>Keep Cows and buy Hay</v>
      </c>
      <c r="J396" s="632" t="str">
        <f>$J$41</f>
        <v>Keep Cows, Buy Straw &amp; Protein Supplement</v>
      </c>
      <c r="K396" s="632" t="str">
        <f>$K$41</f>
        <v>Keep Cows, Ship to Grazing</v>
      </c>
      <c r="L396" s="632" t="str">
        <f>$L$41</f>
        <v>Sell 100 Cows to Meet Forage Available</v>
      </c>
      <c r="M396" s="632" t="str">
        <f>M$41</f>
        <v>Description</v>
      </c>
      <c r="N396" s="632" t="str">
        <f>N$41</f>
        <v>Description</v>
      </c>
      <c r="O396" s="28"/>
      <c r="P396" s="28"/>
      <c r="Q396" s="28"/>
      <c r="R396" s="28"/>
    </row>
    <row r="397" spans="1:18" ht="12.75">
      <c r="A397" s="377"/>
      <c r="B397" s="28"/>
      <c r="C397" s="28"/>
      <c r="D397" s="28"/>
      <c r="E397" s="28"/>
      <c r="F397" s="28"/>
      <c r="G397" s="28"/>
      <c r="H397" s="84" t="s">
        <v>61</v>
      </c>
      <c r="I397" s="633"/>
      <c r="J397" s="633"/>
      <c r="K397" s="633"/>
      <c r="L397" s="633"/>
      <c r="M397" s="633"/>
      <c r="N397" s="633"/>
      <c r="O397" s="28"/>
      <c r="P397" s="28"/>
      <c r="Q397" s="28"/>
      <c r="R397" s="28"/>
    </row>
    <row r="398" spans="1:18" ht="12.75">
      <c r="A398" s="377"/>
      <c r="B398" s="41" t="s">
        <v>70</v>
      </c>
      <c r="C398" s="28"/>
      <c r="D398" s="28"/>
      <c r="E398" s="28"/>
      <c r="F398" s="28"/>
      <c r="G398" s="28"/>
      <c r="H398" s="85">
        <f>H177</f>
        <v>97457.99999999997</v>
      </c>
      <c r="I398" s="86">
        <f aca="true" t="shared" si="6" ref="I398:N398">IF(I40&gt;0,$H$177+I299-I394,0)</f>
        <v>52607.99999999997</v>
      </c>
      <c r="J398" s="86">
        <f t="shared" si="6"/>
        <v>75857.99999999997</v>
      </c>
      <c r="K398" s="86">
        <f t="shared" si="6"/>
        <v>56232.99999999997</v>
      </c>
      <c r="L398" s="86">
        <f t="shared" si="6"/>
        <v>52792.127999999975</v>
      </c>
      <c r="M398" s="86">
        <f t="shared" si="6"/>
        <v>0</v>
      </c>
      <c r="N398" s="86">
        <f t="shared" si="6"/>
        <v>0</v>
      </c>
      <c r="O398" s="28"/>
      <c r="P398" s="28"/>
      <c r="Q398" s="28"/>
      <c r="R398" s="28"/>
    </row>
    <row r="399" spans="1:18" ht="12.75">
      <c r="A399" s="377"/>
      <c r="B399" s="28"/>
      <c r="C399" s="28"/>
      <c r="D399" s="28"/>
      <c r="E399" s="28"/>
      <c r="F399" s="28"/>
      <c r="G399" s="28"/>
      <c r="H399" s="87"/>
      <c r="I399" s="34"/>
      <c r="J399" s="34"/>
      <c r="K399" s="34"/>
      <c r="L399" s="34"/>
      <c r="M399" s="34"/>
      <c r="N399" s="34"/>
      <c r="O399" s="28"/>
      <c r="P399" s="28"/>
      <c r="Q399" s="28"/>
      <c r="R399" s="28"/>
    </row>
    <row r="400" spans="1:18" ht="12.75">
      <c r="A400" s="377"/>
      <c r="B400" s="41" t="s">
        <v>62</v>
      </c>
      <c r="C400" s="28"/>
      <c r="D400" s="28"/>
      <c r="E400" s="28"/>
      <c r="F400" s="28"/>
      <c r="G400" s="28"/>
      <c r="H400" s="85">
        <f>H187</f>
        <v>57457.99999999997</v>
      </c>
      <c r="I400" s="86">
        <f aca="true" t="shared" si="7" ref="I400:N400">IF(I40&gt;0,$H$187+$H$183-I183+I299-I394,0)</f>
        <v>12607.99999999997</v>
      </c>
      <c r="J400" s="86">
        <f t="shared" si="7"/>
        <v>35857.99999999997</v>
      </c>
      <c r="K400" s="86">
        <f t="shared" si="7"/>
        <v>16232.99999999997</v>
      </c>
      <c r="L400" s="86">
        <f t="shared" si="7"/>
        <v>17792.127999999975</v>
      </c>
      <c r="M400" s="86">
        <f t="shared" si="7"/>
        <v>0</v>
      </c>
      <c r="N400" s="86">
        <f t="shared" si="7"/>
        <v>0</v>
      </c>
      <c r="O400" s="28"/>
      <c r="P400" s="28"/>
      <c r="Q400" s="28"/>
      <c r="R400" s="28"/>
    </row>
    <row r="401" spans="1:18" ht="12.75">
      <c r="A401" s="377"/>
      <c r="B401" s="28"/>
      <c r="C401" s="28"/>
      <c r="D401" s="28"/>
      <c r="E401" s="28"/>
      <c r="F401" s="28"/>
      <c r="G401" s="28"/>
      <c r="H401" s="87"/>
      <c r="I401" s="34"/>
      <c r="J401" s="34"/>
      <c r="K401" s="34"/>
      <c r="L401" s="34"/>
      <c r="M401" s="34"/>
      <c r="N401" s="34"/>
      <c r="O401" s="28"/>
      <c r="P401" s="28"/>
      <c r="Q401" s="28"/>
      <c r="R401" s="28"/>
    </row>
    <row r="402" spans="1:18" ht="13.5" thickBot="1">
      <c r="A402" s="377"/>
      <c r="B402" s="67" t="s">
        <v>63</v>
      </c>
      <c r="C402" s="28"/>
      <c r="D402" s="28"/>
      <c r="E402" s="28"/>
      <c r="F402" s="28"/>
      <c r="G402" s="28"/>
      <c r="H402" s="88">
        <f>H208</f>
        <v>86457.99999999997</v>
      </c>
      <c r="I402" s="300">
        <f aca="true" t="shared" si="8" ref="I402:N402">IF(I40&gt;0,$H$208-SUM($H$62:$H$64)+SUM(I62:I64)+SUM($H$191:$H$202)-SUM(I191:I202)+I299-I394,0)</f>
        <v>41607.99999999997</v>
      </c>
      <c r="J402" s="300">
        <f t="shared" si="8"/>
        <v>64857.99999999997</v>
      </c>
      <c r="K402" s="300">
        <f t="shared" si="8"/>
        <v>45232.99999999997</v>
      </c>
      <c r="L402" s="300">
        <f t="shared" si="8"/>
        <v>46292.127999999975</v>
      </c>
      <c r="M402" s="300">
        <f t="shared" si="8"/>
        <v>0</v>
      </c>
      <c r="N402" s="300">
        <f t="shared" si="8"/>
        <v>0</v>
      </c>
      <c r="O402" s="28"/>
      <c r="P402" s="28"/>
      <c r="Q402" s="28"/>
      <c r="R402" s="28"/>
    </row>
    <row r="403" spans="1:18" ht="12.75">
      <c r="A403" s="377"/>
      <c r="B403" s="28"/>
      <c r="C403" s="28"/>
      <c r="D403" s="28"/>
      <c r="E403" s="28"/>
      <c r="F403" s="28"/>
      <c r="G403" s="28"/>
      <c r="H403" s="28"/>
      <c r="I403" s="28"/>
      <c r="J403" s="28"/>
      <c r="K403" s="28"/>
      <c r="L403" s="28"/>
      <c r="M403" s="28"/>
      <c r="N403" s="28"/>
      <c r="O403" s="28"/>
      <c r="P403" s="28"/>
      <c r="Q403" s="28"/>
      <c r="R403" s="28"/>
    </row>
    <row r="404" spans="1:18" ht="12.75">
      <c r="A404" s="377"/>
      <c r="B404" s="28"/>
      <c r="C404" s="28"/>
      <c r="D404" s="28"/>
      <c r="E404" s="28"/>
      <c r="F404" s="28"/>
      <c r="G404" s="28"/>
      <c r="H404" s="28"/>
      <c r="I404" s="28"/>
      <c r="J404" s="28"/>
      <c r="K404" s="28"/>
      <c r="L404" s="28"/>
      <c r="M404" s="28"/>
      <c r="N404" s="28"/>
      <c r="O404" s="28"/>
      <c r="P404" s="28"/>
      <c r="Q404" s="28"/>
      <c r="R404" s="28"/>
    </row>
    <row r="405" spans="1:18" ht="12.75">
      <c r="A405" s="377"/>
      <c r="B405" s="28"/>
      <c r="C405" s="28"/>
      <c r="D405" s="28"/>
      <c r="E405" s="28"/>
      <c r="F405" s="28"/>
      <c r="G405" s="28"/>
      <c r="H405" s="28"/>
      <c r="I405" s="28"/>
      <c r="J405" s="28"/>
      <c r="K405" s="28"/>
      <c r="L405" s="28"/>
      <c r="M405" s="28"/>
      <c r="N405" s="28"/>
      <c r="O405" s="28"/>
      <c r="P405" s="28"/>
      <c r="Q405" s="28"/>
      <c r="R405" s="28"/>
    </row>
    <row r="406" spans="1:18" ht="12.75">
      <c r="A406" s="377"/>
      <c r="B406" s="28"/>
      <c r="C406" s="28"/>
      <c r="D406" s="28"/>
      <c r="E406" s="28"/>
      <c r="F406" s="28"/>
      <c r="G406" s="28"/>
      <c r="H406" s="28"/>
      <c r="I406" s="28"/>
      <c r="J406" s="28"/>
      <c r="K406" s="28"/>
      <c r="L406" s="28"/>
      <c r="M406" s="28"/>
      <c r="N406" s="28"/>
      <c r="O406" s="28"/>
      <c r="P406" s="28"/>
      <c r="Q406" s="28"/>
      <c r="R406" s="28"/>
    </row>
    <row r="407" spans="1:18" ht="12.75">
      <c r="A407" s="377"/>
      <c r="B407" s="28"/>
      <c r="C407" s="28"/>
      <c r="D407" s="28"/>
      <c r="E407" s="28"/>
      <c r="F407" s="28"/>
      <c r="G407" s="28"/>
      <c r="H407" s="28"/>
      <c r="I407" s="28"/>
      <c r="J407" s="28"/>
      <c r="K407" s="28"/>
      <c r="L407" s="28"/>
      <c r="M407" s="28"/>
      <c r="N407" s="28"/>
      <c r="O407" s="28"/>
      <c r="P407" s="28"/>
      <c r="Q407" s="28"/>
      <c r="R407" s="28"/>
    </row>
    <row r="408" spans="1:18" ht="12.75">
      <c r="A408" s="377"/>
      <c r="B408" s="28"/>
      <c r="C408" s="28"/>
      <c r="D408" s="28"/>
      <c r="E408" s="28"/>
      <c r="F408" s="28"/>
      <c r="G408" s="28"/>
      <c r="H408" s="28"/>
      <c r="I408" s="28"/>
      <c r="J408" s="28"/>
      <c r="K408" s="28"/>
      <c r="L408" s="28"/>
      <c r="M408" s="28"/>
      <c r="N408" s="28"/>
      <c r="O408" s="28"/>
      <c r="P408" s="28"/>
      <c r="Q408" s="28"/>
      <c r="R408" s="28"/>
    </row>
    <row r="409" spans="1:18" ht="12.75">
      <c r="A409" s="377"/>
      <c r="B409" s="28"/>
      <c r="C409" s="28"/>
      <c r="D409" s="28"/>
      <c r="E409" s="28"/>
      <c r="F409" s="28"/>
      <c r="G409" s="28"/>
      <c r="H409" s="28"/>
      <c r="I409" s="28"/>
      <c r="J409" s="28"/>
      <c r="K409" s="28"/>
      <c r="L409" s="28"/>
      <c r="M409" s="28"/>
      <c r="N409" s="28"/>
      <c r="O409" s="28"/>
      <c r="P409" s="28"/>
      <c r="Q409" s="28"/>
      <c r="R409" s="28"/>
    </row>
    <row r="410" spans="1:18" ht="12.75">
      <c r="A410" s="377"/>
      <c r="B410" s="28"/>
      <c r="C410" s="28"/>
      <c r="D410" s="28"/>
      <c r="E410" s="28"/>
      <c r="F410" s="28"/>
      <c r="G410" s="28"/>
      <c r="H410" s="28"/>
      <c r="I410" s="28"/>
      <c r="J410" s="28"/>
      <c r="K410" s="28"/>
      <c r="L410" s="28"/>
      <c r="M410" s="28"/>
      <c r="N410" s="28"/>
      <c r="O410" s="28"/>
      <c r="P410" s="28"/>
      <c r="Q410" s="28"/>
      <c r="R410" s="28"/>
    </row>
    <row r="411" spans="1:18" ht="12.75">
      <c r="A411" s="377"/>
      <c r="B411" s="28"/>
      <c r="C411" s="28"/>
      <c r="D411" s="28"/>
      <c r="E411" s="28"/>
      <c r="F411" s="28"/>
      <c r="G411" s="28"/>
      <c r="H411" s="28"/>
      <c r="I411" s="28"/>
      <c r="J411" s="28"/>
      <c r="K411" s="28"/>
      <c r="L411" s="28"/>
      <c r="M411" s="28"/>
      <c r="N411" s="28"/>
      <c r="O411" s="28"/>
      <c r="P411" s="28"/>
      <c r="Q411" s="28"/>
      <c r="R411" s="28"/>
    </row>
    <row r="412" spans="1:18" ht="12.75">
      <c r="A412" s="377"/>
      <c r="B412" s="28"/>
      <c r="C412" s="28"/>
      <c r="D412" s="28"/>
      <c r="E412" s="28"/>
      <c r="F412" s="28"/>
      <c r="G412" s="28"/>
      <c r="H412" s="28"/>
      <c r="I412" s="28"/>
      <c r="J412" s="28"/>
      <c r="K412" s="28"/>
      <c r="L412" s="28"/>
      <c r="M412" s="28"/>
      <c r="N412" s="28"/>
      <c r="O412" s="28"/>
      <c r="P412" s="28"/>
      <c r="Q412" s="28"/>
      <c r="R412" s="28"/>
    </row>
    <row r="413" spans="1:18" ht="12.75">
      <c r="A413" s="377"/>
      <c r="B413" s="28"/>
      <c r="C413" s="28"/>
      <c r="D413" s="28"/>
      <c r="E413" s="28"/>
      <c r="F413" s="28"/>
      <c r="G413" s="28"/>
      <c r="H413" s="28"/>
      <c r="I413" s="28"/>
      <c r="J413" s="28"/>
      <c r="K413" s="28"/>
      <c r="L413" s="28"/>
      <c r="M413" s="28"/>
      <c r="N413" s="28"/>
      <c r="O413" s="28"/>
      <c r="P413" s="28"/>
      <c r="Q413" s="28"/>
      <c r="R413" s="28"/>
    </row>
    <row r="414" spans="1:18" ht="12.75">
      <c r="A414" s="377"/>
      <c r="B414" s="28"/>
      <c r="C414" s="28"/>
      <c r="D414" s="28"/>
      <c r="E414" s="28"/>
      <c r="F414" s="28"/>
      <c r="G414" s="28"/>
      <c r="H414" s="28"/>
      <c r="I414" s="28"/>
      <c r="J414" s="28"/>
      <c r="K414" s="28"/>
      <c r="L414" s="28"/>
      <c r="M414" s="28"/>
      <c r="N414" s="28"/>
      <c r="O414" s="28"/>
      <c r="P414" s="28"/>
      <c r="Q414" s="28"/>
      <c r="R414" s="28"/>
    </row>
    <row r="415" spans="1:18" ht="12.75">
      <c r="A415" s="377"/>
      <c r="B415" s="28"/>
      <c r="C415" s="28"/>
      <c r="D415" s="28"/>
      <c r="E415" s="28"/>
      <c r="F415" s="28"/>
      <c r="G415" s="28"/>
      <c r="H415" s="28"/>
      <c r="I415" s="28"/>
      <c r="J415" s="28"/>
      <c r="K415" s="28"/>
      <c r="L415" s="28"/>
      <c r="M415" s="28"/>
      <c r="N415" s="28"/>
      <c r="O415" s="28"/>
      <c r="P415" s="28"/>
      <c r="Q415" s="28"/>
      <c r="R415" s="28"/>
    </row>
    <row r="420" ht="12.75">
      <c r="C420" s="360"/>
    </row>
    <row r="422" ht="12.75">
      <c r="C422" s="360"/>
    </row>
  </sheetData>
  <sheetProtection sheet="1" formatCells="0" formatColumns="0" formatRows="0"/>
  <mergeCells count="33">
    <mergeCell ref="M396:M397"/>
    <mergeCell ref="N396:N397"/>
    <mergeCell ref="I396:I397"/>
    <mergeCell ref="J396:J397"/>
    <mergeCell ref="K396:K397"/>
    <mergeCell ref="L396:L397"/>
    <mergeCell ref="L215:L216"/>
    <mergeCell ref="I302:I303"/>
    <mergeCell ref="L302:L303"/>
    <mergeCell ref="K215:K216"/>
    <mergeCell ref="J215:J216"/>
    <mergeCell ref="K302:K303"/>
    <mergeCell ref="N41:N42"/>
    <mergeCell ref="M180:M181"/>
    <mergeCell ref="N180:N181"/>
    <mergeCell ref="M41:M42"/>
    <mergeCell ref="L41:L42"/>
    <mergeCell ref="I180:I181"/>
    <mergeCell ref="J180:J181"/>
    <mergeCell ref="K180:K181"/>
    <mergeCell ref="L180:L181"/>
    <mergeCell ref="K41:K42"/>
    <mergeCell ref="I41:I42"/>
    <mergeCell ref="J41:J42"/>
    <mergeCell ref="M215:M216"/>
    <mergeCell ref="N215:N216"/>
    <mergeCell ref="M302:M303"/>
    <mergeCell ref="N302:N303"/>
    <mergeCell ref="B4:G4"/>
    <mergeCell ref="J302:J303"/>
    <mergeCell ref="I215:I216"/>
    <mergeCell ref="B190:H190"/>
    <mergeCell ref="D68:F68"/>
  </mergeCells>
  <printOptions/>
  <pageMargins left="0.75" right="0.75" top="1" bottom="1" header="0.5" footer="0.5"/>
  <pageSetup fitToHeight="1" fitToWidth="1" horizontalDpi="300" verticalDpi="300" orientation="landscape" scale="10" r:id="rId4"/>
  <drawing r:id="rId3"/>
  <legacyDrawing r:id="rId2"/>
</worksheet>
</file>

<file path=xl/worksheets/sheet5.xml><?xml version="1.0" encoding="utf-8"?>
<worksheet xmlns="http://schemas.openxmlformats.org/spreadsheetml/2006/main" xmlns:r="http://schemas.openxmlformats.org/officeDocument/2006/relationships">
  <sheetPr codeName="Sheet4"/>
  <dimension ref="A1:AC408"/>
  <sheetViews>
    <sheetView showGridLines="0" zoomScale="118" zoomScaleNormal="118" zoomScalePageLayoutView="0" workbookViewId="0" topLeftCell="A1">
      <selection activeCell="B2" sqref="B2"/>
    </sheetView>
  </sheetViews>
  <sheetFormatPr defaultColWidth="10.28125" defaultRowHeight="12.75"/>
  <cols>
    <col min="1" max="1" width="3.57421875" style="95" customWidth="1"/>
    <col min="2" max="2" width="23.7109375" style="95" customWidth="1"/>
    <col min="3" max="3" width="14.7109375" style="95" customWidth="1"/>
    <col min="4" max="4" width="17.7109375" style="95" customWidth="1"/>
    <col min="5" max="6" width="12.7109375" style="95" customWidth="1"/>
    <col min="7" max="8" width="11.7109375" style="95" customWidth="1"/>
    <col min="9" max="9" width="13.421875" style="95" customWidth="1"/>
    <col min="10" max="10" width="11.8515625" style="95" customWidth="1"/>
    <col min="11" max="11" width="35.140625" style="95" customWidth="1"/>
    <col min="12" max="29" width="9.7109375" style="95" customWidth="1"/>
    <col min="30" max="16384" width="10.28125" style="95" customWidth="1"/>
  </cols>
  <sheetData>
    <row r="1" spans="1:29" ht="15.75">
      <c r="A1" s="28"/>
      <c r="B1" s="310" t="s">
        <v>367</v>
      </c>
      <c r="C1" s="28"/>
      <c r="D1" s="28"/>
      <c r="E1" s="28"/>
      <c r="F1" s="34" t="s">
        <v>368</v>
      </c>
      <c r="G1" s="28"/>
      <c r="H1" s="28"/>
      <c r="I1" s="28"/>
      <c r="J1" s="28"/>
      <c r="K1"/>
      <c r="L1" t="s">
        <v>369</v>
      </c>
      <c r="M1"/>
      <c r="N1"/>
      <c r="O1"/>
      <c r="P1"/>
      <c r="Q1"/>
      <c r="R1"/>
      <c r="S1"/>
      <c r="T1"/>
      <c r="U1"/>
      <c r="V1"/>
      <c r="W1"/>
      <c r="X1"/>
      <c r="Y1"/>
      <c r="Z1"/>
      <c r="AA1"/>
      <c r="AB1"/>
      <c r="AC1"/>
    </row>
    <row r="2" spans="1:29" ht="15.75">
      <c r="A2" s="28"/>
      <c r="B2" s="28"/>
      <c r="C2" s="28"/>
      <c r="D2" s="28"/>
      <c r="E2" s="28"/>
      <c r="F2" s="34" t="s">
        <v>370</v>
      </c>
      <c r="G2" s="28"/>
      <c r="H2" s="28"/>
      <c r="I2" s="28"/>
      <c r="J2" s="28"/>
      <c r="K2"/>
      <c r="L2">
        <v>0</v>
      </c>
      <c r="M2"/>
      <c r="N2"/>
      <c r="O2"/>
      <c r="P2"/>
      <c r="Q2"/>
      <c r="R2"/>
      <c r="S2"/>
      <c r="T2"/>
      <c r="U2"/>
      <c r="V2"/>
      <c r="W2"/>
      <c r="X2"/>
      <c r="Y2"/>
      <c r="Z2"/>
      <c r="AA2"/>
      <c r="AB2"/>
      <c r="AC2"/>
    </row>
    <row r="3" spans="1:29" ht="15.75">
      <c r="A3" s="28"/>
      <c r="B3" s="38" t="s">
        <v>371</v>
      </c>
      <c r="C3" s="28"/>
      <c r="D3" s="28"/>
      <c r="E3" s="28"/>
      <c r="F3" s="34" t="s">
        <v>372</v>
      </c>
      <c r="G3" s="28"/>
      <c r="H3" s="28"/>
      <c r="I3" s="28"/>
      <c r="J3" s="28"/>
      <c r="K3"/>
      <c r="L3"/>
      <c r="M3"/>
      <c r="N3"/>
      <c r="O3"/>
      <c r="P3"/>
      <c r="Q3"/>
      <c r="R3"/>
      <c r="S3"/>
      <c r="T3"/>
      <c r="U3"/>
      <c r="V3"/>
      <c r="W3"/>
      <c r="X3"/>
      <c r="Y3"/>
      <c r="Z3"/>
      <c r="AA3"/>
      <c r="AB3"/>
      <c r="AC3"/>
    </row>
    <row r="4" spans="1:29" ht="15.75">
      <c r="A4" s="28"/>
      <c r="B4" s="38" t="s">
        <v>373</v>
      </c>
      <c r="C4" s="28"/>
      <c r="D4" s="28"/>
      <c r="E4" s="28"/>
      <c r="F4" s="34" t="s">
        <v>374</v>
      </c>
      <c r="G4" s="28"/>
      <c r="H4" s="28"/>
      <c r="I4" s="28"/>
      <c r="J4" s="28"/>
      <c r="K4"/>
      <c r="L4"/>
      <c r="M4"/>
      <c r="N4"/>
      <c r="O4"/>
      <c r="P4"/>
      <c r="Q4"/>
      <c r="R4"/>
      <c r="S4"/>
      <c r="T4"/>
      <c r="U4"/>
      <c r="V4"/>
      <c r="W4"/>
      <c r="X4"/>
      <c r="Y4"/>
      <c r="Z4"/>
      <c r="AA4"/>
      <c r="AB4"/>
      <c r="AC4"/>
    </row>
    <row r="5" spans="1:29" ht="15.75">
      <c r="A5" s="28"/>
      <c r="B5" s="38" t="s">
        <v>375</v>
      </c>
      <c r="C5" s="28"/>
      <c r="D5" s="28"/>
      <c r="E5" s="28"/>
      <c r="F5" s="28"/>
      <c r="G5" s="28"/>
      <c r="H5" s="28"/>
      <c r="I5" s="28"/>
      <c r="J5" s="28"/>
      <c r="K5"/>
      <c r="L5"/>
      <c r="M5"/>
      <c r="N5"/>
      <c r="O5"/>
      <c r="P5"/>
      <c r="Q5"/>
      <c r="R5"/>
      <c r="S5"/>
      <c r="T5"/>
      <c r="U5"/>
      <c r="V5"/>
      <c r="W5"/>
      <c r="X5"/>
      <c r="Y5"/>
      <c r="Z5"/>
      <c r="AA5"/>
      <c r="AB5"/>
      <c r="AC5"/>
    </row>
    <row r="6" spans="1:29" ht="15.75">
      <c r="A6" s="28"/>
      <c r="B6" s="38" t="s">
        <v>376</v>
      </c>
      <c r="C6" s="28"/>
      <c r="D6" s="28"/>
      <c r="E6" s="28"/>
      <c r="F6" s="28" t="s">
        <v>377</v>
      </c>
      <c r="G6" s="28"/>
      <c r="H6" s="28"/>
      <c r="I6" s="28"/>
      <c r="J6" s="28"/>
      <c r="K6"/>
      <c r="L6"/>
      <c r="M6"/>
      <c r="N6"/>
      <c r="O6"/>
      <c r="P6"/>
      <c r="Q6"/>
      <c r="R6"/>
      <c r="S6"/>
      <c r="T6"/>
      <c r="U6"/>
      <c r="V6"/>
      <c r="W6"/>
      <c r="X6"/>
      <c r="Y6"/>
      <c r="Z6"/>
      <c r="AA6"/>
      <c r="AB6"/>
      <c r="AC6"/>
    </row>
    <row r="7" spans="1:29" ht="15.75">
      <c r="A7" s="28"/>
      <c r="B7" s="38" t="s">
        <v>378</v>
      </c>
      <c r="C7" s="28"/>
      <c r="D7" s="28"/>
      <c r="E7" s="28"/>
      <c r="F7" s="28" t="s">
        <v>379</v>
      </c>
      <c r="G7" s="28"/>
      <c r="H7" s="28"/>
      <c r="I7" s="28"/>
      <c r="J7" s="28"/>
      <c r="K7"/>
      <c r="L7"/>
      <c r="M7"/>
      <c r="N7"/>
      <c r="O7"/>
      <c r="P7"/>
      <c r="Q7"/>
      <c r="R7"/>
      <c r="S7"/>
      <c r="T7"/>
      <c r="U7"/>
      <c r="V7"/>
      <c r="W7"/>
      <c r="X7"/>
      <c r="Y7"/>
      <c r="Z7"/>
      <c r="AA7"/>
      <c r="AB7"/>
      <c r="AC7"/>
    </row>
    <row r="8" spans="1:29" ht="15.75">
      <c r="A8" s="28"/>
      <c r="B8" s="38" t="s">
        <v>380</v>
      </c>
      <c r="C8" s="28"/>
      <c r="D8" s="28"/>
      <c r="E8" s="28"/>
      <c r="F8" s="28" t="s">
        <v>381</v>
      </c>
      <c r="G8" s="28"/>
      <c r="H8" s="28"/>
      <c r="I8" s="28"/>
      <c r="J8" s="28"/>
      <c r="K8"/>
      <c r="L8"/>
      <c r="M8"/>
      <c r="N8"/>
      <c r="O8"/>
      <c r="P8"/>
      <c r="Q8"/>
      <c r="R8"/>
      <c r="S8"/>
      <c r="T8"/>
      <c r="U8"/>
      <c r="V8"/>
      <c r="W8"/>
      <c r="X8"/>
      <c r="Y8"/>
      <c r="Z8"/>
      <c r="AA8"/>
      <c r="AB8"/>
      <c r="AC8"/>
    </row>
    <row r="9" spans="1:29" ht="15.75">
      <c r="A9" s="28"/>
      <c r="B9" s="28"/>
      <c r="C9" s="28"/>
      <c r="D9" s="28"/>
      <c r="E9" s="28"/>
      <c r="F9" s="28" t="s">
        <v>382</v>
      </c>
      <c r="G9" s="28"/>
      <c r="H9" s="28"/>
      <c r="I9" s="28"/>
      <c r="J9" s="28"/>
      <c r="K9"/>
      <c r="L9"/>
      <c r="M9"/>
      <c r="N9"/>
      <c r="O9"/>
      <c r="P9"/>
      <c r="Q9"/>
      <c r="R9"/>
      <c r="S9"/>
      <c r="T9"/>
      <c r="U9"/>
      <c r="V9"/>
      <c r="W9"/>
      <c r="X9"/>
      <c r="Y9"/>
      <c r="Z9"/>
      <c r="AA9"/>
      <c r="AB9"/>
      <c r="AC9"/>
    </row>
    <row r="10" spans="1:29" ht="15.75">
      <c r="A10" s="28"/>
      <c r="B10" s="38" t="s">
        <v>383</v>
      </c>
      <c r="C10" s="28"/>
      <c r="D10" s="28"/>
      <c r="E10" s="28"/>
      <c r="F10" s="28"/>
      <c r="G10" s="28"/>
      <c r="H10" s="28"/>
      <c r="I10" s="28"/>
      <c r="J10" s="28"/>
      <c r="K10"/>
      <c r="L10"/>
      <c r="M10"/>
      <c r="N10"/>
      <c r="O10"/>
      <c r="P10"/>
      <c r="Q10"/>
      <c r="R10"/>
      <c r="S10"/>
      <c r="T10"/>
      <c r="U10"/>
      <c r="V10"/>
      <c r="W10"/>
      <c r="X10"/>
      <c r="Y10"/>
      <c r="Z10"/>
      <c r="AA10"/>
      <c r="AB10"/>
      <c r="AC10"/>
    </row>
    <row r="11" spans="1:29" ht="16.5" thickBot="1">
      <c r="A11" s="28"/>
      <c r="B11" s="28"/>
      <c r="C11" s="28"/>
      <c r="D11" s="28"/>
      <c r="E11" s="28"/>
      <c r="F11" s="28"/>
      <c r="G11" s="28"/>
      <c r="H11" s="28"/>
      <c r="I11" s="28"/>
      <c r="J11" s="28"/>
      <c r="K11"/>
      <c r="L11"/>
      <c r="M11"/>
      <c r="N11"/>
      <c r="O11"/>
      <c r="P11"/>
      <c r="Q11"/>
      <c r="R11"/>
      <c r="S11"/>
      <c r="T11"/>
      <c r="U11"/>
      <c r="V11"/>
      <c r="W11"/>
      <c r="X11"/>
      <c r="Y11"/>
      <c r="Z11"/>
      <c r="AA11"/>
      <c r="AB11"/>
      <c r="AC11"/>
    </row>
    <row r="12" spans="1:29" ht="15.75">
      <c r="A12" s="28"/>
      <c r="B12" s="38" t="s">
        <v>384</v>
      </c>
      <c r="C12" s="403">
        <v>400000</v>
      </c>
      <c r="D12" s="28"/>
      <c r="E12" s="28"/>
      <c r="F12" s="28"/>
      <c r="G12" s="28"/>
      <c r="H12" s="28"/>
      <c r="I12" s="28"/>
      <c r="J12" s="28"/>
      <c r="K12"/>
      <c r="L12"/>
      <c r="M12"/>
      <c r="N12"/>
      <c r="O12"/>
      <c r="P12"/>
      <c r="Q12"/>
      <c r="R12"/>
      <c r="S12"/>
      <c r="T12"/>
      <c r="U12"/>
      <c r="V12"/>
      <c r="W12"/>
      <c r="X12"/>
      <c r="Y12"/>
      <c r="Z12"/>
      <c r="AA12"/>
      <c r="AB12"/>
      <c r="AC12"/>
    </row>
    <row r="13" spans="1:29" ht="15.75">
      <c r="A13" s="28"/>
      <c r="B13" s="38" t="s">
        <v>385</v>
      </c>
      <c r="C13" s="311">
        <v>0.05</v>
      </c>
      <c r="D13" s="28"/>
      <c r="E13" s="28"/>
      <c r="F13" s="28"/>
      <c r="G13" s="28"/>
      <c r="H13" s="28"/>
      <c r="I13" s="28"/>
      <c r="J13" s="28"/>
      <c r="K13"/>
      <c r="L13"/>
      <c r="M13"/>
      <c r="N13"/>
      <c r="O13"/>
      <c r="P13"/>
      <c r="Q13"/>
      <c r="R13"/>
      <c r="S13"/>
      <c r="T13"/>
      <c r="U13"/>
      <c r="V13"/>
      <c r="W13"/>
      <c r="X13"/>
      <c r="Y13"/>
      <c r="Z13"/>
      <c r="AA13"/>
      <c r="AB13"/>
      <c r="AC13"/>
    </row>
    <row r="14" spans="1:29" ht="15.75">
      <c r="A14" s="28"/>
      <c r="B14" s="38" t="s">
        <v>386</v>
      </c>
      <c r="C14" s="312">
        <v>30</v>
      </c>
      <c r="D14" s="28"/>
      <c r="E14" s="28"/>
      <c r="F14" s="28"/>
      <c r="G14" s="28"/>
      <c r="H14" s="28"/>
      <c r="I14" s="28"/>
      <c r="J14" s="28"/>
      <c r="K14"/>
      <c r="L14"/>
      <c r="M14"/>
      <c r="N14"/>
      <c r="O14"/>
      <c r="P14"/>
      <c r="Q14"/>
      <c r="R14"/>
      <c r="S14"/>
      <c r="T14"/>
      <c r="U14"/>
      <c r="V14"/>
      <c r="W14"/>
      <c r="X14"/>
      <c r="Y14"/>
      <c r="Z14"/>
      <c r="AA14"/>
      <c r="AB14"/>
      <c r="AC14"/>
    </row>
    <row r="15" spans="1:29" ht="15.75">
      <c r="A15" s="28"/>
      <c r="B15" s="38" t="s">
        <v>387</v>
      </c>
      <c r="C15" s="312">
        <v>1</v>
      </c>
      <c r="D15" s="28"/>
      <c r="E15" s="28"/>
      <c r="F15" s="28"/>
      <c r="G15" s="28"/>
      <c r="H15" s="28"/>
      <c r="I15" s="28"/>
      <c r="J15" s="28"/>
      <c r="K15"/>
      <c r="L15"/>
      <c r="M15"/>
      <c r="N15"/>
      <c r="O15"/>
      <c r="P15"/>
      <c r="Q15"/>
      <c r="R15"/>
      <c r="S15"/>
      <c r="T15"/>
      <c r="U15"/>
      <c r="V15"/>
      <c r="W15"/>
      <c r="X15"/>
      <c r="Y15"/>
      <c r="Z15"/>
      <c r="AA15"/>
      <c r="AB15"/>
      <c r="AC15"/>
    </row>
    <row r="16" spans="1:29" ht="15.75">
      <c r="A16" s="28"/>
      <c r="B16" s="38" t="s">
        <v>388</v>
      </c>
      <c r="C16" s="313"/>
      <c r="D16" s="28"/>
      <c r="E16" s="28"/>
      <c r="F16" s="28"/>
      <c r="G16" s="28"/>
      <c r="H16" s="28"/>
      <c r="I16" s="28"/>
      <c r="J16" s="28"/>
      <c r="K16"/>
      <c r="L16"/>
      <c r="M16"/>
      <c r="N16"/>
      <c r="O16"/>
      <c r="P16"/>
      <c r="Q16"/>
      <c r="R16"/>
      <c r="S16"/>
      <c r="T16"/>
      <c r="U16"/>
      <c r="V16"/>
      <c r="W16"/>
      <c r="X16"/>
      <c r="Y16"/>
      <c r="Z16"/>
      <c r="AA16"/>
      <c r="AB16"/>
      <c r="AC16"/>
    </row>
    <row r="17" spans="1:29" ht="16.5" thickBot="1">
      <c r="A17" s="28"/>
      <c r="B17" s="314" t="s">
        <v>389</v>
      </c>
      <c r="C17" s="315">
        <v>11</v>
      </c>
      <c r="D17" s="316"/>
      <c r="E17" s="316"/>
      <c r="F17" s="316"/>
      <c r="G17" s="28"/>
      <c r="H17" s="28"/>
      <c r="I17" s="28"/>
      <c r="J17" s="28"/>
      <c r="K17"/>
      <c r="L17"/>
      <c r="M17"/>
      <c r="N17"/>
      <c r="O17"/>
      <c r="P17"/>
      <c r="Q17"/>
      <c r="R17"/>
      <c r="S17"/>
      <c r="T17"/>
      <c r="U17"/>
      <c r="V17"/>
      <c r="W17"/>
      <c r="X17"/>
      <c r="Y17"/>
      <c r="Z17"/>
      <c r="AA17"/>
      <c r="AB17"/>
      <c r="AC17"/>
    </row>
    <row r="18" spans="1:29" ht="15.75">
      <c r="A18" s="28"/>
      <c r="B18" s="38" t="s">
        <v>390</v>
      </c>
      <c r="C18" s="317">
        <v>0</v>
      </c>
      <c r="D18" s="310" t="s">
        <v>391</v>
      </c>
      <c r="E18" s="28"/>
      <c r="F18" s="28"/>
      <c r="G18" s="28"/>
      <c r="H18" s="28"/>
      <c r="I18" s="28"/>
      <c r="J18" s="28"/>
      <c r="K18"/>
      <c r="L18"/>
      <c r="M18"/>
      <c r="N18"/>
      <c r="O18"/>
      <c r="P18"/>
      <c r="Q18"/>
      <c r="R18"/>
      <c r="S18"/>
      <c r="T18"/>
      <c r="U18"/>
      <c r="V18"/>
      <c r="W18"/>
      <c r="X18"/>
      <c r="Y18"/>
      <c r="Z18"/>
      <c r="AA18"/>
      <c r="AB18"/>
      <c r="AC18"/>
    </row>
    <row r="19" spans="1:29" ht="15.75">
      <c r="A19" s="28"/>
      <c r="B19" s="38" t="s">
        <v>392</v>
      </c>
      <c r="C19" s="312">
        <v>1</v>
      </c>
      <c r="D19" s="28" t="s">
        <v>393</v>
      </c>
      <c r="E19" s="28"/>
      <c r="F19" s="28"/>
      <c r="G19" s="28"/>
      <c r="H19" s="28"/>
      <c r="I19" s="28"/>
      <c r="J19" s="28"/>
      <c r="K19"/>
      <c r="L19"/>
      <c r="M19"/>
      <c r="N19"/>
      <c r="O19"/>
      <c r="P19"/>
      <c r="Q19"/>
      <c r="R19"/>
      <c r="S19"/>
      <c r="T19"/>
      <c r="U19"/>
      <c r="V19"/>
      <c r="W19"/>
      <c r="X19"/>
      <c r="Y19"/>
      <c r="Z19"/>
      <c r="AA19"/>
      <c r="AB19"/>
      <c r="AC19"/>
    </row>
    <row r="20" spans="1:29" ht="16.5" thickBot="1">
      <c r="A20" s="28"/>
      <c r="B20" s="38" t="s">
        <v>394</v>
      </c>
      <c r="C20" s="315">
        <v>1</v>
      </c>
      <c r="D20" s="28"/>
      <c r="E20" s="28"/>
      <c r="F20" s="28"/>
      <c r="G20" s="28"/>
      <c r="H20" s="28"/>
      <c r="I20" s="28"/>
      <c r="J20" s="28"/>
      <c r="K20"/>
      <c r="L20"/>
      <c r="M20"/>
      <c r="N20"/>
      <c r="O20"/>
      <c r="P20"/>
      <c r="Q20"/>
      <c r="R20"/>
      <c r="S20"/>
      <c r="T20"/>
      <c r="U20"/>
      <c r="V20"/>
      <c r="W20"/>
      <c r="X20"/>
      <c r="Y20"/>
      <c r="Z20"/>
      <c r="AA20"/>
      <c r="AB20"/>
      <c r="AC20"/>
    </row>
    <row r="21" spans="1:29" ht="15.75">
      <c r="A21" s="28"/>
      <c r="B21" s="318" t="s">
        <v>395</v>
      </c>
      <c r="C21" s="319"/>
      <c r="D21" s="319"/>
      <c r="E21" s="319"/>
      <c r="F21" s="319"/>
      <c r="G21" s="319"/>
      <c r="H21" s="28"/>
      <c r="I21" s="28"/>
      <c r="J21" s="28"/>
      <c r="K21"/>
      <c r="L21"/>
      <c r="M21"/>
      <c r="N21"/>
      <c r="O21"/>
      <c r="P21"/>
      <c r="Q21"/>
      <c r="R21"/>
      <c r="S21"/>
      <c r="T21"/>
      <c r="U21"/>
      <c r="V21"/>
      <c r="W21"/>
      <c r="X21"/>
      <c r="Y21"/>
      <c r="Z21"/>
      <c r="AA21"/>
      <c r="AB21"/>
      <c r="AC21"/>
    </row>
    <row r="22" spans="1:29" ht="15.75">
      <c r="A22" s="28"/>
      <c r="B22" s="28"/>
      <c r="C22" s="28"/>
      <c r="D22" s="28"/>
      <c r="E22" s="28"/>
      <c r="F22" s="28"/>
      <c r="G22" s="28"/>
      <c r="H22" s="28"/>
      <c r="I22" s="28"/>
      <c r="J22" s="28"/>
      <c r="K22"/>
      <c r="L22"/>
      <c r="M22"/>
      <c r="N22"/>
      <c r="O22"/>
      <c r="P22"/>
      <c r="Q22"/>
      <c r="R22"/>
      <c r="S22"/>
      <c r="T22"/>
      <c r="U22"/>
      <c r="V22"/>
      <c r="W22"/>
      <c r="X22"/>
      <c r="Y22"/>
      <c r="Z22"/>
      <c r="AA22"/>
      <c r="AB22"/>
      <c r="AC22"/>
    </row>
    <row r="23" spans="1:29" ht="15.75">
      <c r="A23" s="28"/>
      <c r="B23" s="320" t="s">
        <v>396</v>
      </c>
      <c r="C23" s="321"/>
      <c r="D23" s="644" t="s">
        <v>397</v>
      </c>
      <c r="E23" s="645"/>
      <c r="F23" s="646"/>
      <c r="G23" s="28"/>
      <c r="H23" s="28"/>
      <c r="I23" s="28"/>
      <c r="J23" s="28"/>
      <c r="K23"/>
      <c r="L23"/>
      <c r="M23"/>
      <c r="N23"/>
      <c r="O23"/>
      <c r="P23"/>
      <c r="Q23"/>
      <c r="R23"/>
      <c r="S23"/>
      <c r="T23"/>
      <c r="U23"/>
      <c r="V23"/>
      <c r="W23"/>
      <c r="X23"/>
      <c r="Y23"/>
      <c r="Z23"/>
      <c r="AA23"/>
      <c r="AB23"/>
      <c r="AC23"/>
    </row>
    <row r="24" spans="1:29" ht="15.75">
      <c r="A24" s="28"/>
      <c r="B24" s="38" t="s">
        <v>398</v>
      </c>
      <c r="C24" s="322">
        <f>PMT((C13/C15),C15*C14,-C12)</f>
        <v>26020.57403211063</v>
      </c>
      <c r="D24" s="323" t="s">
        <v>399</v>
      </c>
      <c r="E24" s="324">
        <f>IF(C18&gt;0,(DMIN(B36:H396,1,L1:L2)/C15),"")</f>
      </c>
      <c r="F24" s="28"/>
      <c r="G24" s="28"/>
      <c r="H24" s="28"/>
      <c r="I24" s="28"/>
      <c r="J24" s="28"/>
      <c r="K24"/>
      <c r="L24"/>
      <c r="M24"/>
      <c r="N24"/>
      <c r="O24"/>
      <c r="P24"/>
      <c r="Q24"/>
      <c r="R24"/>
      <c r="S24"/>
      <c r="T24"/>
      <c r="U24"/>
      <c r="V24"/>
      <c r="W24"/>
      <c r="X24"/>
      <c r="Y24"/>
      <c r="Z24"/>
      <c r="AA24"/>
      <c r="AB24"/>
      <c r="AC24"/>
    </row>
    <row r="25" spans="1:29" ht="15.75">
      <c r="A25" s="28"/>
      <c r="B25" s="38" t="s">
        <v>400</v>
      </c>
      <c r="C25" s="325">
        <f>SUM(J37:J396)</f>
        <v>380617.22096331924</v>
      </c>
      <c r="D25" s="326" t="s">
        <v>401</v>
      </c>
      <c r="E25" s="327">
        <f>IF(C18&gt;0,(SUM(G37:G396)),"")</f>
      </c>
      <c r="F25" s="28"/>
      <c r="G25" s="28"/>
      <c r="H25" s="28"/>
      <c r="I25" s="28"/>
      <c r="J25" s="28"/>
      <c r="K25"/>
      <c r="L25"/>
      <c r="M25"/>
      <c r="N25"/>
      <c r="O25"/>
      <c r="P25"/>
      <c r="Q25"/>
      <c r="R25"/>
      <c r="S25"/>
      <c r="T25"/>
      <c r="U25"/>
      <c r="V25"/>
      <c r="W25"/>
      <c r="X25"/>
      <c r="Y25"/>
      <c r="Z25"/>
      <c r="AA25"/>
      <c r="AB25"/>
      <c r="AC25"/>
    </row>
    <row r="26" spans="1:29" ht="15.75">
      <c r="A26" s="28"/>
      <c r="B26" s="33"/>
      <c r="C26" s="328"/>
      <c r="D26" s="329" t="s">
        <v>402</v>
      </c>
      <c r="E26" s="330">
        <f>IF(C18&gt;0,(C25-E25),"")</f>
      </c>
      <c r="F26" s="33"/>
      <c r="G26" s="33"/>
      <c r="H26" s="33"/>
      <c r="I26" s="33"/>
      <c r="J26" s="33"/>
      <c r="K26"/>
      <c r="L26"/>
      <c r="M26"/>
      <c r="N26"/>
      <c r="O26"/>
      <c r="P26"/>
      <c r="Q26"/>
      <c r="R26"/>
      <c r="S26"/>
      <c r="T26"/>
      <c r="U26"/>
      <c r="V26"/>
      <c r="W26"/>
      <c r="X26"/>
      <c r="Y26"/>
      <c r="Z26"/>
      <c r="AA26"/>
      <c r="AB26"/>
      <c r="AC26"/>
    </row>
    <row r="27" spans="1:29" ht="15.75">
      <c r="A27" s="28"/>
      <c r="B27" s="38" t="s">
        <v>403</v>
      </c>
      <c r="C27" s="28"/>
      <c r="D27" s="28"/>
      <c r="E27" s="28"/>
      <c r="F27" s="28"/>
      <c r="G27" s="28"/>
      <c r="H27" s="28"/>
      <c r="I27" s="28"/>
      <c r="J27" s="28"/>
      <c r="K27"/>
      <c r="L27"/>
      <c r="M27"/>
      <c r="N27"/>
      <c r="O27"/>
      <c r="P27"/>
      <c r="Q27"/>
      <c r="R27"/>
      <c r="S27"/>
      <c r="T27"/>
      <c r="U27"/>
      <c r="V27"/>
      <c r="W27"/>
      <c r="X27"/>
      <c r="Y27"/>
      <c r="Z27"/>
      <c r="AA27"/>
      <c r="AB27"/>
      <c r="AC27"/>
    </row>
    <row r="28" spans="1:29" ht="15.75">
      <c r="A28" s="28"/>
      <c r="B28" s="28"/>
      <c r="C28" s="28"/>
      <c r="D28" s="28"/>
      <c r="E28" s="28"/>
      <c r="F28" s="28"/>
      <c r="G28" s="28"/>
      <c r="H28" s="28"/>
      <c r="I28" s="28"/>
      <c r="J28" s="28"/>
      <c r="K28"/>
      <c r="L28"/>
      <c r="M28"/>
      <c r="N28"/>
      <c r="O28"/>
      <c r="P28"/>
      <c r="Q28"/>
      <c r="R28"/>
      <c r="S28"/>
      <c r="T28"/>
      <c r="U28"/>
      <c r="V28"/>
      <c r="W28"/>
      <c r="X28"/>
      <c r="Y28"/>
      <c r="Z28"/>
      <c r="AA28"/>
      <c r="AB28"/>
      <c r="AC28"/>
    </row>
    <row r="29" spans="1:29" ht="15.75">
      <c r="A29" s="28"/>
      <c r="B29" s="323" t="s">
        <v>404</v>
      </c>
      <c r="C29" s="331">
        <f>C12</f>
        <v>400000</v>
      </c>
      <c r="D29" s="332" t="s">
        <v>398</v>
      </c>
      <c r="E29" s="333">
        <f>C24</f>
        <v>26020.57403211063</v>
      </c>
      <c r="F29" s="334">
        <f>C15</f>
        <v>1</v>
      </c>
      <c r="G29" s="335" t="s">
        <v>405</v>
      </c>
      <c r="H29" s="28"/>
      <c r="I29" s="28"/>
      <c r="J29" s="28"/>
      <c r="K29"/>
      <c r="L29"/>
      <c r="M29"/>
      <c r="N29"/>
      <c r="O29"/>
      <c r="P29"/>
      <c r="Q29"/>
      <c r="R29"/>
      <c r="S29"/>
      <c r="T29"/>
      <c r="U29"/>
      <c r="V29"/>
      <c r="W29"/>
      <c r="X29"/>
      <c r="Y29"/>
      <c r="Z29"/>
      <c r="AA29"/>
      <c r="AB29"/>
      <c r="AC29"/>
    </row>
    <row r="30" spans="1:29" ht="15.75">
      <c r="A30" s="28"/>
      <c r="B30" s="326" t="s">
        <v>406</v>
      </c>
      <c r="C30" s="336">
        <f>C13</f>
        <v>0.05</v>
      </c>
      <c r="D30" s="49" t="s">
        <v>407</v>
      </c>
      <c r="E30" s="337">
        <f>IF(C18=0,C25,C25-E26)</f>
        <v>380617.22096331924</v>
      </c>
      <c r="F30" s="338">
        <f>C14</f>
        <v>30</v>
      </c>
      <c r="G30" s="339" t="s">
        <v>72</v>
      </c>
      <c r="H30" s="28"/>
      <c r="I30" s="28"/>
      <c r="J30"/>
      <c r="K30"/>
      <c r="L30"/>
      <c r="M30"/>
      <c r="N30"/>
      <c r="O30"/>
      <c r="P30"/>
      <c r="Q30"/>
      <c r="R30"/>
      <c r="S30"/>
      <c r="T30"/>
      <c r="U30"/>
      <c r="V30"/>
      <c r="W30"/>
      <c r="X30"/>
      <c r="Y30"/>
      <c r="Z30"/>
      <c r="AA30"/>
      <c r="AB30"/>
      <c r="AC30"/>
    </row>
    <row r="31" spans="1:29" ht="15.75">
      <c r="A31" s="28"/>
      <c r="B31" s="340"/>
      <c r="C31" s="33"/>
      <c r="D31" s="33"/>
      <c r="E31" s="33"/>
      <c r="F31" s="341">
        <f>C17</f>
        <v>11</v>
      </c>
      <c r="G31" s="342" t="s">
        <v>408</v>
      </c>
      <c r="H31" s="28"/>
      <c r="I31" s="28"/>
      <c r="J31"/>
      <c r="K31"/>
      <c r="L31"/>
      <c r="M31"/>
      <c r="N31"/>
      <c r="O31"/>
      <c r="P31"/>
      <c r="Q31"/>
      <c r="R31"/>
      <c r="S31"/>
      <c r="T31"/>
      <c r="U31"/>
      <c r="V31"/>
      <c r="W31"/>
      <c r="X31"/>
      <c r="Y31"/>
      <c r="Z31"/>
      <c r="AA31"/>
      <c r="AB31"/>
      <c r="AC31"/>
    </row>
    <row r="32" spans="1:29" ht="15.75">
      <c r="A32" s="28"/>
      <c r="B32" s="37"/>
      <c r="C32" s="37"/>
      <c r="D32" s="37"/>
      <c r="E32" s="343"/>
      <c r="F32" s="37"/>
      <c r="G32" s="37"/>
      <c r="H32" s="34"/>
      <c r="I32" s="34"/>
      <c r="J32" s="37" t="s">
        <v>409</v>
      </c>
      <c r="K32"/>
      <c r="L32"/>
      <c r="M32"/>
      <c r="N32"/>
      <c r="O32"/>
      <c r="P32"/>
      <c r="Q32"/>
      <c r="R32"/>
      <c r="S32"/>
      <c r="T32"/>
      <c r="U32"/>
      <c r="V32"/>
      <c r="W32"/>
      <c r="X32"/>
      <c r="Y32"/>
      <c r="Z32"/>
      <c r="AA32"/>
      <c r="AB32"/>
      <c r="AC32"/>
    </row>
    <row r="33" spans="1:29" ht="15.75">
      <c r="A33" s="28"/>
      <c r="B33" s="37"/>
      <c r="C33" s="37"/>
      <c r="D33" s="37"/>
      <c r="E33" s="343"/>
      <c r="F33" s="37"/>
      <c r="G33" s="37"/>
      <c r="H33" s="34"/>
      <c r="I33" s="34"/>
      <c r="J33" s="37" t="s">
        <v>410</v>
      </c>
      <c r="K33"/>
      <c r="L33"/>
      <c r="M33"/>
      <c r="N33"/>
      <c r="O33"/>
      <c r="P33"/>
      <c r="Q33"/>
      <c r="R33"/>
      <c r="S33"/>
      <c r="T33"/>
      <c r="U33"/>
      <c r="V33"/>
      <c r="W33"/>
      <c r="X33"/>
      <c r="Y33"/>
      <c r="Z33"/>
      <c r="AA33"/>
      <c r="AB33"/>
      <c r="AC33"/>
    </row>
    <row r="34" spans="1:29" ht="15.75">
      <c r="A34" s="28"/>
      <c r="B34" s="34"/>
      <c r="C34" s="34"/>
      <c r="D34" s="34"/>
      <c r="E34" s="34"/>
      <c r="F34" s="34"/>
      <c r="G34" s="34"/>
      <c r="H34" s="34"/>
      <c r="I34" s="34" t="s">
        <v>411</v>
      </c>
      <c r="J34" s="37" t="s">
        <v>412</v>
      </c>
      <c r="K34"/>
      <c r="L34"/>
      <c r="M34"/>
      <c r="N34"/>
      <c r="O34" s="2"/>
      <c r="P34" s="2"/>
      <c r="Q34" s="2"/>
      <c r="R34"/>
      <c r="S34"/>
      <c r="T34"/>
      <c r="U34"/>
      <c r="V34"/>
      <c r="W34"/>
      <c r="X34"/>
      <c r="Y34"/>
      <c r="Z34"/>
      <c r="AA34"/>
      <c r="AB34"/>
      <c r="AC34"/>
    </row>
    <row r="35" spans="1:29" ht="15.75">
      <c r="A35" s="28"/>
      <c r="B35" s="34"/>
      <c r="C35" s="34" t="s">
        <v>413</v>
      </c>
      <c r="D35" s="34" t="s">
        <v>414</v>
      </c>
      <c r="E35" s="34" t="s">
        <v>415</v>
      </c>
      <c r="F35" s="34" t="s">
        <v>416</v>
      </c>
      <c r="G35" s="34" t="s">
        <v>417</v>
      </c>
      <c r="H35" s="34" t="s">
        <v>416</v>
      </c>
      <c r="I35" s="34" t="s">
        <v>418</v>
      </c>
      <c r="J35" s="37" t="s">
        <v>419</v>
      </c>
      <c r="K35"/>
      <c r="L35"/>
      <c r="M35"/>
      <c r="N35"/>
      <c r="O35" s="2"/>
      <c r="P35" s="2"/>
      <c r="Q35" s="148"/>
      <c r="R35"/>
      <c r="S35"/>
      <c r="T35"/>
      <c r="U35"/>
      <c r="V35"/>
      <c r="W35"/>
      <c r="X35"/>
      <c r="Y35"/>
      <c r="Z35"/>
      <c r="AA35"/>
      <c r="AB35"/>
      <c r="AC35"/>
    </row>
    <row r="36" spans="1:29" ht="16.5" thickBot="1">
      <c r="A36" s="28"/>
      <c r="B36" s="344" t="s">
        <v>420</v>
      </c>
      <c r="C36" s="344" t="s">
        <v>421</v>
      </c>
      <c r="D36" s="344" t="s">
        <v>422</v>
      </c>
      <c r="E36" s="344" t="s">
        <v>423</v>
      </c>
      <c r="F36" s="344" t="s">
        <v>413</v>
      </c>
      <c r="G36" s="344" t="s">
        <v>421</v>
      </c>
      <c r="H36" s="344" t="s">
        <v>417</v>
      </c>
      <c r="I36" s="344" t="s">
        <v>414</v>
      </c>
      <c r="J36" s="345" t="s">
        <v>424</v>
      </c>
      <c r="K36"/>
      <c r="L36"/>
      <c r="M36"/>
      <c r="N36"/>
      <c r="O36" s="2"/>
      <c r="P36" s="139"/>
      <c r="Q36" s="148"/>
      <c r="R36"/>
      <c r="S36"/>
      <c r="T36"/>
      <c r="U36"/>
      <c r="V36"/>
      <c r="W36"/>
      <c r="X36"/>
      <c r="Y36"/>
      <c r="Z36"/>
      <c r="AA36"/>
      <c r="AB36"/>
      <c r="AC36"/>
    </row>
    <row r="37" spans="1:29" ht="15.75">
      <c r="A37" s="28"/>
      <c r="B37" s="346">
        <v>1</v>
      </c>
      <c r="C37" s="347">
        <f>$C$24-G37</f>
        <v>6020.574032110631</v>
      </c>
      <c r="D37" s="347">
        <f>IF($C$20&lt;=B37,IF(MOD($B37,$C$19)=0,$C$18,0),0)</f>
        <v>0</v>
      </c>
      <c r="E37" s="347">
        <f>$C$12-($C$24-($C$12*($C$13/$C$15)))-D37</f>
        <v>393979.4259678894</v>
      </c>
      <c r="F37" s="347">
        <f>C37+D37</f>
        <v>6020.574032110631</v>
      </c>
      <c r="G37" s="347">
        <f>$C$12*($C$13/$C$15)</f>
        <v>20000</v>
      </c>
      <c r="H37" s="347">
        <f>G37</f>
        <v>20000</v>
      </c>
      <c r="I37" s="347">
        <f>$C$12-($C$24-($C$12*($C$13/$C$15)))</f>
        <v>393979.4259678894</v>
      </c>
      <c r="J37" s="347">
        <f>$C$12*($C$13/$C$15)</f>
        <v>20000</v>
      </c>
      <c r="K37"/>
      <c r="L37"/>
      <c r="M37"/>
      <c r="N37"/>
      <c r="O37" s="2"/>
      <c r="P37" s="2"/>
      <c r="Q37" s="2"/>
      <c r="R37"/>
      <c r="S37"/>
      <c r="T37"/>
      <c r="U37"/>
      <c r="V37"/>
      <c r="W37"/>
      <c r="X37"/>
      <c r="Y37"/>
      <c r="Z37"/>
      <c r="AA37"/>
      <c r="AB37"/>
      <c r="AC37"/>
    </row>
    <row r="38" spans="1:29" ht="15.75">
      <c r="A38" s="28"/>
      <c r="B38" s="346">
        <f aca="true" t="shared" si="0" ref="B38:B101">1+B37</f>
        <v>2</v>
      </c>
      <c r="C38" s="347">
        <f aca="true" t="shared" si="1" ref="C38:C101">IF((E37&lt;$C$24-G38),E37,$C$24-G38)</f>
        <v>6321.602733716161</v>
      </c>
      <c r="D38" s="347">
        <f aca="true" t="shared" si="2" ref="D38:D101">IF(AND($C$20&lt;=B38,E37&gt;C38+$C$18),IF(MOD($B38,$C$19)=0,$C$18,0),0)</f>
        <v>0</v>
      </c>
      <c r="E38" s="347">
        <f aca="true" t="shared" si="3" ref="E38:E101">IF(E37-C38&lt;=1,0,E37-C38-D38)</f>
        <v>387657.82323417324</v>
      </c>
      <c r="F38" s="347">
        <f aca="true" t="shared" si="4" ref="F38:F101">F37+C38+D38</f>
        <v>12342.176765826793</v>
      </c>
      <c r="G38" s="347">
        <f aca="true" t="shared" si="5" ref="G38:G101">E37*($C$13/$C$15)</f>
        <v>19698.97129839447</v>
      </c>
      <c r="H38" s="347">
        <f aca="true" t="shared" si="6" ref="H38:H101">H37+G38</f>
        <v>39698.97129839447</v>
      </c>
      <c r="I38" s="347">
        <f aca="true" t="shared" si="7" ref="I38:I101">IF(I37-($C$24-J38)&lt;=1,0,I37-($C$24-J38))</f>
        <v>387657.82323417324</v>
      </c>
      <c r="J38" s="347">
        <f aca="true" t="shared" si="8" ref="J38:J101">I37*($C$13/$C$15)</f>
        <v>19698.97129839447</v>
      </c>
      <c r="K38"/>
      <c r="L38"/>
      <c r="M38"/>
      <c r="N38"/>
      <c r="O38" s="2"/>
      <c r="P38" s="2"/>
      <c r="Q38" s="2"/>
      <c r="R38"/>
      <c r="S38"/>
      <c r="T38"/>
      <c r="U38"/>
      <c r="V38"/>
      <c r="W38"/>
      <c r="X38"/>
      <c r="Y38"/>
      <c r="Z38"/>
      <c r="AA38"/>
      <c r="AB38"/>
      <c r="AC38"/>
    </row>
    <row r="39" spans="1:29" ht="15.75">
      <c r="A39" s="28"/>
      <c r="B39" s="346">
        <f t="shared" si="0"/>
        <v>3</v>
      </c>
      <c r="C39" s="347">
        <f t="shared" si="1"/>
        <v>6637.682870401968</v>
      </c>
      <c r="D39" s="347">
        <f t="shared" si="2"/>
        <v>0</v>
      </c>
      <c r="E39" s="347">
        <f t="shared" si="3"/>
        <v>381020.1403637713</v>
      </c>
      <c r="F39" s="347">
        <f t="shared" si="4"/>
        <v>18979.85963622876</v>
      </c>
      <c r="G39" s="347">
        <f t="shared" si="5"/>
        <v>19382.891161708663</v>
      </c>
      <c r="H39" s="347">
        <f t="shared" si="6"/>
        <v>59081.86246010313</v>
      </c>
      <c r="I39" s="347">
        <f t="shared" si="7"/>
        <v>381020.1403637713</v>
      </c>
      <c r="J39" s="347">
        <f t="shared" si="8"/>
        <v>19382.891161708663</v>
      </c>
      <c r="K39"/>
      <c r="L39"/>
      <c r="M39"/>
      <c r="N39"/>
      <c r="O39" s="2"/>
      <c r="P39" s="2"/>
      <c r="Q39" s="2"/>
      <c r="R39"/>
      <c r="S39"/>
      <c r="T39"/>
      <c r="U39"/>
      <c r="V39"/>
      <c r="W39"/>
      <c r="X39"/>
      <c r="Y39"/>
      <c r="Z39"/>
      <c r="AA39"/>
      <c r="AB39"/>
      <c r="AC39"/>
    </row>
    <row r="40" spans="1:29" ht="15.75">
      <c r="A40" s="28"/>
      <c r="B40" s="346">
        <f t="shared" si="0"/>
        <v>4</v>
      </c>
      <c r="C40" s="347">
        <f t="shared" si="1"/>
        <v>6969.567013922067</v>
      </c>
      <c r="D40" s="347">
        <f t="shared" si="2"/>
        <v>0</v>
      </c>
      <c r="E40" s="347">
        <f t="shared" si="3"/>
        <v>374050.5733498492</v>
      </c>
      <c r="F40" s="347">
        <f t="shared" si="4"/>
        <v>25949.42665015083</v>
      </c>
      <c r="G40" s="347">
        <f t="shared" si="5"/>
        <v>19051.007018188564</v>
      </c>
      <c r="H40" s="347">
        <f t="shared" si="6"/>
        <v>78132.8694782917</v>
      </c>
      <c r="I40" s="347">
        <f t="shared" si="7"/>
        <v>374050.5733498492</v>
      </c>
      <c r="J40" s="347">
        <f t="shared" si="8"/>
        <v>19051.007018188564</v>
      </c>
      <c r="K40"/>
      <c r="L40"/>
      <c r="M40"/>
      <c r="N40"/>
      <c r="O40" s="2"/>
      <c r="P40" s="2"/>
      <c r="Q40" s="2"/>
      <c r="R40"/>
      <c r="S40"/>
      <c r="T40"/>
      <c r="U40"/>
      <c r="V40"/>
      <c r="W40"/>
      <c r="X40"/>
      <c r="Y40"/>
      <c r="Z40"/>
      <c r="AA40"/>
      <c r="AB40"/>
      <c r="AC40"/>
    </row>
    <row r="41" spans="1:29" ht="15.75">
      <c r="A41" s="28"/>
      <c r="B41" s="346">
        <f t="shared" si="0"/>
        <v>5</v>
      </c>
      <c r="C41" s="347">
        <f t="shared" si="1"/>
        <v>7318.04536461817</v>
      </c>
      <c r="D41" s="347">
        <f t="shared" si="2"/>
        <v>0</v>
      </c>
      <c r="E41" s="347">
        <f t="shared" si="3"/>
        <v>366732.527985231</v>
      </c>
      <c r="F41" s="347">
        <f t="shared" si="4"/>
        <v>33267.472014768995</v>
      </c>
      <c r="G41" s="347">
        <f t="shared" si="5"/>
        <v>18702.52866749246</v>
      </c>
      <c r="H41" s="347">
        <f t="shared" si="6"/>
        <v>96835.39814578416</v>
      </c>
      <c r="I41" s="347">
        <f t="shared" si="7"/>
        <v>366732.527985231</v>
      </c>
      <c r="J41" s="347">
        <f t="shared" si="8"/>
        <v>18702.52866749246</v>
      </c>
      <c r="K41"/>
      <c r="L41"/>
      <c r="M41"/>
      <c r="N41"/>
      <c r="O41" s="2"/>
      <c r="P41" s="2"/>
      <c r="Q41" s="2"/>
      <c r="R41"/>
      <c r="S41"/>
      <c r="T41"/>
      <c r="U41"/>
      <c r="V41"/>
      <c r="W41"/>
      <c r="X41"/>
      <c r="Y41"/>
      <c r="Z41"/>
      <c r="AA41"/>
      <c r="AB41"/>
      <c r="AC41"/>
    </row>
    <row r="42" spans="1:29" ht="15.75">
      <c r="A42" s="28"/>
      <c r="B42" s="346">
        <f t="shared" si="0"/>
        <v>6</v>
      </c>
      <c r="C42" s="347">
        <f t="shared" si="1"/>
        <v>7683.947632849078</v>
      </c>
      <c r="D42" s="347">
        <f t="shared" si="2"/>
        <v>0</v>
      </c>
      <c r="E42" s="347">
        <f t="shared" si="3"/>
        <v>359048.5803523819</v>
      </c>
      <c r="F42" s="347">
        <f t="shared" si="4"/>
        <v>40951.41964761807</v>
      </c>
      <c r="G42" s="347">
        <f t="shared" si="5"/>
        <v>18336.626399261553</v>
      </c>
      <c r="H42" s="347">
        <f t="shared" si="6"/>
        <v>115172.02454504572</v>
      </c>
      <c r="I42" s="347">
        <f t="shared" si="7"/>
        <v>359048.5803523819</v>
      </c>
      <c r="J42" s="347">
        <f t="shared" si="8"/>
        <v>18336.626399261553</v>
      </c>
      <c r="K42"/>
      <c r="L42"/>
      <c r="M42"/>
      <c r="N42"/>
      <c r="O42" s="2"/>
      <c r="P42" s="2"/>
      <c r="Q42" s="2"/>
      <c r="R42"/>
      <c r="S42"/>
      <c r="T42"/>
      <c r="U42"/>
      <c r="V42"/>
      <c r="W42"/>
      <c r="X42"/>
      <c r="Y42"/>
      <c r="Z42"/>
      <c r="AA42"/>
      <c r="AB42"/>
      <c r="AC42"/>
    </row>
    <row r="43" spans="1:29" ht="15.75">
      <c r="A43" s="28"/>
      <c r="B43" s="346">
        <f t="shared" si="0"/>
        <v>7</v>
      </c>
      <c r="C43" s="347">
        <f t="shared" si="1"/>
        <v>8068.145014491536</v>
      </c>
      <c r="D43" s="347">
        <f t="shared" si="2"/>
        <v>0</v>
      </c>
      <c r="E43" s="347">
        <f t="shared" si="3"/>
        <v>350980.4353378904</v>
      </c>
      <c r="F43" s="347">
        <f t="shared" si="4"/>
        <v>49019.56466210961</v>
      </c>
      <c r="G43" s="347">
        <f t="shared" si="5"/>
        <v>17952.429017619095</v>
      </c>
      <c r="H43" s="347">
        <f t="shared" si="6"/>
        <v>133124.4535626648</v>
      </c>
      <c r="I43" s="347">
        <f t="shared" si="7"/>
        <v>350980.4353378904</v>
      </c>
      <c r="J43" s="347">
        <f t="shared" si="8"/>
        <v>17952.429017619095</v>
      </c>
      <c r="K43"/>
      <c r="L43"/>
      <c r="M43"/>
      <c r="N43"/>
      <c r="O43" s="2"/>
      <c r="P43" s="2"/>
      <c r="Q43" s="2"/>
      <c r="R43"/>
      <c r="S43"/>
      <c r="T43"/>
      <c r="U43"/>
      <c r="V43"/>
      <c r="W43"/>
      <c r="X43"/>
      <c r="Y43"/>
      <c r="Z43"/>
      <c r="AA43"/>
      <c r="AB43"/>
      <c r="AC43"/>
    </row>
    <row r="44" spans="1:29" ht="15.75">
      <c r="A44" s="28"/>
      <c r="B44" s="346">
        <f t="shared" si="0"/>
        <v>8</v>
      </c>
      <c r="C44" s="347">
        <f t="shared" si="1"/>
        <v>8471.552265216109</v>
      </c>
      <c r="D44" s="347">
        <f t="shared" si="2"/>
        <v>0</v>
      </c>
      <c r="E44" s="347">
        <f t="shared" si="3"/>
        <v>342508.8830726743</v>
      </c>
      <c r="F44" s="347">
        <f t="shared" si="4"/>
        <v>57491.11692732572</v>
      </c>
      <c r="G44" s="347">
        <f t="shared" si="5"/>
        <v>17549.021766894522</v>
      </c>
      <c r="H44" s="347">
        <f t="shared" si="6"/>
        <v>150673.47532955933</v>
      </c>
      <c r="I44" s="347">
        <f t="shared" si="7"/>
        <v>342508.8830726743</v>
      </c>
      <c r="J44" s="347">
        <f t="shared" si="8"/>
        <v>17549.021766894522</v>
      </c>
      <c r="K44"/>
      <c r="L44"/>
      <c r="M44"/>
      <c r="N44"/>
      <c r="O44" s="2"/>
      <c r="P44" s="2"/>
      <c r="Q44" s="2"/>
      <c r="R44"/>
      <c r="S44"/>
      <c r="T44"/>
      <c r="U44"/>
      <c r="V44"/>
      <c r="W44"/>
      <c r="X44"/>
      <c r="Y44"/>
      <c r="Z44"/>
      <c r="AA44"/>
      <c r="AB44"/>
      <c r="AC44"/>
    </row>
    <row r="45" spans="1:29" ht="15.75">
      <c r="A45" s="28"/>
      <c r="B45" s="346">
        <f t="shared" si="0"/>
        <v>9</v>
      </c>
      <c r="C45" s="347">
        <f t="shared" si="1"/>
        <v>8895.129878476917</v>
      </c>
      <c r="D45" s="347">
        <f t="shared" si="2"/>
        <v>0</v>
      </c>
      <c r="E45" s="347">
        <f t="shared" si="3"/>
        <v>333613.7531941974</v>
      </c>
      <c r="F45" s="347">
        <f t="shared" si="4"/>
        <v>66386.24680580263</v>
      </c>
      <c r="G45" s="347">
        <f t="shared" si="5"/>
        <v>17125.444153633714</v>
      </c>
      <c r="H45" s="347">
        <f t="shared" si="6"/>
        <v>167798.91948319305</v>
      </c>
      <c r="I45" s="347">
        <f t="shared" si="7"/>
        <v>333613.7531941974</v>
      </c>
      <c r="J45" s="347">
        <f t="shared" si="8"/>
        <v>17125.444153633714</v>
      </c>
      <c r="K45"/>
      <c r="L45"/>
      <c r="M45"/>
      <c r="N45"/>
      <c r="O45" s="2"/>
      <c r="P45" s="2"/>
      <c r="Q45" s="2"/>
      <c r="R45"/>
      <c r="S45"/>
      <c r="T45"/>
      <c r="U45"/>
      <c r="V45"/>
      <c r="W45"/>
      <c r="X45"/>
      <c r="Y45"/>
      <c r="Z45"/>
      <c r="AA45"/>
      <c r="AB45"/>
      <c r="AC45"/>
    </row>
    <row r="46" spans="1:29" ht="15.75">
      <c r="A46" s="28"/>
      <c r="B46" s="346">
        <f t="shared" si="0"/>
        <v>10</v>
      </c>
      <c r="C46" s="347">
        <f t="shared" si="1"/>
        <v>9339.88637240076</v>
      </c>
      <c r="D46" s="347">
        <f t="shared" si="2"/>
        <v>0</v>
      </c>
      <c r="E46" s="347">
        <f t="shared" si="3"/>
        <v>324273.86682179663</v>
      </c>
      <c r="F46" s="347">
        <f t="shared" si="4"/>
        <v>75726.1331782034</v>
      </c>
      <c r="G46" s="347">
        <f t="shared" si="5"/>
        <v>16680.68765970987</v>
      </c>
      <c r="H46" s="347">
        <f t="shared" si="6"/>
        <v>184479.6071429029</v>
      </c>
      <c r="I46" s="347">
        <f t="shared" si="7"/>
        <v>324273.86682179663</v>
      </c>
      <c r="J46" s="347">
        <f t="shared" si="8"/>
        <v>16680.68765970987</v>
      </c>
      <c r="K46"/>
      <c r="L46"/>
      <c r="M46"/>
      <c r="N46"/>
      <c r="O46" s="2"/>
      <c r="P46" s="2"/>
      <c r="Q46" s="2"/>
      <c r="R46"/>
      <c r="S46"/>
      <c r="T46"/>
      <c r="U46"/>
      <c r="V46"/>
      <c r="W46"/>
      <c r="X46"/>
      <c r="Y46"/>
      <c r="Z46"/>
      <c r="AA46"/>
      <c r="AB46"/>
      <c r="AC46"/>
    </row>
    <row r="47" spans="1:29" ht="15.75">
      <c r="A47" s="28"/>
      <c r="B47" s="346">
        <f t="shared" si="0"/>
        <v>11</v>
      </c>
      <c r="C47" s="347">
        <f t="shared" si="1"/>
        <v>9806.880691020799</v>
      </c>
      <c r="D47" s="347">
        <f t="shared" si="2"/>
        <v>0</v>
      </c>
      <c r="E47" s="347">
        <f t="shared" si="3"/>
        <v>314466.9861307758</v>
      </c>
      <c r="F47" s="347">
        <f t="shared" si="4"/>
        <v>85533.01386922419</v>
      </c>
      <c r="G47" s="347">
        <f t="shared" si="5"/>
        <v>16213.693341089833</v>
      </c>
      <c r="H47" s="347">
        <f t="shared" si="6"/>
        <v>200693.30048399273</v>
      </c>
      <c r="I47" s="347">
        <f t="shared" si="7"/>
        <v>314466.9861307758</v>
      </c>
      <c r="J47" s="347">
        <f t="shared" si="8"/>
        <v>16213.693341089833</v>
      </c>
      <c r="K47"/>
      <c r="L47"/>
      <c r="M47"/>
      <c r="N47"/>
      <c r="O47" s="2"/>
      <c r="P47" s="2"/>
      <c r="Q47" s="2"/>
      <c r="R47"/>
      <c r="S47"/>
      <c r="T47"/>
      <c r="U47"/>
      <c r="V47"/>
      <c r="W47"/>
      <c r="X47"/>
      <c r="Y47"/>
      <c r="Z47"/>
      <c r="AA47"/>
      <c r="AB47"/>
      <c r="AC47"/>
    </row>
    <row r="48" spans="1:29" ht="15.75">
      <c r="A48" s="28"/>
      <c r="B48" s="346">
        <f t="shared" si="0"/>
        <v>12</v>
      </c>
      <c r="C48" s="347">
        <f t="shared" si="1"/>
        <v>10297.22472557184</v>
      </c>
      <c r="D48" s="347">
        <f t="shared" si="2"/>
        <v>0</v>
      </c>
      <c r="E48" s="347">
        <f t="shared" si="3"/>
        <v>304169.76140520396</v>
      </c>
      <c r="F48" s="347">
        <f t="shared" si="4"/>
        <v>95830.23859479603</v>
      </c>
      <c r="G48" s="347">
        <f t="shared" si="5"/>
        <v>15723.349306538792</v>
      </c>
      <c r="H48" s="347">
        <f t="shared" si="6"/>
        <v>216416.64979053152</v>
      </c>
      <c r="I48" s="347">
        <f t="shared" si="7"/>
        <v>304169.76140520396</v>
      </c>
      <c r="J48" s="347">
        <f t="shared" si="8"/>
        <v>15723.349306538792</v>
      </c>
      <c r="K48"/>
      <c r="L48"/>
      <c r="M48"/>
      <c r="N48"/>
      <c r="O48"/>
      <c r="P48"/>
      <c r="Q48"/>
      <c r="R48"/>
      <c r="S48"/>
      <c r="T48"/>
      <c r="U48"/>
      <c r="V48"/>
      <c r="W48"/>
      <c r="X48"/>
      <c r="Y48"/>
      <c r="Z48"/>
      <c r="AA48"/>
      <c r="AB48"/>
      <c r="AC48"/>
    </row>
    <row r="49" spans="1:29" ht="15.75">
      <c r="A49" s="28"/>
      <c r="B49" s="346">
        <f t="shared" si="0"/>
        <v>13</v>
      </c>
      <c r="C49" s="347">
        <f t="shared" si="1"/>
        <v>10812.085961850433</v>
      </c>
      <c r="D49" s="347">
        <f t="shared" si="2"/>
        <v>0</v>
      </c>
      <c r="E49" s="347">
        <f t="shared" si="3"/>
        <v>293357.67544335354</v>
      </c>
      <c r="F49" s="347">
        <f t="shared" si="4"/>
        <v>106642.32455664646</v>
      </c>
      <c r="G49" s="347">
        <f t="shared" si="5"/>
        <v>15208.488070260199</v>
      </c>
      <c r="H49" s="347">
        <f t="shared" si="6"/>
        <v>231625.13786079173</v>
      </c>
      <c r="I49" s="347">
        <f t="shared" si="7"/>
        <v>293357.67544335354</v>
      </c>
      <c r="J49" s="347">
        <f t="shared" si="8"/>
        <v>15208.488070260199</v>
      </c>
      <c r="K49"/>
      <c r="L49"/>
      <c r="M49"/>
      <c r="N49"/>
      <c r="O49"/>
      <c r="P49"/>
      <c r="Q49"/>
      <c r="R49"/>
      <c r="S49"/>
      <c r="T49"/>
      <c r="U49"/>
      <c r="V49"/>
      <c r="W49"/>
      <c r="X49"/>
      <c r="Y49"/>
      <c r="Z49"/>
      <c r="AA49"/>
      <c r="AB49"/>
      <c r="AC49"/>
    </row>
    <row r="50" spans="1:29" ht="15.75">
      <c r="A50" s="28"/>
      <c r="B50" s="346">
        <f t="shared" si="0"/>
        <v>14</v>
      </c>
      <c r="C50" s="347">
        <f t="shared" si="1"/>
        <v>11352.690259942954</v>
      </c>
      <c r="D50" s="347">
        <f t="shared" si="2"/>
        <v>0</v>
      </c>
      <c r="E50" s="347">
        <f t="shared" si="3"/>
        <v>282004.9851834106</v>
      </c>
      <c r="F50" s="347">
        <f t="shared" si="4"/>
        <v>117995.01481658942</v>
      </c>
      <c r="G50" s="347">
        <f t="shared" si="5"/>
        <v>14667.883772167677</v>
      </c>
      <c r="H50" s="347">
        <f t="shared" si="6"/>
        <v>246293.0216329594</v>
      </c>
      <c r="I50" s="347">
        <f t="shared" si="7"/>
        <v>282004.9851834106</v>
      </c>
      <c r="J50" s="347">
        <f t="shared" si="8"/>
        <v>14667.883772167677</v>
      </c>
      <c r="K50"/>
      <c r="L50"/>
      <c r="M50"/>
      <c r="N50"/>
      <c r="O50"/>
      <c r="P50"/>
      <c r="Q50"/>
      <c r="R50"/>
      <c r="S50"/>
      <c r="T50"/>
      <c r="U50"/>
      <c r="V50"/>
      <c r="W50"/>
      <c r="X50"/>
      <c r="Y50"/>
      <c r="Z50"/>
      <c r="AA50"/>
      <c r="AB50"/>
      <c r="AC50"/>
    </row>
    <row r="51" spans="1:29" ht="15.75">
      <c r="A51" s="28"/>
      <c r="B51" s="346">
        <f t="shared" si="0"/>
        <v>15</v>
      </c>
      <c r="C51" s="347">
        <f t="shared" si="1"/>
        <v>11920.324772940101</v>
      </c>
      <c r="D51" s="347">
        <f t="shared" si="2"/>
        <v>0</v>
      </c>
      <c r="E51" s="347">
        <f t="shared" si="3"/>
        <v>270084.6604104705</v>
      </c>
      <c r="F51" s="347">
        <f t="shared" si="4"/>
        <v>129915.33958952953</v>
      </c>
      <c r="G51" s="347">
        <f t="shared" si="5"/>
        <v>14100.24925917053</v>
      </c>
      <c r="H51" s="347">
        <f t="shared" si="6"/>
        <v>260393.27089212992</v>
      </c>
      <c r="I51" s="347">
        <f t="shared" si="7"/>
        <v>270084.6604104705</v>
      </c>
      <c r="J51" s="347">
        <f t="shared" si="8"/>
        <v>14100.24925917053</v>
      </c>
      <c r="K51"/>
      <c r="L51"/>
      <c r="M51"/>
      <c r="N51"/>
      <c r="O51"/>
      <c r="P51"/>
      <c r="Q51"/>
      <c r="R51"/>
      <c r="S51"/>
      <c r="T51"/>
      <c r="U51"/>
      <c r="V51"/>
      <c r="W51"/>
      <c r="X51"/>
      <c r="Y51"/>
      <c r="Z51"/>
      <c r="AA51"/>
      <c r="AB51"/>
      <c r="AC51"/>
    </row>
    <row r="52" spans="1:29" ht="15.75">
      <c r="A52" s="28"/>
      <c r="B52" s="346">
        <f t="shared" si="0"/>
        <v>16</v>
      </c>
      <c r="C52" s="347">
        <f t="shared" si="1"/>
        <v>12516.341011587105</v>
      </c>
      <c r="D52" s="347">
        <f t="shared" si="2"/>
        <v>0</v>
      </c>
      <c r="E52" s="347">
        <f t="shared" si="3"/>
        <v>257568.3193988834</v>
      </c>
      <c r="F52" s="347">
        <f t="shared" si="4"/>
        <v>142431.68060111662</v>
      </c>
      <c r="G52" s="347">
        <f t="shared" si="5"/>
        <v>13504.233020523527</v>
      </c>
      <c r="H52" s="347">
        <f t="shared" si="6"/>
        <v>273897.5039126534</v>
      </c>
      <c r="I52" s="347">
        <f t="shared" si="7"/>
        <v>257568.3193988834</v>
      </c>
      <c r="J52" s="347">
        <f t="shared" si="8"/>
        <v>13504.233020523527</v>
      </c>
      <c r="K52"/>
      <c r="L52"/>
      <c r="M52"/>
      <c r="N52"/>
      <c r="O52"/>
      <c r="P52"/>
      <c r="Q52"/>
      <c r="R52"/>
      <c r="S52"/>
      <c r="T52"/>
      <c r="U52"/>
      <c r="V52"/>
      <c r="W52"/>
      <c r="X52"/>
      <c r="Y52"/>
      <c r="Z52"/>
      <c r="AA52"/>
      <c r="AB52"/>
      <c r="AC52"/>
    </row>
    <row r="53" spans="1:29" ht="15.75">
      <c r="A53" s="28"/>
      <c r="B53" s="346">
        <f t="shared" si="0"/>
        <v>17</v>
      </c>
      <c r="C53" s="347">
        <f t="shared" si="1"/>
        <v>13142.15806216646</v>
      </c>
      <c r="D53" s="347">
        <f t="shared" si="2"/>
        <v>0</v>
      </c>
      <c r="E53" s="347">
        <f t="shared" si="3"/>
        <v>244426.16133671696</v>
      </c>
      <c r="F53" s="347">
        <f t="shared" si="4"/>
        <v>155573.83866328307</v>
      </c>
      <c r="G53" s="347">
        <f t="shared" si="5"/>
        <v>12878.415969944172</v>
      </c>
      <c r="H53" s="347">
        <f t="shared" si="6"/>
        <v>286775.9198825976</v>
      </c>
      <c r="I53" s="347">
        <f t="shared" si="7"/>
        <v>244426.16133671696</v>
      </c>
      <c r="J53" s="347">
        <f t="shared" si="8"/>
        <v>12878.415969944172</v>
      </c>
      <c r="K53"/>
      <c r="L53"/>
      <c r="M53"/>
      <c r="N53"/>
      <c r="O53"/>
      <c r="P53"/>
      <c r="Q53"/>
      <c r="R53"/>
      <c r="S53"/>
      <c r="T53"/>
      <c r="U53"/>
      <c r="V53"/>
      <c r="W53"/>
      <c r="X53"/>
      <c r="Y53"/>
      <c r="Z53"/>
      <c r="AA53"/>
      <c r="AB53"/>
      <c r="AC53"/>
    </row>
    <row r="54" spans="1:29" ht="15.75">
      <c r="A54" s="28"/>
      <c r="B54" s="346">
        <f t="shared" si="0"/>
        <v>18</v>
      </c>
      <c r="C54" s="347">
        <f t="shared" si="1"/>
        <v>13799.265965274783</v>
      </c>
      <c r="D54" s="347">
        <f t="shared" si="2"/>
        <v>0</v>
      </c>
      <c r="E54" s="347">
        <f t="shared" si="3"/>
        <v>230626.8953714422</v>
      </c>
      <c r="F54" s="347">
        <f t="shared" si="4"/>
        <v>169373.10462855786</v>
      </c>
      <c r="G54" s="347">
        <f t="shared" si="5"/>
        <v>12221.308066835849</v>
      </c>
      <c r="H54" s="347">
        <f t="shared" si="6"/>
        <v>298997.22794943344</v>
      </c>
      <c r="I54" s="347">
        <f t="shared" si="7"/>
        <v>230626.8953714422</v>
      </c>
      <c r="J54" s="347">
        <f t="shared" si="8"/>
        <v>12221.308066835849</v>
      </c>
      <c r="K54"/>
      <c r="L54"/>
      <c r="M54"/>
      <c r="N54"/>
      <c r="O54"/>
      <c r="P54"/>
      <c r="Q54"/>
      <c r="R54"/>
      <c r="S54"/>
      <c r="T54"/>
      <c r="U54"/>
      <c r="V54"/>
      <c r="W54"/>
      <c r="X54"/>
      <c r="Y54"/>
      <c r="Z54"/>
      <c r="AA54"/>
      <c r="AB54"/>
      <c r="AC54"/>
    </row>
    <row r="55" spans="1:29" ht="15.75">
      <c r="A55" s="28"/>
      <c r="B55" s="346">
        <f t="shared" si="0"/>
        <v>19</v>
      </c>
      <c r="C55" s="347">
        <f t="shared" si="1"/>
        <v>14489.22926353852</v>
      </c>
      <c r="D55" s="347">
        <f t="shared" si="2"/>
        <v>0</v>
      </c>
      <c r="E55" s="347">
        <f t="shared" si="3"/>
        <v>216137.66610790367</v>
      </c>
      <c r="F55" s="347">
        <f t="shared" si="4"/>
        <v>183862.3338920964</v>
      </c>
      <c r="G55" s="347">
        <f t="shared" si="5"/>
        <v>11531.344768572111</v>
      </c>
      <c r="H55" s="347">
        <f t="shared" si="6"/>
        <v>310528.57271800557</v>
      </c>
      <c r="I55" s="347">
        <f t="shared" si="7"/>
        <v>216137.66610790367</v>
      </c>
      <c r="J55" s="347">
        <f t="shared" si="8"/>
        <v>11531.344768572111</v>
      </c>
      <c r="K55"/>
      <c r="L55"/>
      <c r="M55"/>
      <c r="N55"/>
      <c r="O55"/>
      <c r="P55"/>
      <c r="Q55"/>
      <c r="R55"/>
      <c r="S55"/>
      <c r="T55"/>
      <c r="U55"/>
      <c r="V55"/>
      <c r="W55"/>
      <c r="X55"/>
      <c r="Y55"/>
      <c r="Z55"/>
      <c r="AA55"/>
      <c r="AB55"/>
      <c r="AC55"/>
    </row>
    <row r="56" spans="1:29" ht="15.75">
      <c r="A56" s="28"/>
      <c r="B56" s="346">
        <f t="shared" si="0"/>
        <v>20</v>
      </c>
      <c r="C56" s="347">
        <f t="shared" si="1"/>
        <v>15213.690726715447</v>
      </c>
      <c r="D56" s="347">
        <f t="shared" si="2"/>
        <v>0</v>
      </c>
      <c r="E56" s="347">
        <f t="shared" si="3"/>
        <v>200923.9753811882</v>
      </c>
      <c r="F56" s="347">
        <f t="shared" si="4"/>
        <v>199076.02461881185</v>
      </c>
      <c r="G56" s="347">
        <f t="shared" si="5"/>
        <v>10806.883305395184</v>
      </c>
      <c r="H56" s="347">
        <f t="shared" si="6"/>
        <v>321335.45602340077</v>
      </c>
      <c r="I56" s="347">
        <f t="shared" si="7"/>
        <v>200923.9753811882</v>
      </c>
      <c r="J56" s="347">
        <f t="shared" si="8"/>
        <v>10806.883305395184</v>
      </c>
      <c r="K56"/>
      <c r="L56"/>
      <c r="M56"/>
      <c r="N56"/>
      <c r="O56"/>
      <c r="P56"/>
      <c r="Q56"/>
      <c r="R56"/>
      <c r="S56"/>
      <c r="T56"/>
      <c r="U56"/>
      <c r="V56"/>
      <c r="W56"/>
      <c r="X56"/>
      <c r="Y56"/>
      <c r="Z56"/>
      <c r="AA56"/>
      <c r="AB56"/>
      <c r="AC56"/>
    </row>
    <row r="57" spans="1:29" ht="15.75">
      <c r="A57" s="28"/>
      <c r="B57" s="346">
        <f t="shared" si="0"/>
        <v>21</v>
      </c>
      <c r="C57" s="347">
        <f t="shared" si="1"/>
        <v>15974.37526305122</v>
      </c>
      <c r="D57" s="347">
        <f t="shared" si="2"/>
        <v>0</v>
      </c>
      <c r="E57" s="347">
        <f t="shared" si="3"/>
        <v>184949.600118137</v>
      </c>
      <c r="F57" s="347">
        <f t="shared" si="4"/>
        <v>215050.39988186306</v>
      </c>
      <c r="G57" s="347">
        <f t="shared" si="5"/>
        <v>10046.19876905941</v>
      </c>
      <c r="H57" s="347">
        <f t="shared" si="6"/>
        <v>331381.65479246015</v>
      </c>
      <c r="I57" s="347">
        <f t="shared" si="7"/>
        <v>184949.600118137</v>
      </c>
      <c r="J57" s="347">
        <f t="shared" si="8"/>
        <v>10046.19876905941</v>
      </c>
      <c r="K57"/>
      <c r="L57"/>
      <c r="M57"/>
      <c r="N57"/>
      <c r="O57"/>
      <c r="P57"/>
      <c r="Q57"/>
      <c r="R57"/>
      <c r="S57"/>
      <c r="T57"/>
      <c r="U57"/>
      <c r="V57"/>
      <c r="W57"/>
      <c r="X57"/>
      <c r="Y57"/>
      <c r="Z57"/>
      <c r="AA57"/>
      <c r="AB57"/>
      <c r="AC57"/>
    </row>
    <row r="58" spans="1:29" ht="15.75">
      <c r="A58" s="28"/>
      <c r="B58" s="346">
        <f t="shared" si="0"/>
        <v>22</v>
      </c>
      <c r="C58" s="347">
        <f t="shared" si="1"/>
        <v>16773.094026203784</v>
      </c>
      <c r="D58" s="347">
        <f t="shared" si="2"/>
        <v>0</v>
      </c>
      <c r="E58" s="347">
        <f t="shared" si="3"/>
        <v>168176.5060919332</v>
      </c>
      <c r="F58" s="347">
        <f t="shared" si="4"/>
        <v>231823.49390806686</v>
      </c>
      <c r="G58" s="347">
        <f t="shared" si="5"/>
        <v>9247.48000590685</v>
      </c>
      <c r="H58" s="347">
        <f t="shared" si="6"/>
        <v>340629.134798367</v>
      </c>
      <c r="I58" s="347">
        <f t="shared" si="7"/>
        <v>168176.5060919332</v>
      </c>
      <c r="J58" s="347">
        <f t="shared" si="8"/>
        <v>9247.48000590685</v>
      </c>
      <c r="K58"/>
      <c r="L58"/>
      <c r="M58"/>
      <c r="N58"/>
      <c r="O58"/>
      <c r="P58"/>
      <c r="Q58"/>
      <c r="R58"/>
      <c r="S58"/>
      <c r="T58"/>
      <c r="U58"/>
      <c r="V58"/>
      <c r="W58"/>
      <c r="X58"/>
      <c r="Y58"/>
      <c r="Z58"/>
      <c r="AA58"/>
      <c r="AB58"/>
      <c r="AC58"/>
    </row>
    <row r="59" spans="1:29" ht="15.75">
      <c r="A59" s="28"/>
      <c r="B59" s="346">
        <f t="shared" si="0"/>
        <v>23</v>
      </c>
      <c r="C59" s="347">
        <f t="shared" si="1"/>
        <v>17611.748727513972</v>
      </c>
      <c r="D59" s="347">
        <f t="shared" si="2"/>
        <v>0</v>
      </c>
      <c r="E59" s="347">
        <f t="shared" si="3"/>
        <v>150564.75736441923</v>
      </c>
      <c r="F59" s="347">
        <f t="shared" si="4"/>
        <v>249435.24263558083</v>
      </c>
      <c r="G59" s="347">
        <f t="shared" si="5"/>
        <v>8408.825304596661</v>
      </c>
      <c r="H59" s="347">
        <f t="shared" si="6"/>
        <v>349037.96010296367</v>
      </c>
      <c r="I59" s="347">
        <f t="shared" si="7"/>
        <v>150564.75736441923</v>
      </c>
      <c r="J59" s="347">
        <f t="shared" si="8"/>
        <v>8408.825304596661</v>
      </c>
      <c r="K59"/>
      <c r="L59"/>
      <c r="M59"/>
      <c r="N59"/>
      <c r="O59"/>
      <c r="P59"/>
      <c r="Q59"/>
      <c r="R59"/>
      <c r="S59"/>
      <c r="T59"/>
      <c r="U59"/>
      <c r="V59"/>
      <c r="W59"/>
      <c r="X59"/>
      <c r="Y59"/>
      <c r="Z59"/>
      <c r="AA59"/>
      <c r="AB59"/>
      <c r="AC59"/>
    </row>
    <row r="60" spans="1:29" ht="15.75">
      <c r="A60" s="28"/>
      <c r="B60" s="346">
        <f t="shared" si="0"/>
        <v>24</v>
      </c>
      <c r="C60" s="347">
        <f t="shared" si="1"/>
        <v>18492.336163889668</v>
      </c>
      <c r="D60" s="347">
        <f t="shared" si="2"/>
        <v>0</v>
      </c>
      <c r="E60" s="347">
        <f t="shared" si="3"/>
        <v>132072.42120052956</v>
      </c>
      <c r="F60" s="347">
        <f t="shared" si="4"/>
        <v>267927.5787994705</v>
      </c>
      <c r="G60" s="347">
        <f t="shared" si="5"/>
        <v>7528.237868220962</v>
      </c>
      <c r="H60" s="347">
        <f t="shared" si="6"/>
        <v>356566.1979711846</v>
      </c>
      <c r="I60" s="347">
        <f t="shared" si="7"/>
        <v>132072.42120052956</v>
      </c>
      <c r="J60" s="347">
        <f t="shared" si="8"/>
        <v>7528.237868220962</v>
      </c>
      <c r="K60"/>
      <c r="L60"/>
      <c r="M60"/>
      <c r="N60"/>
      <c r="O60"/>
      <c r="P60"/>
      <c r="Q60"/>
      <c r="R60"/>
      <c r="S60"/>
      <c r="T60"/>
      <c r="U60"/>
      <c r="V60"/>
      <c r="W60"/>
      <c r="X60"/>
      <c r="Y60"/>
      <c r="Z60"/>
      <c r="AA60"/>
      <c r="AB60"/>
      <c r="AC60"/>
    </row>
    <row r="61" spans="1:29" ht="15.75">
      <c r="A61" s="28"/>
      <c r="B61" s="346">
        <f t="shared" si="0"/>
        <v>25</v>
      </c>
      <c r="C61" s="347">
        <f t="shared" si="1"/>
        <v>19416.952972084153</v>
      </c>
      <c r="D61" s="347">
        <f t="shared" si="2"/>
        <v>0</v>
      </c>
      <c r="E61" s="347">
        <f t="shared" si="3"/>
        <v>112655.4682284454</v>
      </c>
      <c r="F61" s="347">
        <f t="shared" si="4"/>
        <v>287344.53177155467</v>
      </c>
      <c r="G61" s="347">
        <f t="shared" si="5"/>
        <v>6603.6210600264785</v>
      </c>
      <c r="H61" s="347">
        <f t="shared" si="6"/>
        <v>363169.8190312111</v>
      </c>
      <c r="I61" s="347">
        <f t="shared" si="7"/>
        <v>112655.4682284454</v>
      </c>
      <c r="J61" s="347">
        <f t="shared" si="8"/>
        <v>6603.6210600264785</v>
      </c>
      <c r="K61"/>
      <c r="L61"/>
      <c r="M61"/>
      <c r="N61"/>
      <c r="O61"/>
      <c r="P61"/>
      <c r="Q61"/>
      <c r="R61"/>
      <c r="S61"/>
      <c r="T61"/>
      <c r="U61"/>
      <c r="V61"/>
      <c r="W61"/>
      <c r="X61"/>
      <c r="Y61"/>
      <c r="Z61"/>
      <c r="AA61"/>
      <c r="AB61"/>
      <c r="AC61"/>
    </row>
    <row r="62" spans="1:29" ht="15.75">
      <c r="A62" s="28"/>
      <c r="B62" s="346">
        <f t="shared" si="0"/>
        <v>26</v>
      </c>
      <c r="C62" s="347">
        <f t="shared" si="1"/>
        <v>20387.800620688362</v>
      </c>
      <c r="D62" s="347">
        <f t="shared" si="2"/>
        <v>0</v>
      </c>
      <c r="E62" s="347">
        <f t="shared" si="3"/>
        <v>92267.66760775704</v>
      </c>
      <c r="F62" s="347">
        <f t="shared" si="4"/>
        <v>307732.332392243</v>
      </c>
      <c r="G62" s="347">
        <f t="shared" si="5"/>
        <v>5632.77341142227</v>
      </c>
      <c r="H62" s="347">
        <f t="shared" si="6"/>
        <v>368802.59244263335</v>
      </c>
      <c r="I62" s="347">
        <f t="shared" si="7"/>
        <v>92267.66760775704</v>
      </c>
      <c r="J62" s="347">
        <f t="shared" si="8"/>
        <v>5632.77341142227</v>
      </c>
      <c r="K62"/>
      <c r="L62"/>
      <c r="M62"/>
      <c r="N62"/>
      <c r="O62"/>
      <c r="P62"/>
      <c r="Q62"/>
      <c r="R62"/>
      <c r="S62"/>
      <c r="T62"/>
      <c r="U62"/>
      <c r="V62"/>
      <c r="W62"/>
      <c r="X62"/>
      <c r="Y62"/>
      <c r="Z62"/>
      <c r="AA62"/>
      <c r="AB62"/>
      <c r="AC62"/>
    </row>
    <row r="63" spans="1:29" ht="15.75">
      <c r="A63" s="28"/>
      <c r="B63" s="346">
        <f t="shared" si="0"/>
        <v>27</v>
      </c>
      <c r="C63" s="347">
        <f t="shared" si="1"/>
        <v>21407.19065172278</v>
      </c>
      <c r="D63" s="347">
        <f t="shared" si="2"/>
        <v>0</v>
      </c>
      <c r="E63" s="347">
        <f t="shared" si="3"/>
        <v>70860.47695603427</v>
      </c>
      <c r="F63" s="347">
        <f t="shared" si="4"/>
        <v>329139.5230439658</v>
      </c>
      <c r="G63" s="347">
        <f t="shared" si="5"/>
        <v>4613.383380387852</v>
      </c>
      <c r="H63" s="347">
        <f t="shared" si="6"/>
        <v>373415.9758230212</v>
      </c>
      <c r="I63" s="347">
        <f t="shared" si="7"/>
        <v>70860.47695603427</v>
      </c>
      <c r="J63" s="347">
        <f t="shared" si="8"/>
        <v>4613.383380387852</v>
      </c>
      <c r="K63"/>
      <c r="L63"/>
      <c r="M63"/>
      <c r="N63"/>
      <c r="O63"/>
      <c r="P63"/>
      <c r="Q63"/>
      <c r="R63"/>
      <c r="S63"/>
      <c r="T63"/>
      <c r="U63"/>
      <c r="V63"/>
      <c r="W63"/>
      <c r="X63"/>
      <c r="Y63"/>
      <c r="Z63"/>
      <c r="AA63"/>
      <c r="AB63"/>
      <c r="AC63"/>
    </row>
    <row r="64" spans="1:29" ht="15.75">
      <c r="A64" s="28"/>
      <c r="B64" s="346">
        <f t="shared" si="0"/>
        <v>28</v>
      </c>
      <c r="C64" s="347">
        <f t="shared" si="1"/>
        <v>22477.55018430892</v>
      </c>
      <c r="D64" s="347">
        <f t="shared" si="2"/>
        <v>0</v>
      </c>
      <c r="E64" s="347">
        <f t="shared" si="3"/>
        <v>48382.92677172535</v>
      </c>
      <c r="F64" s="347">
        <f t="shared" si="4"/>
        <v>351617.0732282747</v>
      </c>
      <c r="G64" s="347">
        <f t="shared" si="5"/>
        <v>3543.0238478017136</v>
      </c>
      <c r="H64" s="347">
        <f t="shared" si="6"/>
        <v>376958.99967082293</v>
      </c>
      <c r="I64" s="347">
        <f t="shared" si="7"/>
        <v>48382.92677172535</v>
      </c>
      <c r="J64" s="347">
        <f t="shared" si="8"/>
        <v>3543.0238478017136</v>
      </c>
      <c r="K64"/>
      <c r="L64"/>
      <c r="M64"/>
      <c r="N64"/>
      <c r="O64"/>
      <c r="P64"/>
      <c r="Q64"/>
      <c r="R64"/>
      <c r="S64"/>
      <c r="T64"/>
      <c r="U64"/>
      <c r="V64"/>
      <c r="W64"/>
      <c r="X64"/>
      <c r="Y64"/>
      <c r="Z64"/>
      <c r="AA64"/>
      <c r="AB64"/>
      <c r="AC64"/>
    </row>
    <row r="65" spans="1:29" ht="15.75">
      <c r="A65" s="28"/>
      <c r="B65" s="346">
        <f t="shared" si="0"/>
        <v>29</v>
      </c>
      <c r="C65" s="347">
        <f t="shared" si="1"/>
        <v>23601.427693524365</v>
      </c>
      <c r="D65" s="347">
        <f t="shared" si="2"/>
        <v>0</v>
      </c>
      <c r="E65" s="347">
        <f t="shared" si="3"/>
        <v>24781.499078200988</v>
      </c>
      <c r="F65" s="347">
        <f t="shared" si="4"/>
        <v>375218.50092179904</v>
      </c>
      <c r="G65" s="347">
        <f t="shared" si="5"/>
        <v>2419.1463385862676</v>
      </c>
      <c r="H65" s="347">
        <f t="shared" si="6"/>
        <v>379378.1460094092</v>
      </c>
      <c r="I65" s="347">
        <f t="shared" si="7"/>
        <v>24781.499078200988</v>
      </c>
      <c r="J65" s="347">
        <f t="shared" si="8"/>
        <v>2419.1463385862676</v>
      </c>
      <c r="K65"/>
      <c r="L65"/>
      <c r="M65"/>
      <c r="N65"/>
      <c r="O65"/>
      <c r="P65"/>
      <c r="Q65"/>
      <c r="R65"/>
      <c r="S65"/>
      <c r="T65"/>
      <c r="U65"/>
      <c r="V65"/>
      <c r="W65"/>
      <c r="X65"/>
      <c r="Y65"/>
      <c r="Z65"/>
      <c r="AA65"/>
      <c r="AB65"/>
      <c r="AC65"/>
    </row>
    <row r="66" spans="1:29" ht="15.75">
      <c r="A66" s="28"/>
      <c r="B66" s="346">
        <f t="shared" si="0"/>
        <v>30</v>
      </c>
      <c r="C66" s="347">
        <f t="shared" si="1"/>
        <v>24781.49907820058</v>
      </c>
      <c r="D66" s="347">
        <f t="shared" si="2"/>
        <v>0</v>
      </c>
      <c r="E66" s="347">
        <f t="shared" si="3"/>
        <v>0</v>
      </c>
      <c r="F66" s="347">
        <f t="shared" si="4"/>
        <v>399999.99999999965</v>
      </c>
      <c r="G66" s="347">
        <f t="shared" si="5"/>
        <v>1239.0749539100495</v>
      </c>
      <c r="H66" s="347">
        <f t="shared" si="6"/>
        <v>380617.22096331924</v>
      </c>
      <c r="I66" s="347">
        <f t="shared" si="7"/>
        <v>0</v>
      </c>
      <c r="J66" s="347">
        <f t="shared" si="8"/>
        <v>1239.0749539100495</v>
      </c>
      <c r="K66"/>
      <c r="L66"/>
      <c r="M66"/>
      <c r="N66"/>
      <c r="O66"/>
      <c r="P66"/>
      <c r="Q66"/>
      <c r="R66"/>
      <c r="S66"/>
      <c r="T66"/>
      <c r="U66"/>
      <c r="V66"/>
      <c r="W66"/>
      <c r="X66"/>
      <c r="Y66"/>
      <c r="Z66"/>
      <c r="AA66"/>
      <c r="AB66"/>
      <c r="AC66"/>
    </row>
    <row r="67" spans="1:29" ht="15.75">
      <c r="A67" s="28"/>
      <c r="B67" s="346">
        <f t="shared" si="0"/>
        <v>31</v>
      </c>
      <c r="C67" s="347">
        <f t="shared" si="1"/>
        <v>0</v>
      </c>
      <c r="D67" s="347">
        <f t="shared" si="2"/>
        <v>0</v>
      </c>
      <c r="E67" s="347">
        <f t="shared" si="3"/>
        <v>0</v>
      </c>
      <c r="F67" s="347">
        <f t="shared" si="4"/>
        <v>399999.99999999965</v>
      </c>
      <c r="G67" s="347">
        <f t="shared" si="5"/>
        <v>0</v>
      </c>
      <c r="H67" s="347">
        <f t="shared" si="6"/>
        <v>380617.22096331924</v>
      </c>
      <c r="I67" s="347">
        <f t="shared" si="7"/>
        <v>0</v>
      </c>
      <c r="J67" s="347">
        <f t="shared" si="8"/>
        <v>0</v>
      </c>
      <c r="K67"/>
      <c r="L67"/>
      <c r="M67"/>
      <c r="N67"/>
      <c r="O67"/>
      <c r="P67"/>
      <c r="Q67"/>
      <c r="R67"/>
      <c r="S67"/>
      <c r="T67"/>
      <c r="U67"/>
      <c r="V67"/>
      <c r="W67"/>
      <c r="X67"/>
      <c r="Y67"/>
      <c r="Z67"/>
      <c r="AA67"/>
      <c r="AB67"/>
      <c r="AC67"/>
    </row>
    <row r="68" spans="1:29" ht="15.75">
      <c r="A68" s="28"/>
      <c r="B68" s="346">
        <f t="shared" si="0"/>
        <v>32</v>
      </c>
      <c r="C68" s="347">
        <f t="shared" si="1"/>
        <v>0</v>
      </c>
      <c r="D68" s="347">
        <f t="shared" si="2"/>
        <v>0</v>
      </c>
      <c r="E68" s="347">
        <f t="shared" si="3"/>
        <v>0</v>
      </c>
      <c r="F68" s="347">
        <f t="shared" si="4"/>
        <v>399999.99999999965</v>
      </c>
      <c r="G68" s="347">
        <f t="shared" si="5"/>
        <v>0</v>
      </c>
      <c r="H68" s="347">
        <f t="shared" si="6"/>
        <v>380617.22096331924</v>
      </c>
      <c r="I68" s="347">
        <f t="shared" si="7"/>
        <v>0</v>
      </c>
      <c r="J68" s="347">
        <f t="shared" si="8"/>
        <v>0</v>
      </c>
      <c r="K68"/>
      <c r="L68"/>
      <c r="M68"/>
      <c r="N68"/>
      <c r="O68"/>
      <c r="P68"/>
      <c r="Q68"/>
      <c r="R68"/>
      <c r="S68"/>
      <c r="T68"/>
      <c r="U68"/>
      <c r="V68"/>
      <c r="W68"/>
      <c r="X68"/>
      <c r="Y68"/>
      <c r="Z68"/>
      <c r="AA68"/>
      <c r="AB68"/>
      <c r="AC68"/>
    </row>
    <row r="69" spans="1:29" ht="15.75">
      <c r="A69" s="28"/>
      <c r="B69" s="346">
        <f t="shared" si="0"/>
        <v>33</v>
      </c>
      <c r="C69" s="347">
        <f t="shared" si="1"/>
        <v>0</v>
      </c>
      <c r="D69" s="347">
        <f t="shared" si="2"/>
        <v>0</v>
      </c>
      <c r="E69" s="347">
        <f t="shared" si="3"/>
        <v>0</v>
      </c>
      <c r="F69" s="347">
        <f t="shared" si="4"/>
        <v>399999.99999999965</v>
      </c>
      <c r="G69" s="347">
        <f t="shared" si="5"/>
        <v>0</v>
      </c>
      <c r="H69" s="347">
        <f t="shared" si="6"/>
        <v>380617.22096331924</v>
      </c>
      <c r="I69" s="347">
        <f t="shared" si="7"/>
        <v>0</v>
      </c>
      <c r="J69" s="347">
        <f t="shared" si="8"/>
        <v>0</v>
      </c>
      <c r="K69"/>
      <c r="L69"/>
      <c r="M69"/>
      <c r="N69"/>
      <c r="O69"/>
      <c r="P69"/>
      <c r="Q69"/>
      <c r="R69"/>
      <c r="S69"/>
      <c r="T69"/>
      <c r="U69"/>
      <c r="V69"/>
      <c r="W69"/>
      <c r="X69"/>
      <c r="Y69"/>
      <c r="Z69"/>
      <c r="AA69"/>
      <c r="AB69"/>
      <c r="AC69"/>
    </row>
    <row r="70" spans="1:29" ht="15.75">
      <c r="A70" s="28"/>
      <c r="B70" s="346">
        <f t="shared" si="0"/>
        <v>34</v>
      </c>
      <c r="C70" s="347">
        <f t="shared" si="1"/>
        <v>0</v>
      </c>
      <c r="D70" s="347">
        <f t="shared" si="2"/>
        <v>0</v>
      </c>
      <c r="E70" s="347">
        <f t="shared" si="3"/>
        <v>0</v>
      </c>
      <c r="F70" s="347">
        <f t="shared" si="4"/>
        <v>399999.99999999965</v>
      </c>
      <c r="G70" s="347">
        <f t="shared" si="5"/>
        <v>0</v>
      </c>
      <c r="H70" s="347">
        <f t="shared" si="6"/>
        <v>380617.22096331924</v>
      </c>
      <c r="I70" s="347">
        <f t="shared" si="7"/>
        <v>0</v>
      </c>
      <c r="J70" s="347">
        <f t="shared" si="8"/>
        <v>0</v>
      </c>
      <c r="K70"/>
      <c r="L70"/>
      <c r="M70"/>
      <c r="N70"/>
      <c r="O70"/>
      <c r="P70"/>
      <c r="Q70"/>
      <c r="R70"/>
      <c r="S70"/>
      <c r="T70"/>
      <c r="U70"/>
      <c r="V70"/>
      <c r="W70"/>
      <c r="X70"/>
      <c r="Y70"/>
      <c r="Z70"/>
      <c r="AA70"/>
      <c r="AB70"/>
      <c r="AC70"/>
    </row>
    <row r="71" spans="1:29" ht="15.75">
      <c r="A71" s="28"/>
      <c r="B71" s="346">
        <f t="shared" si="0"/>
        <v>35</v>
      </c>
      <c r="C71" s="347">
        <f t="shared" si="1"/>
        <v>0</v>
      </c>
      <c r="D71" s="347">
        <f t="shared" si="2"/>
        <v>0</v>
      </c>
      <c r="E71" s="347">
        <f t="shared" si="3"/>
        <v>0</v>
      </c>
      <c r="F71" s="347">
        <f t="shared" si="4"/>
        <v>399999.99999999965</v>
      </c>
      <c r="G71" s="347">
        <f t="shared" si="5"/>
        <v>0</v>
      </c>
      <c r="H71" s="347">
        <f t="shared" si="6"/>
        <v>380617.22096331924</v>
      </c>
      <c r="I71" s="347">
        <f t="shared" si="7"/>
        <v>0</v>
      </c>
      <c r="J71" s="347">
        <f t="shared" si="8"/>
        <v>0</v>
      </c>
      <c r="K71"/>
      <c r="L71"/>
      <c r="M71"/>
      <c r="N71"/>
      <c r="O71"/>
      <c r="P71"/>
      <c r="Q71"/>
      <c r="R71"/>
      <c r="S71"/>
      <c r="T71"/>
      <c r="U71"/>
      <c r="V71"/>
      <c r="W71"/>
      <c r="X71"/>
      <c r="Y71"/>
      <c r="Z71"/>
      <c r="AA71"/>
      <c r="AB71"/>
      <c r="AC71"/>
    </row>
    <row r="72" spans="1:29" ht="15.75">
      <c r="A72" s="28"/>
      <c r="B72" s="346">
        <f t="shared" si="0"/>
        <v>36</v>
      </c>
      <c r="C72" s="347">
        <f t="shared" si="1"/>
        <v>0</v>
      </c>
      <c r="D72" s="347">
        <f t="shared" si="2"/>
        <v>0</v>
      </c>
      <c r="E72" s="347">
        <f t="shared" si="3"/>
        <v>0</v>
      </c>
      <c r="F72" s="347">
        <f t="shared" si="4"/>
        <v>399999.99999999965</v>
      </c>
      <c r="G72" s="347">
        <f t="shared" si="5"/>
        <v>0</v>
      </c>
      <c r="H72" s="347">
        <f t="shared" si="6"/>
        <v>380617.22096331924</v>
      </c>
      <c r="I72" s="347">
        <f t="shared" si="7"/>
        <v>0</v>
      </c>
      <c r="J72" s="347">
        <f t="shared" si="8"/>
        <v>0</v>
      </c>
      <c r="K72"/>
      <c r="L72"/>
      <c r="M72"/>
      <c r="N72"/>
      <c r="O72"/>
      <c r="P72"/>
      <c r="Q72"/>
      <c r="R72"/>
      <c r="S72"/>
      <c r="T72"/>
      <c r="U72"/>
      <c r="V72"/>
      <c r="W72"/>
      <c r="X72"/>
      <c r="Y72"/>
      <c r="Z72"/>
      <c r="AA72"/>
      <c r="AB72"/>
      <c r="AC72"/>
    </row>
    <row r="73" spans="1:29" ht="15.75">
      <c r="A73" s="28"/>
      <c r="B73" s="346">
        <f t="shared" si="0"/>
        <v>37</v>
      </c>
      <c r="C73" s="347">
        <f t="shared" si="1"/>
        <v>0</v>
      </c>
      <c r="D73" s="347">
        <f t="shared" si="2"/>
        <v>0</v>
      </c>
      <c r="E73" s="347">
        <f t="shared" si="3"/>
        <v>0</v>
      </c>
      <c r="F73" s="347">
        <f t="shared" si="4"/>
        <v>399999.99999999965</v>
      </c>
      <c r="G73" s="347">
        <f t="shared" si="5"/>
        <v>0</v>
      </c>
      <c r="H73" s="347">
        <f t="shared" si="6"/>
        <v>380617.22096331924</v>
      </c>
      <c r="I73" s="347">
        <f t="shared" si="7"/>
        <v>0</v>
      </c>
      <c r="J73" s="347">
        <f t="shared" si="8"/>
        <v>0</v>
      </c>
      <c r="K73"/>
      <c r="L73"/>
      <c r="M73"/>
      <c r="N73"/>
      <c r="O73"/>
      <c r="P73"/>
      <c r="Q73"/>
      <c r="R73"/>
      <c r="S73"/>
      <c r="T73"/>
      <c r="U73"/>
      <c r="V73"/>
      <c r="W73"/>
      <c r="X73"/>
      <c r="Y73"/>
      <c r="Z73"/>
      <c r="AA73"/>
      <c r="AB73"/>
      <c r="AC73"/>
    </row>
    <row r="74" spans="1:29" ht="15.75">
      <c r="A74" s="28"/>
      <c r="B74" s="346">
        <f t="shared" si="0"/>
        <v>38</v>
      </c>
      <c r="C74" s="347">
        <f t="shared" si="1"/>
        <v>0</v>
      </c>
      <c r="D74" s="347">
        <f t="shared" si="2"/>
        <v>0</v>
      </c>
      <c r="E74" s="347">
        <f t="shared" si="3"/>
        <v>0</v>
      </c>
      <c r="F74" s="347">
        <f t="shared" si="4"/>
        <v>399999.99999999965</v>
      </c>
      <c r="G74" s="347">
        <f t="shared" si="5"/>
        <v>0</v>
      </c>
      <c r="H74" s="347">
        <f t="shared" si="6"/>
        <v>380617.22096331924</v>
      </c>
      <c r="I74" s="347">
        <f t="shared" si="7"/>
        <v>0</v>
      </c>
      <c r="J74" s="347">
        <f t="shared" si="8"/>
        <v>0</v>
      </c>
      <c r="K74"/>
      <c r="L74"/>
      <c r="M74"/>
      <c r="N74"/>
      <c r="O74"/>
      <c r="P74"/>
      <c r="Q74"/>
      <c r="R74"/>
      <c r="S74"/>
      <c r="T74"/>
      <c r="U74"/>
      <c r="V74"/>
      <c r="W74"/>
      <c r="X74"/>
      <c r="Y74"/>
      <c r="Z74"/>
      <c r="AA74"/>
      <c r="AB74"/>
      <c r="AC74"/>
    </row>
    <row r="75" spans="1:29" ht="15.75">
      <c r="A75" s="28"/>
      <c r="B75" s="346">
        <f t="shared" si="0"/>
        <v>39</v>
      </c>
      <c r="C75" s="347">
        <f t="shared" si="1"/>
        <v>0</v>
      </c>
      <c r="D75" s="347">
        <f t="shared" si="2"/>
        <v>0</v>
      </c>
      <c r="E75" s="347">
        <f t="shared" si="3"/>
        <v>0</v>
      </c>
      <c r="F75" s="347">
        <f t="shared" si="4"/>
        <v>399999.99999999965</v>
      </c>
      <c r="G75" s="347">
        <f t="shared" si="5"/>
        <v>0</v>
      </c>
      <c r="H75" s="347">
        <f t="shared" si="6"/>
        <v>380617.22096331924</v>
      </c>
      <c r="I75" s="347">
        <f t="shared" si="7"/>
        <v>0</v>
      </c>
      <c r="J75" s="347">
        <f t="shared" si="8"/>
        <v>0</v>
      </c>
      <c r="K75"/>
      <c r="L75"/>
      <c r="M75"/>
      <c r="N75"/>
      <c r="O75"/>
      <c r="P75"/>
      <c r="Q75"/>
      <c r="R75"/>
      <c r="S75"/>
      <c r="T75"/>
      <c r="U75"/>
      <c r="V75"/>
      <c r="W75"/>
      <c r="X75"/>
      <c r="Y75"/>
      <c r="Z75"/>
      <c r="AA75"/>
      <c r="AB75"/>
      <c r="AC75"/>
    </row>
    <row r="76" spans="1:29" ht="15.75">
      <c r="A76" s="28"/>
      <c r="B76" s="346">
        <f t="shared" si="0"/>
        <v>40</v>
      </c>
      <c r="C76" s="347">
        <f t="shared" si="1"/>
        <v>0</v>
      </c>
      <c r="D76" s="347">
        <f t="shared" si="2"/>
        <v>0</v>
      </c>
      <c r="E76" s="347">
        <f t="shared" si="3"/>
        <v>0</v>
      </c>
      <c r="F76" s="347">
        <f t="shared" si="4"/>
        <v>399999.99999999965</v>
      </c>
      <c r="G76" s="347">
        <f t="shared" si="5"/>
        <v>0</v>
      </c>
      <c r="H76" s="347">
        <f t="shared" si="6"/>
        <v>380617.22096331924</v>
      </c>
      <c r="I76" s="347">
        <f t="shared" si="7"/>
        <v>0</v>
      </c>
      <c r="J76" s="347">
        <f t="shared" si="8"/>
        <v>0</v>
      </c>
      <c r="K76"/>
      <c r="L76"/>
      <c r="M76"/>
      <c r="N76"/>
      <c r="O76"/>
      <c r="P76"/>
      <c r="Q76"/>
      <c r="R76"/>
      <c r="S76"/>
      <c r="T76"/>
      <c r="U76"/>
      <c r="V76"/>
      <c r="W76"/>
      <c r="X76"/>
      <c r="Y76"/>
      <c r="Z76"/>
      <c r="AA76"/>
      <c r="AB76"/>
      <c r="AC76"/>
    </row>
    <row r="77" spans="1:29" ht="15.75">
      <c r="A77" s="28"/>
      <c r="B77" s="346">
        <f t="shared" si="0"/>
        <v>41</v>
      </c>
      <c r="C77" s="347">
        <f t="shared" si="1"/>
        <v>0</v>
      </c>
      <c r="D77" s="347">
        <f t="shared" si="2"/>
        <v>0</v>
      </c>
      <c r="E77" s="347">
        <f t="shared" si="3"/>
        <v>0</v>
      </c>
      <c r="F77" s="347">
        <f t="shared" si="4"/>
        <v>399999.99999999965</v>
      </c>
      <c r="G77" s="347">
        <f t="shared" si="5"/>
        <v>0</v>
      </c>
      <c r="H77" s="347">
        <f t="shared" si="6"/>
        <v>380617.22096331924</v>
      </c>
      <c r="I77" s="347">
        <f t="shared" si="7"/>
        <v>0</v>
      </c>
      <c r="J77" s="347">
        <f t="shared" si="8"/>
        <v>0</v>
      </c>
      <c r="K77"/>
      <c r="L77"/>
      <c r="M77"/>
      <c r="N77"/>
      <c r="O77"/>
      <c r="P77"/>
      <c r="Q77"/>
      <c r="R77"/>
      <c r="S77"/>
      <c r="T77"/>
      <c r="U77"/>
      <c r="V77"/>
      <c r="W77"/>
      <c r="X77"/>
      <c r="Y77"/>
      <c r="Z77"/>
      <c r="AA77"/>
      <c r="AB77"/>
      <c r="AC77"/>
    </row>
    <row r="78" spans="1:29" ht="15.75">
      <c r="A78" s="28"/>
      <c r="B78" s="346">
        <f t="shared" si="0"/>
        <v>42</v>
      </c>
      <c r="C78" s="347">
        <f t="shared" si="1"/>
        <v>0</v>
      </c>
      <c r="D78" s="347">
        <f t="shared" si="2"/>
        <v>0</v>
      </c>
      <c r="E78" s="347">
        <f t="shared" si="3"/>
        <v>0</v>
      </c>
      <c r="F78" s="347">
        <f t="shared" si="4"/>
        <v>399999.99999999965</v>
      </c>
      <c r="G78" s="347">
        <f t="shared" si="5"/>
        <v>0</v>
      </c>
      <c r="H78" s="347">
        <f t="shared" si="6"/>
        <v>380617.22096331924</v>
      </c>
      <c r="I78" s="347">
        <f t="shared" si="7"/>
        <v>0</v>
      </c>
      <c r="J78" s="347">
        <f t="shared" si="8"/>
        <v>0</v>
      </c>
      <c r="K78"/>
      <c r="L78"/>
      <c r="M78"/>
      <c r="N78"/>
      <c r="O78"/>
      <c r="P78"/>
      <c r="Q78"/>
      <c r="R78"/>
      <c r="S78"/>
      <c r="T78"/>
      <c r="U78"/>
      <c r="V78"/>
      <c r="W78"/>
      <c r="X78"/>
      <c r="Y78"/>
      <c r="Z78"/>
      <c r="AA78"/>
      <c r="AB78"/>
      <c r="AC78"/>
    </row>
    <row r="79" spans="1:29" ht="15.75">
      <c r="A79" s="28"/>
      <c r="B79" s="346">
        <f t="shared" si="0"/>
        <v>43</v>
      </c>
      <c r="C79" s="347">
        <f t="shared" si="1"/>
        <v>0</v>
      </c>
      <c r="D79" s="347">
        <f t="shared" si="2"/>
        <v>0</v>
      </c>
      <c r="E79" s="347">
        <f t="shared" si="3"/>
        <v>0</v>
      </c>
      <c r="F79" s="347">
        <f t="shared" si="4"/>
        <v>399999.99999999965</v>
      </c>
      <c r="G79" s="347">
        <f t="shared" si="5"/>
        <v>0</v>
      </c>
      <c r="H79" s="347">
        <f t="shared" si="6"/>
        <v>380617.22096331924</v>
      </c>
      <c r="I79" s="347">
        <f t="shared" si="7"/>
        <v>0</v>
      </c>
      <c r="J79" s="347">
        <f t="shared" si="8"/>
        <v>0</v>
      </c>
      <c r="K79"/>
      <c r="L79"/>
      <c r="M79"/>
      <c r="N79"/>
      <c r="O79"/>
      <c r="P79"/>
      <c r="Q79"/>
      <c r="R79"/>
      <c r="S79"/>
      <c r="T79"/>
      <c r="U79"/>
      <c r="V79"/>
      <c r="W79"/>
      <c r="X79"/>
      <c r="Y79"/>
      <c r="Z79"/>
      <c r="AA79"/>
      <c r="AB79"/>
      <c r="AC79"/>
    </row>
    <row r="80" spans="1:29" ht="15.75">
      <c r="A80" s="28"/>
      <c r="B80" s="346">
        <f t="shared" si="0"/>
        <v>44</v>
      </c>
      <c r="C80" s="347">
        <f t="shared" si="1"/>
        <v>0</v>
      </c>
      <c r="D80" s="347">
        <f t="shared" si="2"/>
        <v>0</v>
      </c>
      <c r="E80" s="347">
        <f t="shared" si="3"/>
        <v>0</v>
      </c>
      <c r="F80" s="347">
        <f t="shared" si="4"/>
        <v>399999.99999999965</v>
      </c>
      <c r="G80" s="347">
        <f t="shared" si="5"/>
        <v>0</v>
      </c>
      <c r="H80" s="347">
        <f t="shared" si="6"/>
        <v>380617.22096331924</v>
      </c>
      <c r="I80" s="347">
        <f t="shared" si="7"/>
        <v>0</v>
      </c>
      <c r="J80" s="347">
        <f t="shared" si="8"/>
        <v>0</v>
      </c>
      <c r="K80"/>
      <c r="L80"/>
      <c r="M80"/>
      <c r="N80"/>
      <c r="O80"/>
      <c r="P80"/>
      <c r="Q80"/>
      <c r="R80"/>
      <c r="S80"/>
      <c r="T80"/>
      <c r="U80"/>
      <c r="V80"/>
      <c r="W80"/>
      <c r="X80"/>
      <c r="Y80"/>
      <c r="Z80"/>
      <c r="AA80"/>
      <c r="AB80"/>
      <c r="AC80"/>
    </row>
    <row r="81" spans="1:29" ht="15.75">
      <c r="A81" s="28"/>
      <c r="B81" s="346">
        <f t="shared" si="0"/>
        <v>45</v>
      </c>
      <c r="C81" s="347">
        <f t="shared" si="1"/>
        <v>0</v>
      </c>
      <c r="D81" s="347">
        <f t="shared" si="2"/>
        <v>0</v>
      </c>
      <c r="E81" s="347">
        <f t="shared" si="3"/>
        <v>0</v>
      </c>
      <c r="F81" s="347">
        <f t="shared" si="4"/>
        <v>399999.99999999965</v>
      </c>
      <c r="G81" s="347">
        <f t="shared" si="5"/>
        <v>0</v>
      </c>
      <c r="H81" s="347">
        <f t="shared" si="6"/>
        <v>380617.22096331924</v>
      </c>
      <c r="I81" s="347">
        <f t="shared" si="7"/>
        <v>0</v>
      </c>
      <c r="J81" s="347">
        <f t="shared" si="8"/>
        <v>0</v>
      </c>
      <c r="K81"/>
      <c r="L81"/>
      <c r="M81"/>
      <c r="N81"/>
      <c r="O81"/>
      <c r="P81"/>
      <c r="Q81"/>
      <c r="R81"/>
      <c r="S81"/>
      <c r="T81"/>
      <c r="U81"/>
      <c r="V81"/>
      <c r="W81"/>
      <c r="X81"/>
      <c r="Y81"/>
      <c r="Z81"/>
      <c r="AA81"/>
      <c r="AB81"/>
      <c r="AC81"/>
    </row>
    <row r="82" spans="1:29" ht="15.75">
      <c r="A82" s="28"/>
      <c r="B82" s="346">
        <f t="shared" si="0"/>
        <v>46</v>
      </c>
      <c r="C82" s="347">
        <f t="shared" si="1"/>
        <v>0</v>
      </c>
      <c r="D82" s="347">
        <f t="shared" si="2"/>
        <v>0</v>
      </c>
      <c r="E82" s="347">
        <f t="shared" si="3"/>
        <v>0</v>
      </c>
      <c r="F82" s="347">
        <f t="shared" si="4"/>
        <v>399999.99999999965</v>
      </c>
      <c r="G82" s="347">
        <f t="shared" si="5"/>
        <v>0</v>
      </c>
      <c r="H82" s="347">
        <f t="shared" si="6"/>
        <v>380617.22096331924</v>
      </c>
      <c r="I82" s="347">
        <f t="shared" si="7"/>
        <v>0</v>
      </c>
      <c r="J82" s="347">
        <f t="shared" si="8"/>
        <v>0</v>
      </c>
      <c r="K82"/>
      <c r="L82"/>
      <c r="M82"/>
      <c r="N82"/>
      <c r="O82"/>
      <c r="P82"/>
      <c r="Q82"/>
      <c r="R82"/>
      <c r="S82"/>
      <c r="T82"/>
      <c r="U82"/>
      <c r="V82"/>
      <c r="W82"/>
      <c r="X82"/>
      <c r="Y82"/>
      <c r="Z82"/>
      <c r="AA82"/>
      <c r="AB82"/>
      <c r="AC82"/>
    </row>
    <row r="83" spans="1:29" ht="15.75">
      <c r="A83" s="28"/>
      <c r="B83" s="346">
        <f t="shared" si="0"/>
        <v>47</v>
      </c>
      <c r="C83" s="347">
        <f t="shared" si="1"/>
        <v>0</v>
      </c>
      <c r="D83" s="347">
        <f t="shared" si="2"/>
        <v>0</v>
      </c>
      <c r="E83" s="347">
        <f t="shared" si="3"/>
        <v>0</v>
      </c>
      <c r="F83" s="347">
        <f t="shared" si="4"/>
        <v>399999.99999999965</v>
      </c>
      <c r="G83" s="347">
        <f t="shared" si="5"/>
        <v>0</v>
      </c>
      <c r="H83" s="347">
        <f t="shared" si="6"/>
        <v>380617.22096331924</v>
      </c>
      <c r="I83" s="347">
        <f t="shared" si="7"/>
        <v>0</v>
      </c>
      <c r="J83" s="347">
        <f t="shared" si="8"/>
        <v>0</v>
      </c>
      <c r="K83"/>
      <c r="L83"/>
      <c r="M83"/>
      <c r="N83"/>
      <c r="O83"/>
      <c r="P83"/>
      <c r="Q83"/>
      <c r="R83"/>
      <c r="S83"/>
      <c r="T83"/>
      <c r="U83"/>
      <c r="V83"/>
      <c r="W83"/>
      <c r="X83"/>
      <c r="Y83"/>
      <c r="Z83"/>
      <c r="AA83"/>
      <c r="AB83"/>
      <c r="AC83"/>
    </row>
    <row r="84" spans="1:29" ht="15.75">
      <c r="A84" s="28"/>
      <c r="B84" s="346">
        <f t="shared" si="0"/>
        <v>48</v>
      </c>
      <c r="C84" s="347">
        <f t="shared" si="1"/>
        <v>0</v>
      </c>
      <c r="D84" s="347">
        <f t="shared" si="2"/>
        <v>0</v>
      </c>
      <c r="E84" s="347">
        <f t="shared" si="3"/>
        <v>0</v>
      </c>
      <c r="F84" s="347">
        <f t="shared" si="4"/>
        <v>399999.99999999965</v>
      </c>
      <c r="G84" s="347">
        <f t="shared" si="5"/>
        <v>0</v>
      </c>
      <c r="H84" s="347">
        <f t="shared" si="6"/>
        <v>380617.22096331924</v>
      </c>
      <c r="I84" s="347">
        <f t="shared" si="7"/>
        <v>0</v>
      </c>
      <c r="J84" s="347">
        <f t="shared" si="8"/>
        <v>0</v>
      </c>
      <c r="K84"/>
      <c r="L84"/>
      <c r="M84"/>
      <c r="N84"/>
      <c r="O84"/>
      <c r="P84"/>
      <c r="Q84"/>
      <c r="R84"/>
      <c r="S84"/>
      <c r="T84"/>
      <c r="U84"/>
      <c r="V84"/>
      <c r="W84"/>
      <c r="X84"/>
      <c r="Y84"/>
      <c r="Z84"/>
      <c r="AA84"/>
      <c r="AB84"/>
      <c r="AC84"/>
    </row>
    <row r="85" spans="1:29" ht="15.75">
      <c r="A85" s="28"/>
      <c r="B85" s="346">
        <f t="shared" si="0"/>
        <v>49</v>
      </c>
      <c r="C85" s="347">
        <f t="shared" si="1"/>
        <v>0</v>
      </c>
      <c r="D85" s="347">
        <f t="shared" si="2"/>
        <v>0</v>
      </c>
      <c r="E85" s="347">
        <f t="shared" si="3"/>
        <v>0</v>
      </c>
      <c r="F85" s="347">
        <f t="shared" si="4"/>
        <v>399999.99999999965</v>
      </c>
      <c r="G85" s="347">
        <f t="shared" si="5"/>
        <v>0</v>
      </c>
      <c r="H85" s="347">
        <f t="shared" si="6"/>
        <v>380617.22096331924</v>
      </c>
      <c r="I85" s="347">
        <f t="shared" si="7"/>
        <v>0</v>
      </c>
      <c r="J85" s="347">
        <f t="shared" si="8"/>
        <v>0</v>
      </c>
      <c r="K85"/>
      <c r="L85"/>
      <c r="M85"/>
      <c r="N85"/>
      <c r="O85"/>
      <c r="P85"/>
      <c r="Q85"/>
      <c r="R85"/>
      <c r="S85"/>
      <c r="T85"/>
      <c r="U85"/>
      <c r="V85"/>
      <c r="W85"/>
      <c r="X85"/>
      <c r="Y85"/>
      <c r="Z85"/>
      <c r="AA85"/>
      <c r="AB85"/>
      <c r="AC85"/>
    </row>
    <row r="86" spans="1:29" ht="15.75">
      <c r="A86" s="28"/>
      <c r="B86" s="346">
        <f t="shared" si="0"/>
        <v>50</v>
      </c>
      <c r="C86" s="347">
        <f t="shared" si="1"/>
        <v>0</v>
      </c>
      <c r="D86" s="347">
        <f t="shared" si="2"/>
        <v>0</v>
      </c>
      <c r="E86" s="347">
        <f t="shared" si="3"/>
        <v>0</v>
      </c>
      <c r="F86" s="347">
        <f t="shared" si="4"/>
        <v>399999.99999999965</v>
      </c>
      <c r="G86" s="347">
        <f t="shared" si="5"/>
        <v>0</v>
      </c>
      <c r="H86" s="347">
        <f t="shared" si="6"/>
        <v>380617.22096331924</v>
      </c>
      <c r="I86" s="347">
        <f t="shared" si="7"/>
        <v>0</v>
      </c>
      <c r="J86" s="347">
        <f t="shared" si="8"/>
        <v>0</v>
      </c>
      <c r="K86"/>
      <c r="L86"/>
      <c r="M86"/>
      <c r="N86"/>
      <c r="O86"/>
      <c r="P86"/>
      <c r="Q86"/>
      <c r="R86"/>
      <c r="S86"/>
      <c r="T86"/>
      <c r="U86"/>
      <c r="V86"/>
      <c r="W86"/>
      <c r="X86"/>
      <c r="Y86"/>
      <c r="Z86"/>
      <c r="AA86"/>
      <c r="AB86"/>
      <c r="AC86"/>
    </row>
    <row r="87" spans="1:29" ht="15.75">
      <c r="A87" s="28"/>
      <c r="B87" s="346">
        <f t="shared" si="0"/>
        <v>51</v>
      </c>
      <c r="C87" s="347">
        <f t="shared" si="1"/>
        <v>0</v>
      </c>
      <c r="D87" s="347">
        <f t="shared" si="2"/>
        <v>0</v>
      </c>
      <c r="E87" s="347">
        <f t="shared" si="3"/>
        <v>0</v>
      </c>
      <c r="F87" s="347">
        <f t="shared" si="4"/>
        <v>399999.99999999965</v>
      </c>
      <c r="G87" s="347">
        <f t="shared" si="5"/>
        <v>0</v>
      </c>
      <c r="H87" s="347">
        <f t="shared" si="6"/>
        <v>380617.22096331924</v>
      </c>
      <c r="I87" s="347">
        <f t="shared" si="7"/>
        <v>0</v>
      </c>
      <c r="J87" s="347">
        <f t="shared" si="8"/>
        <v>0</v>
      </c>
      <c r="K87"/>
      <c r="L87"/>
      <c r="M87"/>
      <c r="N87"/>
      <c r="O87"/>
      <c r="P87"/>
      <c r="Q87"/>
      <c r="R87"/>
      <c r="S87"/>
      <c r="T87"/>
      <c r="U87"/>
      <c r="V87"/>
      <c r="W87"/>
      <c r="X87"/>
      <c r="Y87"/>
      <c r="Z87"/>
      <c r="AA87"/>
      <c r="AB87"/>
      <c r="AC87"/>
    </row>
    <row r="88" spans="1:29" ht="15.75">
      <c r="A88" s="28"/>
      <c r="B88" s="346">
        <f t="shared" si="0"/>
        <v>52</v>
      </c>
      <c r="C88" s="347">
        <f t="shared" si="1"/>
        <v>0</v>
      </c>
      <c r="D88" s="347">
        <f t="shared" si="2"/>
        <v>0</v>
      </c>
      <c r="E88" s="347">
        <f t="shared" si="3"/>
        <v>0</v>
      </c>
      <c r="F88" s="347">
        <f t="shared" si="4"/>
        <v>399999.99999999965</v>
      </c>
      <c r="G88" s="347">
        <f t="shared" si="5"/>
        <v>0</v>
      </c>
      <c r="H88" s="347">
        <f t="shared" si="6"/>
        <v>380617.22096331924</v>
      </c>
      <c r="I88" s="347">
        <f t="shared" si="7"/>
        <v>0</v>
      </c>
      <c r="J88" s="347">
        <f t="shared" si="8"/>
        <v>0</v>
      </c>
      <c r="K88"/>
      <c r="L88"/>
      <c r="M88"/>
      <c r="N88"/>
      <c r="O88"/>
      <c r="P88"/>
      <c r="Q88"/>
      <c r="R88"/>
      <c r="S88"/>
      <c r="T88"/>
      <c r="U88"/>
      <c r="V88"/>
      <c r="W88"/>
      <c r="X88"/>
      <c r="Y88"/>
      <c r="Z88"/>
      <c r="AA88"/>
      <c r="AB88"/>
      <c r="AC88"/>
    </row>
    <row r="89" spans="1:29" ht="15.75">
      <c r="A89" s="28"/>
      <c r="B89" s="346">
        <f t="shared" si="0"/>
        <v>53</v>
      </c>
      <c r="C89" s="347">
        <f t="shared" si="1"/>
        <v>0</v>
      </c>
      <c r="D89" s="347">
        <f t="shared" si="2"/>
        <v>0</v>
      </c>
      <c r="E89" s="347">
        <f t="shared" si="3"/>
        <v>0</v>
      </c>
      <c r="F89" s="347">
        <f t="shared" si="4"/>
        <v>399999.99999999965</v>
      </c>
      <c r="G89" s="347">
        <f t="shared" si="5"/>
        <v>0</v>
      </c>
      <c r="H89" s="347">
        <f t="shared" si="6"/>
        <v>380617.22096331924</v>
      </c>
      <c r="I89" s="347">
        <f t="shared" si="7"/>
        <v>0</v>
      </c>
      <c r="J89" s="347">
        <f t="shared" si="8"/>
        <v>0</v>
      </c>
      <c r="K89"/>
      <c r="L89"/>
      <c r="M89"/>
      <c r="N89"/>
      <c r="O89"/>
      <c r="P89"/>
      <c r="Q89"/>
      <c r="R89"/>
      <c r="S89"/>
      <c r="T89"/>
      <c r="U89"/>
      <c r="V89"/>
      <c r="W89"/>
      <c r="X89"/>
      <c r="Y89"/>
      <c r="Z89"/>
      <c r="AA89"/>
      <c r="AB89"/>
      <c r="AC89"/>
    </row>
    <row r="90" spans="1:29" ht="15.75">
      <c r="A90" s="28"/>
      <c r="B90" s="346">
        <f t="shared" si="0"/>
        <v>54</v>
      </c>
      <c r="C90" s="347">
        <f t="shared" si="1"/>
        <v>0</v>
      </c>
      <c r="D90" s="347">
        <f t="shared" si="2"/>
        <v>0</v>
      </c>
      <c r="E90" s="347">
        <f t="shared" si="3"/>
        <v>0</v>
      </c>
      <c r="F90" s="347">
        <f t="shared" si="4"/>
        <v>399999.99999999965</v>
      </c>
      <c r="G90" s="347">
        <f t="shared" si="5"/>
        <v>0</v>
      </c>
      <c r="H90" s="347">
        <f t="shared" si="6"/>
        <v>380617.22096331924</v>
      </c>
      <c r="I90" s="347">
        <f t="shared" si="7"/>
        <v>0</v>
      </c>
      <c r="J90" s="347">
        <f t="shared" si="8"/>
        <v>0</v>
      </c>
      <c r="K90"/>
      <c r="L90"/>
      <c r="M90"/>
      <c r="N90"/>
      <c r="O90"/>
      <c r="P90"/>
      <c r="Q90"/>
      <c r="R90"/>
      <c r="S90"/>
      <c r="T90"/>
      <c r="U90"/>
      <c r="V90"/>
      <c r="W90"/>
      <c r="X90"/>
      <c r="Y90"/>
      <c r="Z90"/>
      <c r="AA90"/>
      <c r="AB90"/>
      <c r="AC90"/>
    </row>
    <row r="91" spans="1:29" ht="15.75">
      <c r="A91" s="28"/>
      <c r="B91" s="346">
        <f t="shared" si="0"/>
        <v>55</v>
      </c>
      <c r="C91" s="347">
        <f t="shared" si="1"/>
        <v>0</v>
      </c>
      <c r="D91" s="347">
        <f t="shared" si="2"/>
        <v>0</v>
      </c>
      <c r="E91" s="347">
        <f t="shared" si="3"/>
        <v>0</v>
      </c>
      <c r="F91" s="347">
        <f t="shared" si="4"/>
        <v>399999.99999999965</v>
      </c>
      <c r="G91" s="347">
        <f t="shared" si="5"/>
        <v>0</v>
      </c>
      <c r="H91" s="347">
        <f t="shared" si="6"/>
        <v>380617.22096331924</v>
      </c>
      <c r="I91" s="347">
        <f t="shared" si="7"/>
        <v>0</v>
      </c>
      <c r="J91" s="347">
        <f t="shared" si="8"/>
        <v>0</v>
      </c>
      <c r="K91"/>
      <c r="L91"/>
      <c r="M91"/>
      <c r="N91"/>
      <c r="O91"/>
      <c r="P91"/>
      <c r="Q91"/>
      <c r="R91"/>
      <c r="S91"/>
      <c r="T91"/>
      <c r="U91"/>
      <c r="V91"/>
      <c r="W91"/>
      <c r="X91"/>
      <c r="Y91"/>
      <c r="Z91"/>
      <c r="AA91"/>
      <c r="AB91"/>
      <c r="AC91"/>
    </row>
    <row r="92" spans="1:29" ht="15.75">
      <c r="A92" s="28"/>
      <c r="B92" s="346">
        <f t="shared" si="0"/>
        <v>56</v>
      </c>
      <c r="C92" s="347">
        <f t="shared" si="1"/>
        <v>0</v>
      </c>
      <c r="D92" s="347">
        <f t="shared" si="2"/>
        <v>0</v>
      </c>
      <c r="E92" s="347">
        <f t="shared" si="3"/>
        <v>0</v>
      </c>
      <c r="F92" s="347">
        <f t="shared" si="4"/>
        <v>399999.99999999965</v>
      </c>
      <c r="G92" s="347">
        <f t="shared" si="5"/>
        <v>0</v>
      </c>
      <c r="H92" s="347">
        <f t="shared" si="6"/>
        <v>380617.22096331924</v>
      </c>
      <c r="I92" s="347">
        <f t="shared" si="7"/>
        <v>0</v>
      </c>
      <c r="J92" s="347">
        <f t="shared" si="8"/>
        <v>0</v>
      </c>
      <c r="K92"/>
      <c r="L92"/>
      <c r="M92"/>
      <c r="N92"/>
      <c r="O92"/>
      <c r="P92"/>
      <c r="Q92"/>
      <c r="R92"/>
      <c r="S92"/>
      <c r="T92"/>
      <c r="U92"/>
      <c r="V92"/>
      <c r="W92"/>
      <c r="X92"/>
      <c r="Y92"/>
      <c r="Z92"/>
      <c r="AA92"/>
      <c r="AB92"/>
      <c r="AC92"/>
    </row>
    <row r="93" spans="1:29" ht="15.75">
      <c r="A93" s="28"/>
      <c r="B93" s="346">
        <f t="shared" si="0"/>
        <v>57</v>
      </c>
      <c r="C93" s="347">
        <f t="shared" si="1"/>
        <v>0</v>
      </c>
      <c r="D93" s="347">
        <f t="shared" si="2"/>
        <v>0</v>
      </c>
      <c r="E93" s="347">
        <f t="shared" si="3"/>
        <v>0</v>
      </c>
      <c r="F93" s="347">
        <f t="shared" si="4"/>
        <v>399999.99999999965</v>
      </c>
      <c r="G93" s="347">
        <f t="shared" si="5"/>
        <v>0</v>
      </c>
      <c r="H93" s="347">
        <f t="shared" si="6"/>
        <v>380617.22096331924</v>
      </c>
      <c r="I93" s="347">
        <f t="shared" si="7"/>
        <v>0</v>
      </c>
      <c r="J93" s="347">
        <f t="shared" si="8"/>
        <v>0</v>
      </c>
      <c r="K93"/>
      <c r="L93"/>
      <c r="M93"/>
      <c r="N93"/>
      <c r="O93"/>
      <c r="P93"/>
      <c r="Q93"/>
      <c r="R93"/>
      <c r="S93"/>
      <c r="T93"/>
      <c r="U93"/>
      <c r="V93"/>
      <c r="W93"/>
      <c r="X93"/>
      <c r="Y93"/>
      <c r="Z93"/>
      <c r="AA93"/>
      <c r="AB93"/>
      <c r="AC93"/>
    </row>
    <row r="94" spans="1:29" ht="15.75">
      <c r="A94" s="28"/>
      <c r="B94" s="346">
        <f t="shared" si="0"/>
        <v>58</v>
      </c>
      <c r="C94" s="347">
        <f t="shared" si="1"/>
        <v>0</v>
      </c>
      <c r="D94" s="347">
        <f t="shared" si="2"/>
        <v>0</v>
      </c>
      <c r="E94" s="347">
        <f t="shared" si="3"/>
        <v>0</v>
      </c>
      <c r="F94" s="347">
        <f t="shared" si="4"/>
        <v>399999.99999999965</v>
      </c>
      <c r="G94" s="347">
        <f t="shared" si="5"/>
        <v>0</v>
      </c>
      <c r="H94" s="347">
        <f t="shared" si="6"/>
        <v>380617.22096331924</v>
      </c>
      <c r="I94" s="347">
        <f t="shared" si="7"/>
        <v>0</v>
      </c>
      <c r="J94" s="347">
        <f t="shared" si="8"/>
        <v>0</v>
      </c>
      <c r="K94"/>
      <c r="L94"/>
      <c r="M94"/>
      <c r="N94"/>
      <c r="O94"/>
      <c r="P94"/>
      <c r="Q94"/>
      <c r="R94"/>
      <c r="S94"/>
      <c r="T94"/>
      <c r="U94"/>
      <c r="V94"/>
      <c r="W94"/>
      <c r="X94"/>
      <c r="Y94"/>
      <c r="Z94"/>
      <c r="AA94"/>
      <c r="AB94"/>
      <c r="AC94"/>
    </row>
    <row r="95" spans="1:29" ht="15.75">
      <c r="A95" s="28"/>
      <c r="B95" s="346">
        <f t="shared" si="0"/>
        <v>59</v>
      </c>
      <c r="C95" s="347">
        <f t="shared" si="1"/>
        <v>0</v>
      </c>
      <c r="D95" s="347">
        <f t="shared" si="2"/>
        <v>0</v>
      </c>
      <c r="E95" s="347">
        <f t="shared" si="3"/>
        <v>0</v>
      </c>
      <c r="F95" s="347">
        <f t="shared" si="4"/>
        <v>399999.99999999965</v>
      </c>
      <c r="G95" s="347">
        <f t="shared" si="5"/>
        <v>0</v>
      </c>
      <c r="H95" s="347">
        <f t="shared" si="6"/>
        <v>380617.22096331924</v>
      </c>
      <c r="I95" s="347">
        <f t="shared" si="7"/>
        <v>0</v>
      </c>
      <c r="J95" s="347">
        <f t="shared" si="8"/>
        <v>0</v>
      </c>
      <c r="K95"/>
      <c r="L95"/>
      <c r="M95"/>
      <c r="N95"/>
      <c r="O95"/>
      <c r="P95"/>
      <c r="Q95"/>
      <c r="R95"/>
      <c r="S95"/>
      <c r="T95"/>
      <c r="U95"/>
      <c r="V95"/>
      <c r="W95"/>
      <c r="X95"/>
      <c r="Y95"/>
      <c r="Z95"/>
      <c r="AA95"/>
      <c r="AB95"/>
      <c r="AC95"/>
    </row>
    <row r="96" spans="1:29" ht="15.75">
      <c r="A96" s="28"/>
      <c r="B96" s="346">
        <f t="shared" si="0"/>
        <v>60</v>
      </c>
      <c r="C96" s="347">
        <f t="shared" si="1"/>
        <v>0</v>
      </c>
      <c r="D96" s="347">
        <f t="shared" si="2"/>
        <v>0</v>
      </c>
      <c r="E96" s="347">
        <f t="shared" si="3"/>
        <v>0</v>
      </c>
      <c r="F96" s="347">
        <f t="shared" si="4"/>
        <v>399999.99999999965</v>
      </c>
      <c r="G96" s="347">
        <f t="shared" si="5"/>
        <v>0</v>
      </c>
      <c r="H96" s="347">
        <f t="shared" si="6"/>
        <v>380617.22096331924</v>
      </c>
      <c r="I96" s="347">
        <f t="shared" si="7"/>
        <v>0</v>
      </c>
      <c r="J96" s="347">
        <f t="shared" si="8"/>
        <v>0</v>
      </c>
      <c r="K96"/>
      <c r="L96"/>
      <c r="M96"/>
      <c r="N96"/>
      <c r="O96"/>
      <c r="P96"/>
      <c r="Q96"/>
      <c r="R96"/>
      <c r="S96"/>
      <c r="T96"/>
      <c r="U96"/>
      <c r="V96"/>
      <c r="W96"/>
      <c r="X96"/>
      <c r="Y96"/>
      <c r="Z96"/>
      <c r="AA96"/>
      <c r="AB96"/>
      <c r="AC96"/>
    </row>
    <row r="97" spans="1:29" ht="15.75">
      <c r="A97" s="28"/>
      <c r="B97" s="346">
        <f t="shared" si="0"/>
        <v>61</v>
      </c>
      <c r="C97" s="347">
        <f t="shared" si="1"/>
        <v>0</v>
      </c>
      <c r="D97" s="347">
        <f t="shared" si="2"/>
        <v>0</v>
      </c>
      <c r="E97" s="347">
        <f t="shared" si="3"/>
        <v>0</v>
      </c>
      <c r="F97" s="347">
        <f t="shared" si="4"/>
        <v>399999.99999999965</v>
      </c>
      <c r="G97" s="347">
        <f t="shared" si="5"/>
        <v>0</v>
      </c>
      <c r="H97" s="347">
        <f t="shared" si="6"/>
        <v>380617.22096331924</v>
      </c>
      <c r="I97" s="347">
        <f t="shared" si="7"/>
        <v>0</v>
      </c>
      <c r="J97" s="347">
        <f t="shared" si="8"/>
        <v>0</v>
      </c>
      <c r="K97"/>
      <c r="L97"/>
      <c r="M97"/>
      <c r="N97"/>
      <c r="O97"/>
      <c r="P97"/>
      <c r="Q97"/>
      <c r="R97"/>
      <c r="S97"/>
      <c r="T97"/>
      <c r="U97"/>
      <c r="V97"/>
      <c r="W97"/>
      <c r="X97"/>
      <c r="Y97"/>
      <c r="Z97"/>
      <c r="AA97"/>
      <c r="AB97"/>
      <c r="AC97"/>
    </row>
    <row r="98" spans="1:29" ht="15.75">
      <c r="A98" s="28"/>
      <c r="B98" s="346">
        <f t="shared" si="0"/>
        <v>62</v>
      </c>
      <c r="C98" s="347">
        <f t="shared" si="1"/>
        <v>0</v>
      </c>
      <c r="D98" s="347">
        <f t="shared" si="2"/>
        <v>0</v>
      </c>
      <c r="E98" s="347">
        <f t="shared" si="3"/>
        <v>0</v>
      </c>
      <c r="F98" s="347">
        <f t="shared" si="4"/>
        <v>399999.99999999965</v>
      </c>
      <c r="G98" s="347">
        <f t="shared" si="5"/>
        <v>0</v>
      </c>
      <c r="H98" s="347">
        <f t="shared" si="6"/>
        <v>380617.22096331924</v>
      </c>
      <c r="I98" s="347">
        <f t="shared" si="7"/>
        <v>0</v>
      </c>
      <c r="J98" s="347">
        <f t="shared" si="8"/>
        <v>0</v>
      </c>
      <c r="K98"/>
      <c r="L98"/>
      <c r="M98"/>
      <c r="N98"/>
      <c r="O98"/>
      <c r="P98"/>
      <c r="Q98"/>
      <c r="R98"/>
      <c r="S98"/>
      <c r="T98"/>
      <c r="U98"/>
      <c r="V98"/>
      <c r="W98"/>
      <c r="X98"/>
      <c r="Y98"/>
      <c r="Z98"/>
      <c r="AA98"/>
      <c r="AB98"/>
      <c r="AC98"/>
    </row>
    <row r="99" spans="1:29" ht="15.75">
      <c r="A99" s="28"/>
      <c r="B99" s="346">
        <f t="shared" si="0"/>
        <v>63</v>
      </c>
      <c r="C99" s="347">
        <f t="shared" si="1"/>
        <v>0</v>
      </c>
      <c r="D99" s="347">
        <f t="shared" si="2"/>
        <v>0</v>
      </c>
      <c r="E99" s="347">
        <f t="shared" si="3"/>
        <v>0</v>
      </c>
      <c r="F99" s="347">
        <f t="shared" si="4"/>
        <v>399999.99999999965</v>
      </c>
      <c r="G99" s="347">
        <f t="shared" si="5"/>
        <v>0</v>
      </c>
      <c r="H99" s="347">
        <f t="shared" si="6"/>
        <v>380617.22096331924</v>
      </c>
      <c r="I99" s="347">
        <f t="shared" si="7"/>
        <v>0</v>
      </c>
      <c r="J99" s="347">
        <f t="shared" si="8"/>
        <v>0</v>
      </c>
      <c r="K99"/>
      <c r="L99"/>
      <c r="M99"/>
      <c r="N99"/>
      <c r="O99"/>
      <c r="P99"/>
      <c r="Q99"/>
      <c r="R99"/>
      <c r="S99"/>
      <c r="T99"/>
      <c r="U99"/>
      <c r="V99"/>
      <c r="W99"/>
      <c r="X99"/>
      <c r="Y99"/>
      <c r="Z99"/>
      <c r="AA99"/>
      <c r="AB99"/>
      <c r="AC99"/>
    </row>
    <row r="100" spans="1:29" ht="15.75">
      <c r="A100" s="28"/>
      <c r="B100" s="346">
        <f t="shared" si="0"/>
        <v>64</v>
      </c>
      <c r="C100" s="347">
        <f t="shared" si="1"/>
        <v>0</v>
      </c>
      <c r="D100" s="347">
        <f t="shared" si="2"/>
        <v>0</v>
      </c>
      <c r="E100" s="347">
        <f t="shared" si="3"/>
        <v>0</v>
      </c>
      <c r="F100" s="347">
        <f t="shared" si="4"/>
        <v>399999.99999999965</v>
      </c>
      <c r="G100" s="347">
        <f t="shared" si="5"/>
        <v>0</v>
      </c>
      <c r="H100" s="347">
        <f t="shared" si="6"/>
        <v>380617.22096331924</v>
      </c>
      <c r="I100" s="347">
        <f t="shared" si="7"/>
        <v>0</v>
      </c>
      <c r="J100" s="347">
        <f t="shared" si="8"/>
        <v>0</v>
      </c>
      <c r="K100"/>
      <c r="L100"/>
      <c r="M100"/>
      <c r="N100"/>
      <c r="O100"/>
      <c r="P100"/>
      <c r="Q100"/>
      <c r="R100"/>
      <c r="S100"/>
      <c r="T100"/>
      <c r="U100"/>
      <c r="V100"/>
      <c r="W100"/>
      <c r="X100"/>
      <c r="Y100"/>
      <c r="Z100"/>
      <c r="AA100"/>
      <c r="AB100"/>
      <c r="AC100"/>
    </row>
    <row r="101" spans="1:29" ht="15.75">
      <c r="A101" s="28"/>
      <c r="B101" s="346">
        <f t="shared" si="0"/>
        <v>65</v>
      </c>
      <c r="C101" s="347">
        <f t="shared" si="1"/>
        <v>0</v>
      </c>
      <c r="D101" s="347">
        <f t="shared" si="2"/>
        <v>0</v>
      </c>
      <c r="E101" s="347">
        <f t="shared" si="3"/>
        <v>0</v>
      </c>
      <c r="F101" s="347">
        <f t="shared" si="4"/>
        <v>399999.99999999965</v>
      </c>
      <c r="G101" s="347">
        <f t="shared" si="5"/>
        <v>0</v>
      </c>
      <c r="H101" s="347">
        <f t="shared" si="6"/>
        <v>380617.22096331924</v>
      </c>
      <c r="I101" s="347">
        <f t="shared" si="7"/>
        <v>0</v>
      </c>
      <c r="J101" s="347">
        <f t="shared" si="8"/>
        <v>0</v>
      </c>
      <c r="K101"/>
      <c r="L101"/>
      <c r="M101"/>
      <c r="N101"/>
      <c r="O101"/>
      <c r="P101"/>
      <c r="Q101"/>
      <c r="R101"/>
      <c r="S101"/>
      <c r="T101"/>
      <c r="U101"/>
      <c r="V101"/>
      <c r="W101"/>
      <c r="X101"/>
      <c r="Y101"/>
      <c r="Z101"/>
      <c r="AA101"/>
      <c r="AB101"/>
      <c r="AC101"/>
    </row>
    <row r="102" spans="1:29" ht="15.75">
      <c r="A102" s="28"/>
      <c r="B102" s="346">
        <f aca="true" t="shared" si="9" ref="B102:B165">1+B101</f>
        <v>66</v>
      </c>
      <c r="C102" s="347">
        <f aca="true" t="shared" si="10" ref="C102:C165">IF((E101&lt;$C$24-G102),E101,$C$24-G102)</f>
        <v>0</v>
      </c>
      <c r="D102" s="347">
        <f aca="true" t="shared" si="11" ref="D102:D165">IF(AND($C$20&lt;=B102,E101&gt;C102+$C$18),IF(MOD($B102,$C$19)=0,$C$18,0),0)</f>
        <v>0</v>
      </c>
      <c r="E102" s="347">
        <f aca="true" t="shared" si="12" ref="E102:E165">IF(E101-C102&lt;=1,0,E101-C102-D102)</f>
        <v>0</v>
      </c>
      <c r="F102" s="347">
        <f aca="true" t="shared" si="13" ref="F102:F165">F101+C102+D102</f>
        <v>399999.99999999965</v>
      </c>
      <c r="G102" s="347">
        <f aca="true" t="shared" si="14" ref="G102:G165">E101*($C$13/$C$15)</f>
        <v>0</v>
      </c>
      <c r="H102" s="347">
        <f aca="true" t="shared" si="15" ref="H102:H165">H101+G102</f>
        <v>380617.22096331924</v>
      </c>
      <c r="I102" s="347">
        <f aca="true" t="shared" si="16" ref="I102:I165">IF(I101-($C$24-J102)&lt;=1,0,I101-($C$24-J102))</f>
        <v>0</v>
      </c>
      <c r="J102" s="347">
        <f aca="true" t="shared" si="17" ref="J102:J165">I101*($C$13/$C$15)</f>
        <v>0</v>
      </c>
      <c r="K102"/>
      <c r="L102"/>
      <c r="M102"/>
      <c r="N102"/>
      <c r="O102"/>
      <c r="P102"/>
      <c r="Q102"/>
      <c r="R102"/>
      <c r="S102"/>
      <c r="T102"/>
      <c r="U102"/>
      <c r="V102"/>
      <c r="W102"/>
      <c r="X102"/>
      <c r="Y102"/>
      <c r="Z102"/>
      <c r="AA102"/>
      <c r="AB102"/>
      <c r="AC102"/>
    </row>
    <row r="103" spans="1:29" ht="15.75">
      <c r="A103" s="28"/>
      <c r="B103" s="346">
        <f t="shared" si="9"/>
        <v>67</v>
      </c>
      <c r="C103" s="347">
        <f t="shared" si="10"/>
        <v>0</v>
      </c>
      <c r="D103" s="347">
        <f t="shared" si="11"/>
        <v>0</v>
      </c>
      <c r="E103" s="347">
        <f t="shared" si="12"/>
        <v>0</v>
      </c>
      <c r="F103" s="347">
        <f t="shared" si="13"/>
        <v>399999.99999999965</v>
      </c>
      <c r="G103" s="347">
        <f t="shared" si="14"/>
        <v>0</v>
      </c>
      <c r="H103" s="347">
        <f t="shared" si="15"/>
        <v>380617.22096331924</v>
      </c>
      <c r="I103" s="347">
        <f t="shared" si="16"/>
        <v>0</v>
      </c>
      <c r="J103" s="347">
        <f t="shared" si="17"/>
        <v>0</v>
      </c>
      <c r="K103"/>
      <c r="L103"/>
      <c r="M103"/>
      <c r="N103"/>
      <c r="O103"/>
      <c r="P103"/>
      <c r="Q103"/>
      <c r="R103"/>
      <c r="S103"/>
      <c r="T103"/>
      <c r="U103"/>
      <c r="V103"/>
      <c r="W103"/>
      <c r="X103"/>
      <c r="Y103"/>
      <c r="Z103"/>
      <c r="AA103"/>
      <c r="AB103"/>
      <c r="AC103"/>
    </row>
    <row r="104" spans="1:29" ht="15.75">
      <c r="A104" s="28"/>
      <c r="B104" s="346">
        <f t="shared" si="9"/>
        <v>68</v>
      </c>
      <c r="C104" s="347">
        <f t="shared" si="10"/>
        <v>0</v>
      </c>
      <c r="D104" s="347">
        <f t="shared" si="11"/>
        <v>0</v>
      </c>
      <c r="E104" s="347">
        <f t="shared" si="12"/>
        <v>0</v>
      </c>
      <c r="F104" s="347">
        <f t="shared" si="13"/>
        <v>399999.99999999965</v>
      </c>
      <c r="G104" s="347">
        <f t="shared" si="14"/>
        <v>0</v>
      </c>
      <c r="H104" s="347">
        <f t="shared" si="15"/>
        <v>380617.22096331924</v>
      </c>
      <c r="I104" s="347">
        <f t="shared" si="16"/>
        <v>0</v>
      </c>
      <c r="J104" s="347">
        <f t="shared" si="17"/>
        <v>0</v>
      </c>
      <c r="K104"/>
      <c r="L104"/>
      <c r="M104"/>
      <c r="N104"/>
      <c r="O104"/>
      <c r="P104"/>
      <c r="Q104"/>
      <c r="R104"/>
      <c r="S104"/>
      <c r="T104"/>
      <c r="U104"/>
      <c r="V104"/>
      <c r="W104"/>
      <c r="X104"/>
      <c r="Y104"/>
      <c r="Z104"/>
      <c r="AA104"/>
      <c r="AB104"/>
      <c r="AC104"/>
    </row>
    <row r="105" spans="1:29" ht="15.75">
      <c r="A105" s="28"/>
      <c r="B105" s="346">
        <f t="shared" si="9"/>
        <v>69</v>
      </c>
      <c r="C105" s="347">
        <f t="shared" si="10"/>
        <v>0</v>
      </c>
      <c r="D105" s="347">
        <f t="shared" si="11"/>
        <v>0</v>
      </c>
      <c r="E105" s="347">
        <f t="shared" si="12"/>
        <v>0</v>
      </c>
      <c r="F105" s="347">
        <f t="shared" si="13"/>
        <v>399999.99999999965</v>
      </c>
      <c r="G105" s="347">
        <f t="shared" si="14"/>
        <v>0</v>
      </c>
      <c r="H105" s="347">
        <f t="shared" si="15"/>
        <v>380617.22096331924</v>
      </c>
      <c r="I105" s="347">
        <f t="shared" si="16"/>
        <v>0</v>
      </c>
      <c r="J105" s="347">
        <f t="shared" si="17"/>
        <v>0</v>
      </c>
      <c r="K105"/>
      <c r="L105"/>
      <c r="M105"/>
      <c r="N105"/>
      <c r="O105"/>
      <c r="P105"/>
      <c r="Q105"/>
      <c r="R105"/>
      <c r="S105"/>
      <c r="T105"/>
      <c r="U105"/>
      <c r="V105"/>
      <c r="W105"/>
      <c r="X105"/>
      <c r="Y105"/>
      <c r="Z105"/>
      <c r="AA105"/>
      <c r="AB105"/>
      <c r="AC105"/>
    </row>
    <row r="106" spans="1:29" ht="15.75">
      <c r="A106" s="28"/>
      <c r="B106" s="346">
        <f t="shared" si="9"/>
        <v>70</v>
      </c>
      <c r="C106" s="347">
        <f t="shared" si="10"/>
        <v>0</v>
      </c>
      <c r="D106" s="347">
        <f t="shared" si="11"/>
        <v>0</v>
      </c>
      <c r="E106" s="347">
        <f t="shared" si="12"/>
        <v>0</v>
      </c>
      <c r="F106" s="347">
        <f t="shared" si="13"/>
        <v>399999.99999999965</v>
      </c>
      <c r="G106" s="347">
        <f t="shared" si="14"/>
        <v>0</v>
      </c>
      <c r="H106" s="347">
        <f t="shared" si="15"/>
        <v>380617.22096331924</v>
      </c>
      <c r="I106" s="347">
        <f t="shared" si="16"/>
        <v>0</v>
      </c>
      <c r="J106" s="347">
        <f t="shared" si="17"/>
        <v>0</v>
      </c>
      <c r="K106"/>
      <c r="L106"/>
      <c r="M106"/>
      <c r="N106"/>
      <c r="O106"/>
      <c r="P106"/>
      <c r="Q106"/>
      <c r="R106"/>
      <c r="S106"/>
      <c r="T106"/>
      <c r="U106"/>
      <c r="V106"/>
      <c r="W106"/>
      <c r="X106"/>
      <c r="Y106"/>
      <c r="Z106"/>
      <c r="AA106"/>
      <c r="AB106"/>
      <c r="AC106"/>
    </row>
    <row r="107" spans="1:29" ht="15.75">
      <c r="A107" s="28"/>
      <c r="B107" s="346">
        <f t="shared" si="9"/>
        <v>71</v>
      </c>
      <c r="C107" s="347">
        <f t="shared" si="10"/>
        <v>0</v>
      </c>
      <c r="D107" s="347">
        <f t="shared" si="11"/>
        <v>0</v>
      </c>
      <c r="E107" s="347">
        <f t="shared" si="12"/>
        <v>0</v>
      </c>
      <c r="F107" s="347">
        <f t="shared" si="13"/>
        <v>399999.99999999965</v>
      </c>
      <c r="G107" s="347">
        <f t="shared" si="14"/>
        <v>0</v>
      </c>
      <c r="H107" s="347">
        <f t="shared" si="15"/>
        <v>380617.22096331924</v>
      </c>
      <c r="I107" s="347">
        <f t="shared" si="16"/>
        <v>0</v>
      </c>
      <c r="J107" s="347">
        <f t="shared" si="17"/>
        <v>0</v>
      </c>
      <c r="K107"/>
      <c r="L107"/>
      <c r="M107"/>
      <c r="N107"/>
      <c r="O107"/>
      <c r="P107"/>
      <c r="Q107"/>
      <c r="R107"/>
      <c r="S107"/>
      <c r="T107"/>
      <c r="U107"/>
      <c r="V107"/>
      <c r="W107"/>
      <c r="X107"/>
      <c r="Y107"/>
      <c r="Z107"/>
      <c r="AA107"/>
      <c r="AB107"/>
      <c r="AC107"/>
    </row>
    <row r="108" spans="1:29" ht="15.75">
      <c r="A108" s="28"/>
      <c r="B108" s="346">
        <f t="shared" si="9"/>
        <v>72</v>
      </c>
      <c r="C108" s="347">
        <f t="shared" si="10"/>
        <v>0</v>
      </c>
      <c r="D108" s="347">
        <f t="shared" si="11"/>
        <v>0</v>
      </c>
      <c r="E108" s="347">
        <f t="shared" si="12"/>
        <v>0</v>
      </c>
      <c r="F108" s="347">
        <f t="shared" si="13"/>
        <v>399999.99999999965</v>
      </c>
      <c r="G108" s="347">
        <f t="shared" si="14"/>
        <v>0</v>
      </c>
      <c r="H108" s="347">
        <f t="shared" si="15"/>
        <v>380617.22096331924</v>
      </c>
      <c r="I108" s="347">
        <f t="shared" si="16"/>
        <v>0</v>
      </c>
      <c r="J108" s="347">
        <f t="shared" si="17"/>
        <v>0</v>
      </c>
      <c r="K108"/>
      <c r="L108"/>
      <c r="M108"/>
      <c r="N108"/>
      <c r="O108"/>
      <c r="P108"/>
      <c r="Q108"/>
      <c r="R108"/>
      <c r="S108"/>
      <c r="T108"/>
      <c r="U108"/>
      <c r="V108"/>
      <c r="W108"/>
      <c r="X108"/>
      <c r="Y108"/>
      <c r="Z108"/>
      <c r="AA108"/>
      <c r="AB108"/>
      <c r="AC108"/>
    </row>
    <row r="109" spans="1:29" ht="15.75">
      <c r="A109" s="28"/>
      <c r="B109" s="346">
        <f t="shared" si="9"/>
        <v>73</v>
      </c>
      <c r="C109" s="347">
        <f t="shared" si="10"/>
        <v>0</v>
      </c>
      <c r="D109" s="347">
        <f t="shared" si="11"/>
        <v>0</v>
      </c>
      <c r="E109" s="347">
        <f t="shared" si="12"/>
        <v>0</v>
      </c>
      <c r="F109" s="347">
        <f t="shared" si="13"/>
        <v>399999.99999999965</v>
      </c>
      <c r="G109" s="347">
        <f t="shared" si="14"/>
        <v>0</v>
      </c>
      <c r="H109" s="347">
        <f t="shared" si="15"/>
        <v>380617.22096331924</v>
      </c>
      <c r="I109" s="347">
        <f t="shared" si="16"/>
        <v>0</v>
      </c>
      <c r="J109" s="347">
        <f t="shared" si="17"/>
        <v>0</v>
      </c>
      <c r="K109"/>
      <c r="L109"/>
      <c r="M109"/>
      <c r="N109"/>
      <c r="O109"/>
      <c r="P109"/>
      <c r="Q109"/>
      <c r="R109"/>
      <c r="S109"/>
      <c r="T109"/>
      <c r="U109"/>
      <c r="V109"/>
      <c r="W109"/>
      <c r="X109"/>
      <c r="Y109"/>
      <c r="Z109"/>
      <c r="AA109"/>
      <c r="AB109"/>
      <c r="AC109"/>
    </row>
    <row r="110" spans="1:29" ht="15.75">
      <c r="A110" s="28"/>
      <c r="B110" s="346">
        <f t="shared" si="9"/>
        <v>74</v>
      </c>
      <c r="C110" s="347">
        <f t="shared" si="10"/>
        <v>0</v>
      </c>
      <c r="D110" s="347">
        <f t="shared" si="11"/>
        <v>0</v>
      </c>
      <c r="E110" s="347">
        <f t="shared" si="12"/>
        <v>0</v>
      </c>
      <c r="F110" s="347">
        <f t="shared" si="13"/>
        <v>399999.99999999965</v>
      </c>
      <c r="G110" s="347">
        <f t="shared" si="14"/>
        <v>0</v>
      </c>
      <c r="H110" s="347">
        <f t="shared" si="15"/>
        <v>380617.22096331924</v>
      </c>
      <c r="I110" s="347">
        <f t="shared" si="16"/>
        <v>0</v>
      </c>
      <c r="J110" s="347">
        <f t="shared" si="17"/>
        <v>0</v>
      </c>
      <c r="K110"/>
      <c r="L110"/>
      <c r="M110"/>
      <c r="N110"/>
      <c r="O110"/>
      <c r="P110"/>
      <c r="Q110"/>
      <c r="R110"/>
      <c r="S110"/>
      <c r="T110"/>
      <c r="U110"/>
      <c r="V110"/>
      <c r="W110"/>
      <c r="X110"/>
      <c r="Y110"/>
      <c r="Z110"/>
      <c r="AA110"/>
      <c r="AB110"/>
      <c r="AC110"/>
    </row>
    <row r="111" spans="1:29" ht="15.75">
      <c r="A111" s="28"/>
      <c r="B111" s="346">
        <f t="shared" si="9"/>
        <v>75</v>
      </c>
      <c r="C111" s="347">
        <f t="shared" si="10"/>
        <v>0</v>
      </c>
      <c r="D111" s="347">
        <f t="shared" si="11"/>
        <v>0</v>
      </c>
      <c r="E111" s="347">
        <f t="shared" si="12"/>
        <v>0</v>
      </c>
      <c r="F111" s="347">
        <f t="shared" si="13"/>
        <v>399999.99999999965</v>
      </c>
      <c r="G111" s="347">
        <f t="shared" si="14"/>
        <v>0</v>
      </c>
      <c r="H111" s="347">
        <f t="shared" si="15"/>
        <v>380617.22096331924</v>
      </c>
      <c r="I111" s="347">
        <f t="shared" si="16"/>
        <v>0</v>
      </c>
      <c r="J111" s="347">
        <f t="shared" si="17"/>
        <v>0</v>
      </c>
      <c r="K111"/>
      <c r="L111"/>
      <c r="M111"/>
      <c r="N111"/>
      <c r="O111"/>
      <c r="P111"/>
      <c r="Q111"/>
      <c r="R111"/>
      <c r="S111"/>
      <c r="T111"/>
      <c r="U111"/>
      <c r="V111"/>
      <c r="W111"/>
      <c r="X111"/>
      <c r="Y111"/>
      <c r="Z111"/>
      <c r="AA111"/>
      <c r="AB111"/>
      <c r="AC111"/>
    </row>
    <row r="112" spans="1:29" ht="15.75">
      <c r="A112" s="28"/>
      <c r="B112" s="346">
        <f t="shared" si="9"/>
        <v>76</v>
      </c>
      <c r="C112" s="347">
        <f t="shared" si="10"/>
        <v>0</v>
      </c>
      <c r="D112" s="347">
        <f t="shared" si="11"/>
        <v>0</v>
      </c>
      <c r="E112" s="347">
        <f t="shared" si="12"/>
        <v>0</v>
      </c>
      <c r="F112" s="347">
        <f t="shared" si="13"/>
        <v>399999.99999999965</v>
      </c>
      <c r="G112" s="347">
        <f t="shared" si="14"/>
        <v>0</v>
      </c>
      <c r="H112" s="347">
        <f t="shared" si="15"/>
        <v>380617.22096331924</v>
      </c>
      <c r="I112" s="347">
        <f t="shared" si="16"/>
        <v>0</v>
      </c>
      <c r="J112" s="347">
        <f t="shared" si="17"/>
        <v>0</v>
      </c>
      <c r="K112"/>
      <c r="L112"/>
      <c r="M112"/>
      <c r="N112"/>
      <c r="O112"/>
      <c r="P112"/>
      <c r="Q112"/>
      <c r="R112"/>
      <c r="S112"/>
      <c r="T112"/>
      <c r="U112"/>
      <c r="V112"/>
      <c r="W112"/>
      <c r="X112"/>
      <c r="Y112"/>
      <c r="Z112"/>
      <c r="AA112"/>
      <c r="AB112"/>
      <c r="AC112"/>
    </row>
    <row r="113" spans="1:29" ht="15.75">
      <c r="A113" s="28"/>
      <c r="B113" s="346">
        <f t="shared" si="9"/>
        <v>77</v>
      </c>
      <c r="C113" s="347">
        <f t="shared" si="10"/>
        <v>0</v>
      </c>
      <c r="D113" s="347">
        <f t="shared" si="11"/>
        <v>0</v>
      </c>
      <c r="E113" s="347">
        <f t="shared" si="12"/>
        <v>0</v>
      </c>
      <c r="F113" s="347">
        <f t="shared" si="13"/>
        <v>399999.99999999965</v>
      </c>
      <c r="G113" s="347">
        <f t="shared" si="14"/>
        <v>0</v>
      </c>
      <c r="H113" s="347">
        <f t="shared" si="15"/>
        <v>380617.22096331924</v>
      </c>
      <c r="I113" s="347">
        <f t="shared" si="16"/>
        <v>0</v>
      </c>
      <c r="J113" s="347">
        <f t="shared" si="17"/>
        <v>0</v>
      </c>
      <c r="K113"/>
      <c r="L113"/>
      <c r="M113"/>
      <c r="N113"/>
      <c r="O113"/>
      <c r="P113"/>
      <c r="Q113"/>
      <c r="R113"/>
      <c r="S113"/>
      <c r="T113"/>
      <c r="U113"/>
      <c r="V113"/>
      <c r="W113"/>
      <c r="X113"/>
      <c r="Y113"/>
      <c r="Z113"/>
      <c r="AA113"/>
      <c r="AB113"/>
      <c r="AC113"/>
    </row>
    <row r="114" spans="1:29" ht="15.75">
      <c r="A114" s="28"/>
      <c r="B114" s="346">
        <f t="shared" si="9"/>
        <v>78</v>
      </c>
      <c r="C114" s="347">
        <f t="shared" si="10"/>
        <v>0</v>
      </c>
      <c r="D114" s="347">
        <f t="shared" si="11"/>
        <v>0</v>
      </c>
      <c r="E114" s="347">
        <f t="shared" si="12"/>
        <v>0</v>
      </c>
      <c r="F114" s="347">
        <f t="shared" si="13"/>
        <v>399999.99999999965</v>
      </c>
      <c r="G114" s="347">
        <f t="shared" si="14"/>
        <v>0</v>
      </c>
      <c r="H114" s="347">
        <f t="shared" si="15"/>
        <v>380617.22096331924</v>
      </c>
      <c r="I114" s="347">
        <f t="shared" si="16"/>
        <v>0</v>
      </c>
      <c r="J114" s="347">
        <f t="shared" si="17"/>
        <v>0</v>
      </c>
      <c r="K114"/>
      <c r="L114"/>
      <c r="M114"/>
      <c r="N114"/>
      <c r="O114"/>
      <c r="P114"/>
      <c r="Q114"/>
      <c r="R114"/>
      <c r="S114"/>
      <c r="T114"/>
      <c r="U114"/>
      <c r="V114"/>
      <c r="W114"/>
      <c r="X114"/>
      <c r="Y114"/>
      <c r="Z114"/>
      <c r="AA114"/>
      <c r="AB114"/>
      <c r="AC114"/>
    </row>
    <row r="115" spans="1:29" ht="15.75">
      <c r="A115" s="28"/>
      <c r="B115" s="346">
        <f t="shared" si="9"/>
        <v>79</v>
      </c>
      <c r="C115" s="347">
        <f t="shared" si="10"/>
        <v>0</v>
      </c>
      <c r="D115" s="347">
        <f t="shared" si="11"/>
        <v>0</v>
      </c>
      <c r="E115" s="347">
        <f t="shared" si="12"/>
        <v>0</v>
      </c>
      <c r="F115" s="347">
        <f t="shared" si="13"/>
        <v>399999.99999999965</v>
      </c>
      <c r="G115" s="347">
        <f t="shared" si="14"/>
        <v>0</v>
      </c>
      <c r="H115" s="347">
        <f t="shared" si="15"/>
        <v>380617.22096331924</v>
      </c>
      <c r="I115" s="347">
        <f t="shared" si="16"/>
        <v>0</v>
      </c>
      <c r="J115" s="347">
        <f t="shared" si="17"/>
        <v>0</v>
      </c>
      <c r="K115"/>
      <c r="L115"/>
      <c r="M115"/>
      <c r="N115"/>
      <c r="O115"/>
      <c r="P115"/>
      <c r="Q115"/>
      <c r="R115"/>
      <c r="S115"/>
      <c r="T115"/>
      <c r="U115"/>
      <c r="V115"/>
      <c r="W115"/>
      <c r="X115"/>
      <c r="Y115"/>
      <c r="Z115"/>
      <c r="AA115"/>
      <c r="AB115"/>
      <c r="AC115"/>
    </row>
    <row r="116" spans="1:29" ht="15.75">
      <c r="A116" s="28"/>
      <c r="B116" s="346">
        <f t="shared" si="9"/>
        <v>80</v>
      </c>
      <c r="C116" s="347">
        <f t="shared" si="10"/>
        <v>0</v>
      </c>
      <c r="D116" s="347">
        <f t="shared" si="11"/>
        <v>0</v>
      </c>
      <c r="E116" s="347">
        <f t="shared" si="12"/>
        <v>0</v>
      </c>
      <c r="F116" s="347">
        <f t="shared" si="13"/>
        <v>399999.99999999965</v>
      </c>
      <c r="G116" s="347">
        <f t="shared" si="14"/>
        <v>0</v>
      </c>
      <c r="H116" s="347">
        <f t="shared" si="15"/>
        <v>380617.22096331924</v>
      </c>
      <c r="I116" s="347">
        <f t="shared" si="16"/>
        <v>0</v>
      </c>
      <c r="J116" s="347">
        <f t="shared" si="17"/>
        <v>0</v>
      </c>
      <c r="K116"/>
      <c r="L116"/>
      <c r="M116"/>
      <c r="N116"/>
      <c r="O116"/>
      <c r="P116"/>
      <c r="Q116"/>
      <c r="R116"/>
      <c r="S116"/>
      <c r="T116"/>
      <c r="U116"/>
      <c r="V116"/>
      <c r="W116"/>
      <c r="X116"/>
      <c r="Y116"/>
      <c r="Z116"/>
      <c r="AA116"/>
      <c r="AB116"/>
      <c r="AC116"/>
    </row>
    <row r="117" spans="1:29" ht="15.75">
      <c r="A117" s="28"/>
      <c r="B117" s="346">
        <f t="shared" si="9"/>
        <v>81</v>
      </c>
      <c r="C117" s="347">
        <f t="shared" si="10"/>
        <v>0</v>
      </c>
      <c r="D117" s="347">
        <f t="shared" si="11"/>
        <v>0</v>
      </c>
      <c r="E117" s="347">
        <f t="shared" si="12"/>
        <v>0</v>
      </c>
      <c r="F117" s="347">
        <f t="shared" si="13"/>
        <v>399999.99999999965</v>
      </c>
      <c r="G117" s="347">
        <f t="shared" si="14"/>
        <v>0</v>
      </c>
      <c r="H117" s="347">
        <f t="shared" si="15"/>
        <v>380617.22096331924</v>
      </c>
      <c r="I117" s="347">
        <f t="shared" si="16"/>
        <v>0</v>
      </c>
      <c r="J117" s="347">
        <f t="shared" si="17"/>
        <v>0</v>
      </c>
      <c r="K117"/>
      <c r="L117"/>
      <c r="M117"/>
      <c r="N117"/>
      <c r="O117"/>
      <c r="P117"/>
      <c r="Q117"/>
      <c r="R117"/>
      <c r="S117"/>
      <c r="T117"/>
      <c r="U117"/>
      <c r="V117"/>
      <c r="W117"/>
      <c r="X117"/>
      <c r="Y117"/>
      <c r="Z117"/>
      <c r="AA117"/>
      <c r="AB117"/>
      <c r="AC117"/>
    </row>
    <row r="118" spans="1:29" ht="15.75">
      <c r="A118" s="28"/>
      <c r="B118" s="346">
        <f t="shared" si="9"/>
        <v>82</v>
      </c>
      <c r="C118" s="347">
        <f t="shared" si="10"/>
        <v>0</v>
      </c>
      <c r="D118" s="347">
        <f t="shared" si="11"/>
        <v>0</v>
      </c>
      <c r="E118" s="347">
        <f t="shared" si="12"/>
        <v>0</v>
      </c>
      <c r="F118" s="347">
        <f t="shared" si="13"/>
        <v>399999.99999999965</v>
      </c>
      <c r="G118" s="347">
        <f t="shared" si="14"/>
        <v>0</v>
      </c>
      <c r="H118" s="347">
        <f t="shared" si="15"/>
        <v>380617.22096331924</v>
      </c>
      <c r="I118" s="347">
        <f t="shared" si="16"/>
        <v>0</v>
      </c>
      <c r="J118" s="347">
        <f t="shared" si="17"/>
        <v>0</v>
      </c>
      <c r="K118"/>
      <c r="L118"/>
      <c r="M118"/>
      <c r="N118"/>
      <c r="O118"/>
      <c r="P118"/>
      <c r="Q118"/>
      <c r="R118"/>
      <c r="S118"/>
      <c r="T118"/>
      <c r="U118"/>
      <c r="V118"/>
      <c r="W118"/>
      <c r="X118"/>
      <c r="Y118"/>
      <c r="Z118"/>
      <c r="AA118"/>
      <c r="AB118"/>
      <c r="AC118"/>
    </row>
    <row r="119" spans="1:29" ht="15.75">
      <c r="A119" s="28"/>
      <c r="B119" s="346">
        <f t="shared" si="9"/>
        <v>83</v>
      </c>
      <c r="C119" s="347">
        <f t="shared" si="10"/>
        <v>0</v>
      </c>
      <c r="D119" s="347">
        <f t="shared" si="11"/>
        <v>0</v>
      </c>
      <c r="E119" s="347">
        <f t="shared" si="12"/>
        <v>0</v>
      </c>
      <c r="F119" s="347">
        <f t="shared" si="13"/>
        <v>399999.99999999965</v>
      </c>
      <c r="G119" s="347">
        <f t="shared" si="14"/>
        <v>0</v>
      </c>
      <c r="H119" s="347">
        <f t="shared" si="15"/>
        <v>380617.22096331924</v>
      </c>
      <c r="I119" s="347">
        <f t="shared" si="16"/>
        <v>0</v>
      </c>
      <c r="J119" s="347">
        <f t="shared" si="17"/>
        <v>0</v>
      </c>
      <c r="K119"/>
      <c r="L119"/>
      <c r="M119"/>
      <c r="N119"/>
      <c r="O119"/>
      <c r="P119"/>
      <c r="Q119"/>
      <c r="R119"/>
      <c r="S119"/>
      <c r="T119"/>
      <c r="U119"/>
      <c r="V119"/>
      <c r="W119"/>
      <c r="X119"/>
      <c r="Y119"/>
      <c r="Z119"/>
      <c r="AA119"/>
      <c r="AB119"/>
      <c r="AC119"/>
    </row>
    <row r="120" spans="1:29" ht="15.75">
      <c r="A120" s="28"/>
      <c r="B120" s="346">
        <f t="shared" si="9"/>
        <v>84</v>
      </c>
      <c r="C120" s="347">
        <f t="shared" si="10"/>
        <v>0</v>
      </c>
      <c r="D120" s="347">
        <f t="shared" si="11"/>
        <v>0</v>
      </c>
      <c r="E120" s="347">
        <f t="shared" si="12"/>
        <v>0</v>
      </c>
      <c r="F120" s="347">
        <f t="shared" si="13"/>
        <v>399999.99999999965</v>
      </c>
      <c r="G120" s="347">
        <f t="shared" si="14"/>
        <v>0</v>
      </c>
      <c r="H120" s="347">
        <f t="shared" si="15"/>
        <v>380617.22096331924</v>
      </c>
      <c r="I120" s="347">
        <f t="shared" si="16"/>
        <v>0</v>
      </c>
      <c r="J120" s="347">
        <f t="shared" si="17"/>
        <v>0</v>
      </c>
      <c r="K120"/>
      <c r="L120"/>
      <c r="M120"/>
      <c r="N120"/>
      <c r="O120"/>
      <c r="P120"/>
      <c r="Q120"/>
      <c r="R120"/>
      <c r="S120"/>
      <c r="T120"/>
      <c r="U120"/>
      <c r="V120"/>
      <c r="W120"/>
      <c r="X120"/>
      <c r="Y120"/>
      <c r="Z120"/>
      <c r="AA120"/>
      <c r="AB120"/>
      <c r="AC120"/>
    </row>
    <row r="121" spans="1:29" ht="15.75">
      <c r="A121" s="28"/>
      <c r="B121" s="346">
        <f t="shared" si="9"/>
        <v>85</v>
      </c>
      <c r="C121" s="347">
        <f t="shared" si="10"/>
        <v>0</v>
      </c>
      <c r="D121" s="347">
        <f t="shared" si="11"/>
        <v>0</v>
      </c>
      <c r="E121" s="347">
        <f t="shared" si="12"/>
        <v>0</v>
      </c>
      <c r="F121" s="347">
        <f t="shared" si="13"/>
        <v>399999.99999999965</v>
      </c>
      <c r="G121" s="347">
        <f t="shared" si="14"/>
        <v>0</v>
      </c>
      <c r="H121" s="347">
        <f t="shared" si="15"/>
        <v>380617.22096331924</v>
      </c>
      <c r="I121" s="347">
        <f t="shared" si="16"/>
        <v>0</v>
      </c>
      <c r="J121" s="347">
        <f t="shared" si="17"/>
        <v>0</v>
      </c>
      <c r="K121"/>
      <c r="L121"/>
      <c r="M121"/>
      <c r="N121"/>
      <c r="O121"/>
      <c r="P121"/>
      <c r="Q121"/>
      <c r="R121"/>
      <c r="S121"/>
      <c r="T121"/>
      <c r="U121"/>
      <c r="V121"/>
      <c r="W121"/>
      <c r="X121"/>
      <c r="Y121"/>
      <c r="Z121"/>
      <c r="AA121"/>
      <c r="AB121"/>
      <c r="AC121"/>
    </row>
    <row r="122" spans="1:29" ht="15.75">
      <c r="A122" s="28"/>
      <c r="B122" s="346">
        <f t="shared" si="9"/>
        <v>86</v>
      </c>
      <c r="C122" s="347">
        <f t="shared" si="10"/>
        <v>0</v>
      </c>
      <c r="D122" s="347">
        <f t="shared" si="11"/>
        <v>0</v>
      </c>
      <c r="E122" s="347">
        <f t="shared" si="12"/>
        <v>0</v>
      </c>
      <c r="F122" s="347">
        <f t="shared" si="13"/>
        <v>399999.99999999965</v>
      </c>
      <c r="G122" s="347">
        <f t="shared" si="14"/>
        <v>0</v>
      </c>
      <c r="H122" s="347">
        <f t="shared" si="15"/>
        <v>380617.22096331924</v>
      </c>
      <c r="I122" s="347">
        <f t="shared" si="16"/>
        <v>0</v>
      </c>
      <c r="J122" s="347">
        <f t="shared" si="17"/>
        <v>0</v>
      </c>
      <c r="K122"/>
      <c r="L122"/>
      <c r="M122"/>
      <c r="N122"/>
      <c r="O122"/>
      <c r="P122"/>
      <c r="Q122"/>
      <c r="R122"/>
      <c r="S122"/>
      <c r="T122"/>
      <c r="U122"/>
      <c r="V122"/>
      <c r="W122"/>
      <c r="X122"/>
      <c r="Y122"/>
      <c r="Z122"/>
      <c r="AA122"/>
      <c r="AB122"/>
      <c r="AC122"/>
    </row>
    <row r="123" spans="1:29" ht="15.75">
      <c r="A123" s="28"/>
      <c r="B123" s="346">
        <f t="shared" si="9"/>
        <v>87</v>
      </c>
      <c r="C123" s="347">
        <f t="shared" si="10"/>
        <v>0</v>
      </c>
      <c r="D123" s="347">
        <f t="shared" si="11"/>
        <v>0</v>
      </c>
      <c r="E123" s="347">
        <f t="shared" si="12"/>
        <v>0</v>
      </c>
      <c r="F123" s="347">
        <f t="shared" si="13"/>
        <v>399999.99999999965</v>
      </c>
      <c r="G123" s="347">
        <f t="shared" si="14"/>
        <v>0</v>
      </c>
      <c r="H123" s="347">
        <f t="shared" si="15"/>
        <v>380617.22096331924</v>
      </c>
      <c r="I123" s="347">
        <f t="shared" si="16"/>
        <v>0</v>
      </c>
      <c r="J123" s="347">
        <f t="shared" si="17"/>
        <v>0</v>
      </c>
      <c r="K123"/>
      <c r="L123"/>
      <c r="M123"/>
      <c r="N123"/>
      <c r="O123"/>
      <c r="P123"/>
      <c r="Q123"/>
      <c r="R123"/>
      <c r="S123"/>
      <c r="T123"/>
      <c r="U123"/>
      <c r="V123"/>
      <c r="W123"/>
      <c r="X123"/>
      <c r="Y123"/>
      <c r="Z123"/>
      <c r="AA123"/>
      <c r="AB123"/>
      <c r="AC123"/>
    </row>
    <row r="124" spans="1:29" ht="15.75">
      <c r="A124" s="28"/>
      <c r="B124" s="346">
        <f t="shared" si="9"/>
        <v>88</v>
      </c>
      <c r="C124" s="347">
        <f t="shared" si="10"/>
        <v>0</v>
      </c>
      <c r="D124" s="347">
        <f t="shared" si="11"/>
        <v>0</v>
      </c>
      <c r="E124" s="347">
        <f t="shared" si="12"/>
        <v>0</v>
      </c>
      <c r="F124" s="347">
        <f t="shared" si="13"/>
        <v>399999.99999999965</v>
      </c>
      <c r="G124" s="347">
        <f t="shared" si="14"/>
        <v>0</v>
      </c>
      <c r="H124" s="347">
        <f t="shared" si="15"/>
        <v>380617.22096331924</v>
      </c>
      <c r="I124" s="347">
        <f t="shared" si="16"/>
        <v>0</v>
      </c>
      <c r="J124" s="347">
        <f t="shared" si="17"/>
        <v>0</v>
      </c>
      <c r="K124"/>
      <c r="L124"/>
      <c r="M124"/>
      <c r="N124"/>
      <c r="O124"/>
      <c r="P124"/>
      <c r="Q124"/>
      <c r="R124"/>
      <c r="S124"/>
      <c r="T124"/>
      <c r="U124"/>
      <c r="V124"/>
      <c r="W124"/>
      <c r="X124"/>
      <c r="Y124"/>
      <c r="Z124"/>
      <c r="AA124"/>
      <c r="AB124"/>
      <c r="AC124"/>
    </row>
    <row r="125" spans="1:29" ht="15.75">
      <c r="A125" s="28"/>
      <c r="B125" s="346">
        <f t="shared" si="9"/>
        <v>89</v>
      </c>
      <c r="C125" s="347">
        <f t="shared" si="10"/>
        <v>0</v>
      </c>
      <c r="D125" s="347">
        <f t="shared" si="11"/>
        <v>0</v>
      </c>
      <c r="E125" s="347">
        <f t="shared" si="12"/>
        <v>0</v>
      </c>
      <c r="F125" s="347">
        <f t="shared" si="13"/>
        <v>399999.99999999965</v>
      </c>
      <c r="G125" s="347">
        <f t="shared" si="14"/>
        <v>0</v>
      </c>
      <c r="H125" s="347">
        <f t="shared" si="15"/>
        <v>380617.22096331924</v>
      </c>
      <c r="I125" s="347">
        <f t="shared" si="16"/>
        <v>0</v>
      </c>
      <c r="J125" s="347">
        <f t="shared" si="17"/>
        <v>0</v>
      </c>
      <c r="K125"/>
      <c r="L125"/>
      <c r="M125"/>
      <c r="N125"/>
      <c r="O125"/>
      <c r="P125"/>
      <c r="Q125"/>
      <c r="R125"/>
      <c r="S125"/>
      <c r="T125"/>
      <c r="U125"/>
      <c r="V125"/>
      <c r="W125"/>
      <c r="X125"/>
      <c r="Y125"/>
      <c r="Z125"/>
      <c r="AA125"/>
      <c r="AB125"/>
      <c r="AC125"/>
    </row>
    <row r="126" spans="1:29" ht="15.75">
      <c r="A126" s="28"/>
      <c r="B126" s="346">
        <f t="shared" si="9"/>
        <v>90</v>
      </c>
      <c r="C126" s="347">
        <f t="shared" si="10"/>
        <v>0</v>
      </c>
      <c r="D126" s="347">
        <f t="shared" si="11"/>
        <v>0</v>
      </c>
      <c r="E126" s="347">
        <f t="shared" si="12"/>
        <v>0</v>
      </c>
      <c r="F126" s="347">
        <f t="shared" si="13"/>
        <v>399999.99999999965</v>
      </c>
      <c r="G126" s="347">
        <f t="shared" si="14"/>
        <v>0</v>
      </c>
      <c r="H126" s="347">
        <f t="shared" si="15"/>
        <v>380617.22096331924</v>
      </c>
      <c r="I126" s="347">
        <f t="shared" si="16"/>
        <v>0</v>
      </c>
      <c r="J126" s="347">
        <f t="shared" si="17"/>
        <v>0</v>
      </c>
      <c r="K126"/>
      <c r="L126"/>
      <c r="M126"/>
      <c r="N126"/>
      <c r="O126"/>
      <c r="P126"/>
      <c r="Q126"/>
      <c r="R126"/>
      <c r="S126"/>
      <c r="T126"/>
      <c r="U126"/>
      <c r="V126"/>
      <c r="W126"/>
      <c r="X126"/>
      <c r="Y126"/>
      <c r="Z126"/>
      <c r="AA126"/>
      <c r="AB126"/>
      <c r="AC126"/>
    </row>
    <row r="127" spans="1:29" ht="15.75">
      <c r="A127" s="28"/>
      <c r="B127" s="346">
        <f t="shared" si="9"/>
        <v>91</v>
      </c>
      <c r="C127" s="347">
        <f t="shared" si="10"/>
        <v>0</v>
      </c>
      <c r="D127" s="347">
        <f t="shared" si="11"/>
        <v>0</v>
      </c>
      <c r="E127" s="347">
        <f t="shared" si="12"/>
        <v>0</v>
      </c>
      <c r="F127" s="347">
        <f t="shared" si="13"/>
        <v>399999.99999999965</v>
      </c>
      <c r="G127" s="347">
        <f t="shared" si="14"/>
        <v>0</v>
      </c>
      <c r="H127" s="347">
        <f t="shared" si="15"/>
        <v>380617.22096331924</v>
      </c>
      <c r="I127" s="347">
        <f t="shared" si="16"/>
        <v>0</v>
      </c>
      <c r="J127" s="347">
        <f t="shared" si="17"/>
        <v>0</v>
      </c>
      <c r="K127"/>
      <c r="L127"/>
      <c r="M127"/>
      <c r="N127"/>
      <c r="O127"/>
      <c r="P127"/>
      <c r="Q127"/>
      <c r="R127"/>
      <c r="S127"/>
      <c r="T127"/>
      <c r="U127"/>
      <c r="V127"/>
      <c r="W127"/>
      <c r="X127"/>
      <c r="Y127"/>
      <c r="Z127"/>
      <c r="AA127"/>
      <c r="AB127"/>
      <c r="AC127"/>
    </row>
    <row r="128" spans="1:29" ht="15.75">
      <c r="A128" s="28"/>
      <c r="B128" s="346">
        <f t="shared" si="9"/>
        <v>92</v>
      </c>
      <c r="C128" s="347">
        <f t="shared" si="10"/>
        <v>0</v>
      </c>
      <c r="D128" s="347">
        <f t="shared" si="11"/>
        <v>0</v>
      </c>
      <c r="E128" s="347">
        <f t="shared" si="12"/>
        <v>0</v>
      </c>
      <c r="F128" s="347">
        <f t="shared" si="13"/>
        <v>399999.99999999965</v>
      </c>
      <c r="G128" s="347">
        <f t="shared" si="14"/>
        <v>0</v>
      </c>
      <c r="H128" s="347">
        <f t="shared" si="15"/>
        <v>380617.22096331924</v>
      </c>
      <c r="I128" s="347">
        <f t="shared" si="16"/>
        <v>0</v>
      </c>
      <c r="J128" s="347">
        <f t="shared" si="17"/>
        <v>0</v>
      </c>
      <c r="K128"/>
      <c r="L128"/>
      <c r="M128"/>
      <c r="N128"/>
      <c r="O128"/>
      <c r="P128"/>
      <c r="Q128"/>
      <c r="R128"/>
      <c r="S128"/>
      <c r="T128"/>
      <c r="U128"/>
      <c r="V128"/>
      <c r="W128"/>
      <c r="X128"/>
      <c r="Y128"/>
      <c r="Z128"/>
      <c r="AA128"/>
      <c r="AB128"/>
      <c r="AC128"/>
    </row>
    <row r="129" spans="1:29" ht="15.75">
      <c r="A129" s="28"/>
      <c r="B129" s="346">
        <f t="shared" si="9"/>
        <v>93</v>
      </c>
      <c r="C129" s="347">
        <f t="shared" si="10"/>
        <v>0</v>
      </c>
      <c r="D129" s="347">
        <f t="shared" si="11"/>
        <v>0</v>
      </c>
      <c r="E129" s="347">
        <f t="shared" si="12"/>
        <v>0</v>
      </c>
      <c r="F129" s="347">
        <f t="shared" si="13"/>
        <v>399999.99999999965</v>
      </c>
      <c r="G129" s="347">
        <f t="shared" si="14"/>
        <v>0</v>
      </c>
      <c r="H129" s="347">
        <f t="shared" si="15"/>
        <v>380617.22096331924</v>
      </c>
      <c r="I129" s="347">
        <f t="shared" si="16"/>
        <v>0</v>
      </c>
      <c r="J129" s="347">
        <f t="shared" si="17"/>
        <v>0</v>
      </c>
      <c r="K129"/>
      <c r="L129"/>
      <c r="M129"/>
      <c r="N129"/>
      <c r="O129"/>
      <c r="P129"/>
      <c r="Q129"/>
      <c r="R129"/>
      <c r="S129"/>
      <c r="T129"/>
      <c r="U129"/>
      <c r="V129"/>
      <c r="W129"/>
      <c r="X129"/>
      <c r="Y129"/>
      <c r="Z129"/>
      <c r="AA129"/>
      <c r="AB129"/>
      <c r="AC129"/>
    </row>
    <row r="130" spans="1:29" ht="15.75">
      <c r="A130" s="28"/>
      <c r="B130" s="346">
        <f t="shared" si="9"/>
        <v>94</v>
      </c>
      <c r="C130" s="347">
        <f t="shared" si="10"/>
        <v>0</v>
      </c>
      <c r="D130" s="347">
        <f t="shared" si="11"/>
        <v>0</v>
      </c>
      <c r="E130" s="347">
        <f t="shared" si="12"/>
        <v>0</v>
      </c>
      <c r="F130" s="347">
        <f t="shared" si="13"/>
        <v>399999.99999999965</v>
      </c>
      <c r="G130" s="347">
        <f t="shared" si="14"/>
        <v>0</v>
      </c>
      <c r="H130" s="347">
        <f t="shared" si="15"/>
        <v>380617.22096331924</v>
      </c>
      <c r="I130" s="347">
        <f t="shared" si="16"/>
        <v>0</v>
      </c>
      <c r="J130" s="347">
        <f t="shared" si="17"/>
        <v>0</v>
      </c>
      <c r="K130"/>
      <c r="L130"/>
      <c r="M130"/>
      <c r="N130"/>
      <c r="O130"/>
      <c r="P130"/>
      <c r="Q130"/>
      <c r="R130"/>
      <c r="S130"/>
      <c r="T130"/>
      <c r="U130"/>
      <c r="V130"/>
      <c r="W130"/>
      <c r="X130"/>
      <c r="Y130"/>
      <c r="Z130"/>
      <c r="AA130"/>
      <c r="AB130"/>
      <c r="AC130"/>
    </row>
    <row r="131" spans="1:29" ht="15.75">
      <c r="A131" s="28"/>
      <c r="B131" s="346">
        <f t="shared" si="9"/>
        <v>95</v>
      </c>
      <c r="C131" s="347">
        <f t="shared" si="10"/>
        <v>0</v>
      </c>
      <c r="D131" s="347">
        <f t="shared" si="11"/>
        <v>0</v>
      </c>
      <c r="E131" s="347">
        <f t="shared" si="12"/>
        <v>0</v>
      </c>
      <c r="F131" s="347">
        <f t="shared" si="13"/>
        <v>399999.99999999965</v>
      </c>
      <c r="G131" s="347">
        <f t="shared" si="14"/>
        <v>0</v>
      </c>
      <c r="H131" s="347">
        <f t="shared" si="15"/>
        <v>380617.22096331924</v>
      </c>
      <c r="I131" s="347">
        <f t="shared" si="16"/>
        <v>0</v>
      </c>
      <c r="J131" s="347">
        <f t="shared" si="17"/>
        <v>0</v>
      </c>
      <c r="K131"/>
      <c r="L131"/>
      <c r="M131"/>
      <c r="N131"/>
      <c r="O131"/>
      <c r="P131"/>
      <c r="Q131"/>
      <c r="R131"/>
      <c r="S131"/>
      <c r="T131"/>
      <c r="U131"/>
      <c r="V131"/>
      <c r="W131"/>
      <c r="X131"/>
      <c r="Y131"/>
      <c r="Z131"/>
      <c r="AA131"/>
      <c r="AB131"/>
      <c r="AC131"/>
    </row>
    <row r="132" spans="1:29" ht="15.75">
      <c r="A132" s="28"/>
      <c r="B132" s="346">
        <f t="shared" si="9"/>
        <v>96</v>
      </c>
      <c r="C132" s="347">
        <f t="shared" si="10"/>
        <v>0</v>
      </c>
      <c r="D132" s="347">
        <f t="shared" si="11"/>
        <v>0</v>
      </c>
      <c r="E132" s="347">
        <f t="shared" si="12"/>
        <v>0</v>
      </c>
      <c r="F132" s="347">
        <f t="shared" si="13"/>
        <v>399999.99999999965</v>
      </c>
      <c r="G132" s="347">
        <f t="shared" si="14"/>
        <v>0</v>
      </c>
      <c r="H132" s="347">
        <f t="shared" si="15"/>
        <v>380617.22096331924</v>
      </c>
      <c r="I132" s="347">
        <f t="shared" si="16"/>
        <v>0</v>
      </c>
      <c r="J132" s="347">
        <f t="shared" si="17"/>
        <v>0</v>
      </c>
      <c r="K132"/>
      <c r="L132"/>
      <c r="M132"/>
      <c r="N132"/>
      <c r="O132"/>
      <c r="P132"/>
      <c r="Q132"/>
      <c r="R132"/>
      <c r="S132"/>
      <c r="T132"/>
      <c r="U132"/>
      <c r="V132"/>
      <c r="W132"/>
      <c r="X132"/>
      <c r="Y132"/>
      <c r="Z132"/>
      <c r="AA132"/>
      <c r="AB132"/>
      <c r="AC132"/>
    </row>
    <row r="133" spans="1:29" ht="15.75">
      <c r="A133" s="28"/>
      <c r="B133" s="346">
        <f t="shared" si="9"/>
        <v>97</v>
      </c>
      <c r="C133" s="347">
        <f t="shared" si="10"/>
        <v>0</v>
      </c>
      <c r="D133" s="347">
        <f t="shared" si="11"/>
        <v>0</v>
      </c>
      <c r="E133" s="347">
        <f t="shared" si="12"/>
        <v>0</v>
      </c>
      <c r="F133" s="347">
        <f t="shared" si="13"/>
        <v>399999.99999999965</v>
      </c>
      <c r="G133" s="347">
        <f t="shared" si="14"/>
        <v>0</v>
      </c>
      <c r="H133" s="347">
        <f t="shared" si="15"/>
        <v>380617.22096331924</v>
      </c>
      <c r="I133" s="347">
        <f t="shared" si="16"/>
        <v>0</v>
      </c>
      <c r="J133" s="347">
        <f t="shared" si="17"/>
        <v>0</v>
      </c>
      <c r="K133"/>
      <c r="L133"/>
      <c r="M133"/>
      <c r="N133"/>
      <c r="O133"/>
      <c r="P133"/>
      <c r="Q133"/>
      <c r="R133"/>
      <c r="S133"/>
      <c r="T133"/>
      <c r="U133"/>
      <c r="V133"/>
      <c r="W133"/>
      <c r="X133"/>
      <c r="Y133"/>
      <c r="Z133"/>
      <c r="AA133"/>
      <c r="AB133"/>
      <c r="AC133"/>
    </row>
    <row r="134" spans="1:29" ht="15.75">
      <c r="A134" s="28"/>
      <c r="B134" s="346">
        <f t="shared" si="9"/>
        <v>98</v>
      </c>
      <c r="C134" s="347">
        <f t="shared" si="10"/>
        <v>0</v>
      </c>
      <c r="D134" s="347">
        <f t="shared" si="11"/>
        <v>0</v>
      </c>
      <c r="E134" s="347">
        <f t="shared" si="12"/>
        <v>0</v>
      </c>
      <c r="F134" s="347">
        <f t="shared" si="13"/>
        <v>399999.99999999965</v>
      </c>
      <c r="G134" s="347">
        <f t="shared" si="14"/>
        <v>0</v>
      </c>
      <c r="H134" s="347">
        <f t="shared" si="15"/>
        <v>380617.22096331924</v>
      </c>
      <c r="I134" s="347">
        <f t="shared" si="16"/>
        <v>0</v>
      </c>
      <c r="J134" s="347">
        <f t="shared" si="17"/>
        <v>0</v>
      </c>
      <c r="K134"/>
      <c r="L134"/>
      <c r="M134"/>
      <c r="N134"/>
      <c r="O134"/>
      <c r="P134"/>
      <c r="Q134"/>
      <c r="R134"/>
      <c r="S134"/>
      <c r="T134"/>
      <c r="U134"/>
      <c r="V134"/>
      <c r="W134"/>
      <c r="X134"/>
      <c r="Y134"/>
      <c r="Z134"/>
      <c r="AA134"/>
      <c r="AB134"/>
      <c r="AC134"/>
    </row>
    <row r="135" spans="1:29" ht="15.75">
      <c r="A135" s="28"/>
      <c r="B135" s="346">
        <f t="shared" si="9"/>
        <v>99</v>
      </c>
      <c r="C135" s="347">
        <f t="shared" si="10"/>
        <v>0</v>
      </c>
      <c r="D135" s="347">
        <f t="shared" si="11"/>
        <v>0</v>
      </c>
      <c r="E135" s="347">
        <f t="shared" si="12"/>
        <v>0</v>
      </c>
      <c r="F135" s="347">
        <f t="shared" si="13"/>
        <v>399999.99999999965</v>
      </c>
      <c r="G135" s="347">
        <f t="shared" si="14"/>
        <v>0</v>
      </c>
      <c r="H135" s="347">
        <f t="shared" si="15"/>
        <v>380617.22096331924</v>
      </c>
      <c r="I135" s="347">
        <f t="shared" si="16"/>
        <v>0</v>
      </c>
      <c r="J135" s="347">
        <f t="shared" si="17"/>
        <v>0</v>
      </c>
      <c r="K135"/>
      <c r="L135"/>
      <c r="M135"/>
      <c r="N135"/>
      <c r="O135"/>
      <c r="P135"/>
      <c r="Q135"/>
      <c r="R135"/>
      <c r="S135"/>
      <c r="T135"/>
      <c r="U135"/>
      <c r="V135"/>
      <c r="W135"/>
      <c r="X135"/>
      <c r="Y135"/>
      <c r="Z135"/>
      <c r="AA135"/>
      <c r="AB135"/>
      <c r="AC135"/>
    </row>
    <row r="136" spans="1:29" ht="15.75">
      <c r="A136" s="28"/>
      <c r="B136" s="346">
        <f t="shared" si="9"/>
        <v>100</v>
      </c>
      <c r="C136" s="347">
        <f t="shared" si="10"/>
        <v>0</v>
      </c>
      <c r="D136" s="347">
        <f t="shared" si="11"/>
        <v>0</v>
      </c>
      <c r="E136" s="347">
        <f t="shared" si="12"/>
        <v>0</v>
      </c>
      <c r="F136" s="347">
        <f t="shared" si="13"/>
        <v>399999.99999999965</v>
      </c>
      <c r="G136" s="347">
        <f t="shared" si="14"/>
        <v>0</v>
      </c>
      <c r="H136" s="347">
        <f t="shared" si="15"/>
        <v>380617.22096331924</v>
      </c>
      <c r="I136" s="347">
        <f t="shared" si="16"/>
        <v>0</v>
      </c>
      <c r="J136" s="347">
        <f t="shared" si="17"/>
        <v>0</v>
      </c>
      <c r="K136"/>
      <c r="L136"/>
      <c r="M136"/>
      <c r="N136"/>
      <c r="O136"/>
      <c r="P136"/>
      <c r="Q136"/>
      <c r="R136"/>
      <c r="S136"/>
      <c r="T136"/>
      <c r="U136"/>
      <c r="V136"/>
      <c r="W136"/>
      <c r="X136"/>
      <c r="Y136"/>
      <c r="Z136"/>
      <c r="AA136"/>
      <c r="AB136"/>
      <c r="AC136"/>
    </row>
    <row r="137" spans="1:29" ht="15.75">
      <c r="A137" s="28"/>
      <c r="B137" s="346">
        <f t="shared" si="9"/>
        <v>101</v>
      </c>
      <c r="C137" s="347">
        <f t="shared" si="10"/>
        <v>0</v>
      </c>
      <c r="D137" s="347">
        <f t="shared" si="11"/>
        <v>0</v>
      </c>
      <c r="E137" s="347">
        <f t="shared" si="12"/>
        <v>0</v>
      </c>
      <c r="F137" s="347">
        <f t="shared" si="13"/>
        <v>399999.99999999965</v>
      </c>
      <c r="G137" s="347">
        <f t="shared" si="14"/>
        <v>0</v>
      </c>
      <c r="H137" s="347">
        <f t="shared" si="15"/>
        <v>380617.22096331924</v>
      </c>
      <c r="I137" s="347">
        <f t="shared" si="16"/>
        <v>0</v>
      </c>
      <c r="J137" s="347">
        <f t="shared" si="17"/>
        <v>0</v>
      </c>
      <c r="K137"/>
      <c r="L137"/>
      <c r="M137"/>
      <c r="N137"/>
      <c r="O137"/>
      <c r="P137"/>
      <c r="Q137"/>
      <c r="R137"/>
      <c r="S137"/>
      <c r="T137"/>
      <c r="U137"/>
      <c r="V137"/>
      <c r="W137"/>
      <c r="X137"/>
      <c r="Y137"/>
      <c r="Z137"/>
      <c r="AA137"/>
      <c r="AB137"/>
      <c r="AC137"/>
    </row>
    <row r="138" spans="1:29" ht="15.75">
      <c r="A138" s="28"/>
      <c r="B138" s="346">
        <f t="shared" si="9"/>
        <v>102</v>
      </c>
      <c r="C138" s="347">
        <f t="shared" si="10"/>
        <v>0</v>
      </c>
      <c r="D138" s="347">
        <f t="shared" si="11"/>
        <v>0</v>
      </c>
      <c r="E138" s="347">
        <f t="shared" si="12"/>
        <v>0</v>
      </c>
      <c r="F138" s="347">
        <f t="shared" si="13"/>
        <v>399999.99999999965</v>
      </c>
      <c r="G138" s="347">
        <f t="shared" si="14"/>
        <v>0</v>
      </c>
      <c r="H138" s="347">
        <f t="shared" si="15"/>
        <v>380617.22096331924</v>
      </c>
      <c r="I138" s="347">
        <f t="shared" si="16"/>
        <v>0</v>
      </c>
      <c r="J138" s="347">
        <f t="shared" si="17"/>
        <v>0</v>
      </c>
      <c r="K138"/>
      <c r="L138"/>
      <c r="M138"/>
      <c r="N138"/>
      <c r="O138"/>
      <c r="P138"/>
      <c r="Q138"/>
      <c r="R138"/>
      <c r="S138"/>
      <c r="T138"/>
      <c r="U138"/>
      <c r="V138"/>
      <c r="W138"/>
      <c r="X138"/>
      <c r="Y138"/>
      <c r="Z138"/>
      <c r="AA138"/>
      <c r="AB138"/>
      <c r="AC138"/>
    </row>
    <row r="139" spans="1:29" ht="15.75">
      <c r="A139" s="28"/>
      <c r="B139" s="346">
        <f t="shared" si="9"/>
        <v>103</v>
      </c>
      <c r="C139" s="347">
        <f t="shared" si="10"/>
        <v>0</v>
      </c>
      <c r="D139" s="347">
        <f t="shared" si="11"/>
        <v>0</v>
      </c>
      <c r="E139" s="347">
        <f t="shared" si="12"/>
        <v>0</v>
      </c>
      <c r="F139" s="347">
        <f t="shared" si="13"/>
        <v>399999.99999999965</v>
      </c>
      <c r="G139" s="347">
        <f t="shared" si="14"/>
        <v>0</v>
      </c>
      <c r="H139" s="347">
        <f t="shared" si="15"/>
        <v>380617.22096331924</v>
      </c>
      <c r="I139" s="347">
        <f t="shared" si="16"/>
        <v>0</v>
      </c>
      <c r="J139" s="347">
        <f t="shared" si="17"/>
        <v>0</v>
      </c>
      <c r="K139"/>
      <c r="L139"/>
      <c r="M139"/>
      <c r="N139"/>
      <c r="O139"/>
      <c r="P139"/>
      <c r="Q139"/>
      <c r="R139"/>
      <c r="S139"/>
      <c r="T139"/>
      <c r="U139"/>
      <c r="V139"/>
      <c r="W139"/>
      <c r="X139"/>
      <c r="Y139"/>
      <c r="Z139"/>
      <c r="AA139"/>
      <c r="AB139"/>
      <c r="AC139"/>
    </row>
    <row r="140" spans="1:29" ht="15.75">
      <c r="A140" s="28"/>
      <c r="B140" s="346">
        <f t="shared" si="9"/>
        <v>104</v>
      </c>
      <c r="C140" s="347">
        <f t="shared" si="10"/>
        <v>0</v>
      </c>
      <c r="D140" s="347">
        <f t="shared" si="11"/>
        <v>0</v>
      </c>
      <c r="E140" s="347">
        <f t="shared" si="12"/>
        <v>0</v>
      </c>
      <c r="F140" s="347">
        <f t="shared" si="13"/>
        <v>399999.99999999965</v>
      </c>
      <c r="G140" s="347">
        <f t="shared" si="14"/>
        <v>0</v>
      </c>
      <c r="H140" s="347">
        <f t="shared" si="15"/>
        <v>380617.22096331924</v>
      </c>
      <c r="I140" s="347">
        <f t="shared" si="16"/>
        <v>0</v>
      </c>
      <c r="J140" s="347">
        <f t="shared" si="17"/>
        <v>0</v>
      </c>
      <c r="K140"/>
      <c r="L140"/>
      <c r="M140"/>
      <c r="N140"/>
      <c r="O140"/>
      <c r="P140"/>
      <c r="Q140"/>
      <c r="R140"/>
      <c r="S140"/>
      <c r="T140"/>
      <c r="U140"/>
      <c r="V140"/>
      <c r="W140"/>
      <c r="X140"/>
      <c r="Y140"/>
      <c r="Z140"/>
      <c r="AA140"/>
      <c r="AB140"/>
      <c r="AC140"/>
    </row>
    <row r="141" spans="1:29" ht="15.75">
      <c r="A141" s="28"/>
      <c r="B141" s="346">
        <f t="shared" si="9"/>
        <v>105</v>
      </c>
      <c r="C141" s="347">
        <f t="shared" si="10"/>
        <v>0</v>
      </c>
      <c r="D141" s="347">
        <f t="shared" si="11"/>
        <v>0</v>
      </c>
      <c r="E141" s="347">
        <f t="shared" si="12"/>
        <v>0</v>
      </c>
      <c r="F141" s="347">
        <f t="shared" si="13"/>
        <v>399999.99999999965</v>
      </c>
      <c r="G141" s="347">
        <f t="shared" si="14"/>
        <v>0</v>
      </c>
      <c r="H141" s="347">
        <f t="shared" si="15"/>
        <v>380617.22096331924</v>
      </c>
      <c r="I141" s="347">
        <f t="shared" si="16"/>
        <v>0</v>
      </c>
      <c r="J141" s="347">
        <f t="shared" si="17"/>
        <v>0</v>
      </c>
      <c r="K141"/>
      <c r="L141"/>
      <c r="M141"/>
      <c r="N141"/>
      <c r="O141"/>
      <c r="P141"/>
      <c r="Q141"/>
      <c r="R141"/>
      <c r="S141"/>
      <c r="T141"/>
      <c r="U141"/>
      <c r="V141"/>
      <c r="W141"/>
      <c r="X141"/>
      <c r="Y141"/>
      <c r="Z141"/>
      <c r="AA141"/>
      <c r="AB141"/>
      <c r="AC141"/>
    </row>
    <row r="142" spans="1:29" ht="15.75">
      <c r="A142" s="28"/>
      <c r="B142" s="346">
        <f t="shared" si="9"/>
        <v>106</v>
      </c>
      <c r="C142" s="347">
        <f t="shared" si="10"/>
        <v>0</v>
      </c>
      <c r="D142" s="347">
        <f t="shared" si="11"/>
        <v>0</v>
      </c>
      <c r="E142" s="347">
        <f t="shared" si="12"/>
        <v>0</v>
      </c>
      <c r="F142" s="347">
        <f t="shared" si="13"/>
        <v>399999.99999999965</v>
      </c>
      <c r="G142" s="347">
        <f t="shared" si="14"/>
        <v>0</v>
      </c>
      <c r="H142" s="347">
        <f t="shared" si="15"/>
        <v>380617.22096331924</v>
      </c>
      <c r="I142" s="347">
        <f t="shared" si="16"/>
        <v>0</v>
      </c>
      <c r="J142" s="347">
        <f t="shared" si="17"/>
        <v>0</v>
      </c>
      <c r="K142"/>
      <c r="L142"/>
      <c r="M142"/>
      <c r="N142"/>
      <c r="O142"/>
      <c r="P142"/>
      <c r="Q142"/>
      <c r="R142"/>
      <c r="S142"/>
      <c r="T142"/>
      <c r="U142"/>
      <c r="V142"/>
      <c r="W142"/>
      <c r="X142"/>
      <c r="Y142"/>
      <c r="Z142"/>
      <c r="AA142"/>
      <c r="AB142"/>
      <c r="AC142"/>
    </row>
    <row r="143" spans="1:29" ht="15.75">
      <c r="A143" s="28"/>
      <c r="B143" s="346">
        <f t="shared" si="9"/>
        <v>107</v>
      </c>
      <c r="C143" s="347">
        <f t="shared" si="10"/>
        <v>0</v>
      </c>
      <c r="D143" s="347">
        <f t="shared" si="11"/>
        <v>0</v>
      </c>
      <c r="E143" s="347">
        <f t="shared" si="12"/>
        <v>0</v>
      </c>
      <c r="F143" s="347">
        <f t="shared" si="13"/>
        <v>399999.99999999965</v>
      </c>
      <c r="G143" s="347">
        <f t="shared" si="14"/>
        <v>0</v>
      </c>
      <c r="H143" s="347">
        <f t="shared" si="15"/>
        <v>380617.22096331924</v>
      </c>
      <c r="I143" s="347">
        <f t="shared" si="16"/>
        <v>0</v>
      </c>
      <c r="J143" s="347">
        <f t="shared" si="17"/>
        <v>0</v>
      </c>
      <c r="K143"/>
      <c r="L143"/>
      <c r="M143"/>
      <c r="N143"/>
      <c r="O143"/>
      <c r="P143"/>
      <c r="Q143"/>
      <c r="R143"/>
      <c r="S143"/>
      <c r="T143"/>
      <c r="U143"/>
      <c r="V143"/>
      <c r="W143"/>
      <c r="X143"/>
      <c r="Y143"/>
      <c r="Z143"/>
      <c r="AA143"/>
      <c r="AB143"/>
      <c r="AC143"/>
    </row>
    <row r="144" spans="1:29" ht="15.75">
      <c r="A144" s="28"/>
      <c r="B144" s="346">
        <f t="shared" si="9"/>
        <v>108</v>
      </c>
      <c r="C144" s="347">
        <f t="shared" si="10"/>
        <v>0</v>
      </c>
      <c r="D144" s="347">
        <f t="shared" si="11"/>
        <v>0</v>
      </c>
      <c r="E144" s="347">
        <f t="shared" si="12"/>
        <v>0</v>
      </c>
      <c r="F144" s="347">
        <f t="shared" si="13"/>
        <v>399999.99999999965</v>
      </c>
      <c r="G144" s="347">
        <f t="shared" si="14"/>
        <v>0</v>
      </c>
      <c r="H144" s="347">
        <f t="shared" si="15"/>
        <v>380617.22096331924</v>
      </c>
      <c r="I144" s="347">
        <f t="shared" si="16"/>
        <v>0</v>
      </c>
      <c r="J144" s="347">
        <f t="shared" si="17"/>
        <v>0</v>
      </c>
      <c r="K144"/>
      <c r="L144"/>
      <c r="M144"/>
      <c r="N144"/>
      <c r="O144"/>
      <c r="P144"/>
      <c r="Q144"/>
      <c r="R144"/>
      <c r="S144"/>
      <c r="T144"/>
      <c r="U144"/>
      <c r="V144"/>
      <c r="W144"/>
      <c r="X144"/>
      <c r="Y144"/>
      <c r="Z144"/>
      <c r="AA144"/>
      <c r="AB144"/>
      <c r="AC144"/>
    </row>
    <row r="145" spans="1:29" ht="15.75">
      <c r="A145" s="28"/>
      <c r="B145" s="346">
        <f t="shared" si="9"/>
        <v>109</v>
      </c>
      <c r="C145" s="347">
        <f t="shared" si="10"/>
        <v>0</v>
      </c>
      <c r="D145" s="347">
        <f t="shared" si="11"/>
        <v>0</v>
      </c>
      <c r="E145" s="347">
        <f t="shared" si="12"/>
        <v>0</v>
      </c>
      <c r="F145" s="347">
        <f t="shared" si="13"/>
        <v>399999.99999999965</v>
      </c>
      <c r="G145" s="347">
        <f t="shared" si="14"/>
        <v>0</v>
      </c>
      <c r="H145" s="347">
        <f t="shared" si="15"/>
        <v>380617.22096331924</v>
      </c>
      <c r="I145" s="347">
        <f t="shared" si="16"/>
        <v>0</v>
      </c>
      <c r="J145" s="347">
        <f t="shared" si="17"/>
        <v>0</v>
      </c>
      <c r="K145"/>
      <c r="L145"/>
      <c r="M145"/>
      <c r="N145"/>
      <c r="O145"/>
      <c r="P145"/>
      <c r="Q145"/>
      <c r="R145"/>
      <c r="S145"/>
      <c r="T145"/>
      <c r="U145"/>
      <c r="V145"/>
      <c r="W145"/>
      <c r="X145"/>
      <c r="Y145"/>
      <c r="Z145"/>
      <c r="AA145"/>
      <c r="AB145"/>
      <c r="AC145"/>
    </row>
    <row r="146" spans="1:29" ht="15.75">
      <c r="A146" s="28"/>
      <c r="B146" s="346">
        <f t="shared" si="9"/>
        <v>110</v>
      </c>
      <c r="C146" s="347">
        <f t="shared" si="10"/>
        <v>0</v>
      </c>
      <c r="D146" s="347">
        <f t="shared" si="11"/>
        <v>0</v>
      </c>
      <c r="E146" s="347">
        <f t="shared" si="12"/>
        <v>0</v>
      </c>
      <c r="F146" s="347">
        <f t="shared" si="13"/>
        <v>399999.99999999965</v>
      </c>
      <c r="G146" s="347">
        <f t="shared" si="14"/>
        <v>0</v>
      </c>
      <c r="H146" s="347">
        <f t="shared" si="15"/>
        <v>380617.22096331924</v>
      </c>
      <c r="I146" s="347">
        <f t="shared" si="16"/>
        <v>0</v>
      </c>
      <c r="J146" s="347">
        <f t="shared" si="17"/>
        <v>0</v>
      </c>
      <c r="K146"/>
      <c r="L146"/>
      <c r="M146"/>
      <c r="N146"/>
      <c r="O146"/>
      <c r="P146"/>
      <c r="Q146"/>
      <c r="R146"/>
      <c r="S146"/>
      <c r="T146"/>
      <c r="U146"/>
      <c r="V146"/>
      <c r="W146"/>
      <c r="X146"/>
      <c r="Y146"/>
      <c r="Z146"/>
      <c r="AA146"/>
      <c r="AB146"/>
      <c r="AC146"/>
    </row>
    <row r="147" spans="1:29" ht="15.75">
      <c r="A147" s="28"/>
      <c r="B147" s="346">
        <f t="shared" si="9"/>
        <v>111</v>
      </c>
      <c r="C147" s="347">
        <f t="shared" si="10"/>
        <v>0</v>
      </c>
      <c r="D147" s="347">
        <f t="shared" si="11"/>
        <v>0</v>
      </c>
      <c r="E147" s="347">
        <f t="shared" si="12"/>
        <v>0</v>
      </c>
      <c r="F147" s="347">
        <f t="shared" si="13"/>
        <v>399999.99999999965</v>
      </c>
      <c r="G147" s="347">
        <f t="shared" si="14"/>
        <v>0</v>
      </c>
      <c r="H147" s="347">
        <f t="shared" si="15"/>
        <v>380617.22096331924</v>
      </c>
      <c r="I147" s="347">
        <f t="shared" si="16"/>
        <v>0</v>
      </c>
      <c r="J147" s="347">
        <f t="shared" si="17"/>
        <v>0</v>
      </c>
      <c r="K147"/>
      <c r="L147"/>
      <c r="M147"/>
      <c r="N147"/>
      <c r="O147"/>
      <c r="P147"/>
      <c r="Q147"/>
      <c r="R147"/>
      <c r="S147"/>
      <c r="T147"/>
      <c r="U147"/>
      <c r="V147"/>
      <c r="W147"/>
      <c r="X147"/>
      <c r="Y147"/>
      <c r="Z147"/>
      <c r="AA147"/>
      <c r="AB147"/>
      <c r="AC147"/>
    </row>
    <row r="148" spans="1:29" ht="15.75">
      <c r="A148" s="28"/>
      <c r="B148" s="346">
        <f t="shared" si="9"/>
        <v>112</v>
      </c>
      <c r="C148" s="347">
        <f t="shared" si="10"/>
        <v>0</v>
      </c>
      <c r="D148" s="347">
        <f t="shared" si="11"/>
        <v>0</v>
      </c>
      <c r="E148" s="347">
        <f t="shared" si="12"/>
        <v>0</v>
      </c>
      <c r="F148" s="347">
        <f t="shared" si="13"/>
        <v>399999.99999999965</v>
      </c>
      <c r="G148" s="347">
        <f t="shared" si="14"/>
        <v>0</v>
      </c>
      <c r="H148" s="347">
        <f t="shared" si="15"/>
        <v>380617.22096331924</v>
      </c>
      <c r="I148" s="347">
        <f t="shared" si="16"/>
        <v>0</v>
      </c>
      <c r="J148" s="347">
        <f t="shared" si="17"/>
        <v>0</v>
      </c>
      <c r="K148"/>
      <c r="L148"/>
      <c r="M148"/>
      <c r="N148"/>
      <c r="O148"/>
      <c r="P148"/>
      <c r="Q148"/>
      <c r="R148"/>
      <c r="S148"/>
      <c r="T148"/>
      <c r="U148"/>
      <c r="V148"/>
      <c r="W148"/>
      <c r="X148"/>
      <c r="Y148"/>
      <c r="Z148"/>
      <c r="AA148"/>
      <c r="AB148"/>
      <c r="AC148"/>
    </row>
    <row r="149" spans="1:29" ht="15.75">
      <c r="A149" s="28"/>
      <c r="B149" s="346">
        <f t="shared" si="9"/>
        <v>113</v>
      </c>
      <c r="C149" s="347">
        <f t="shared" si="10"/>
        <v>0</v>
      </c>
      <c r="D149" s="347">
        <f t="shared" si="11"/>
        <v>0</v>
      </c>
      <c r="E149" s="347">
        <f t="shared" si="12"/>
        <v>0</v>
      </c>
      <c r="F149" s="347">
        <f t="shared" si="13"/>
        <v>399999.99999999965</v>
      </c>
      <c r="G149" s="347">
        <f t="shared" si="14"/>
        <v>0</v>
      </c>
      <c r="H149" s="347">
        <f t="shared" si="15"/>
        <v>380617.22096331924</v>
      </c>
      <c r="I149" s="347">
        <f t="shared" si="16"/>
        <v>0</v>
      </c>
      <c r="J149" s="347">
        <f t="shared" si="17"/>
        <v>0</v>
      </c>
      <c r="K149"/>
      <c r="L149"/>
      <c r="M149"/>
      <c r="N149"/>
      <c r="O149"/>
      <c r="P149"/>
      <c r="Q149"/>
      <c r="R149"/>
      <c r="S149"/>
      <c r="T149"/>
      <c r="U149"/>
      <c r="V149"/>
      <c r="W149"/>
      <c r="X149"/>
      <c r="Y149"/>
      <c r="Z149"/>
      <c r="AA149"/>
      <c r="AB149"/>
      <c r="AC149"/>
    </row>
    <row r="150" spans="1:29" ht="15.75">
      <c r="A150" s="28"/>
      <c r="B150" s="346">
        <f t="shared" si="9"/>
        <v>114</v>
      </c>
      <c r="C150" s="347">
        <f t="shared" si="10"/>
        <v>0</v>
      </c>
      <c r="D150" s="347">
        <f t="shared" si="11"/>
        <v>0</v>
      </c>
      <c r="E150" s="347">
        <f t="shared" si="12"/>
        <v>0</v>
      </c>
      <c r="F150" s="347">
        <f t="shared" si="13"/>
        <v>399999.99999999965</v>
      </c>
      <c r="G150" s="347">
        <f t="shared" si="14"/>
        <v>0</v>
      </c>
      <c r="H150" s="347">
        <f t="shared" si="15"/>
        <v>380617.22096331924</v>
      </c>
      <c r="I150" s="347">
        <f t="shared" si="16"/>
        <v>0</v>
      </c>
      <c r="J150" s="347">
        <f t="shared" si="17"/>
        <v>0</v>
      </c>
      <c r="K150"/>
      <c r="L150"/>
      <c r="M150"/>
      <c r="N150"/>
      <c r="O150"/>
      <c r="P150"/>
      <c r="Q150"/>
      <c r="R150"/>
      <c r="S150"/>
      <c r="T150"/>
      <c r="U150"/>
      <c r="V150"/>
      <c r="W150"/>
      <c r="X150"/>
      <c r="Y150"/>
      <c r="Z150"/>
      <c r="AA150"/>
      <c r="AB150"/>
      <c r="AC150"/>
    </row>
    <row r="151" spans="1:29" ht="15.75">
      <c r="A151" s="28"/>
      <c r="B151" s="346">
        <f t="shared" si="9"/>
        <v>115</v>
      </c>
      <c r="C151" s="347">
        <f t="shared" si="10"/>
        <v>0</v>
      </c>
      <c r="D151" s="347">
        <f t="shared" si="11"/>
        <v>0</v>
      </c>
      <c r="E151" s="347">
        <f t="shared" si="12"/>
        <v>0</v>
      </c>
      <c r="F151" s="347">
        <f t="shared" si="13"/>
        <v>399999.99999999965</v>
      </c>
      <c r="G151" s="347">
        <f t="shared" si="14"/>
        <v>0</v>
      </c>
      <c r="H151" s="347">
        <f t="shared" si="15"/>
        <v>380617.22096331924</v>
      </c>
      <c r="I151" s="347">
        <f t="shared" si="16"/>
        <v>0</v>
      </c>
      <c r="J151" s="347">
        <f t="shared" si="17"/>
        <v>0</v>
      </c>
      <c r="K151"/>
      <c r="L151"/>
      <c r="M151"/>
      <c r="N151"/>
      <c r="O151"/>
      <c r="P151"/>
      <c r="Q151"/>
      <c r="R151"/>
      <c r="S151"/>
      <c r="T151"/>
      <c r="U151"/>
      <c r="V151"/>
      <c r="W151"/>
      <c r="X151"/>
      <c r="Y151"/>
      <c r="Z151"/>
      <c r="AA151"/>
      <c r="AB151"/>
      <c r="AC151"/>
    </row>
    <row r="152" spans="1:29" ht="15.75">
      <c r="A152" s="28"/>
      <c r="B152" s="346">
        <f t="shared" si="9"/>
        <v>116</v>
      </c>
      <c r="C152" s="347">
        <f t="shared" si="10"/>
        <v>0</v>
      </c>
      <c r="D152" s="347">
        <f t="shared" si="11"/>
        <v>0</v>
      </c>
      <c r="E152" s="347">
        <f t="shared" si="12"/>
        <v>0</v>
      </c>
      <c r="F152" s="347">
        <f t="shared" si="13"/>
        <v>399999.99999999965</v>
      </c>
      <c r="G152" s="347">
        <f t="shared" si="14"/>
        <v>0</v>
      </c>
      <c r="H152" s="347">
        <f t="shared" si="15"/>
        <v>380617.22096331924</v>
      </c>
      <c r="I152" s="347">
        <f t="shared" si="16"/>
        <v>0</v>
      </c>
      <c r="J152" s="347">
        <f t="shared" si="17"/>
        <v>0</v>
      </c>
      <c r="K152"/>
      <c r="L152"/>
      <c r="M152"/>
      <c r="N152"/>
      <c r="O152"/>
      <c r="P152"/>
      <c r="Q152"/>
      <c r="R152"/>
      <c r="S152"/>
      <c r="T152"/>
      <c r="U152"/>
      <c r="V152"/>
      <c r="W152"/>
      <c r="X152"/>
      <c r="Y152"/>
      <c r="Z152"/>
      <c r="AA152"/>
      <c r="AB152"/>
      <c r="AC152"/>
    </row>
    <row r="153" spans="1:29" ht="15.75">
      <c r="A153" s="28"/>
      <c r="B153" s="346">
        <f t="shared" si="9"/>
        <v>117</v>
      </c>
      <c r="C153" s="347">
        <f t="shared" si="10"/>
        <v>0</v>
      </c>
      <c r="D153" s="347">
        <f t="shared" si="11"/>
        <v>0</v>
      </c>
      <c r="E153" s="347">
        <f t="shared" si="12"/>
        <v>0</v>
      </c>
      <c r="F153" s="347">
        <f t="shared" si="13"/>
        <v>399999.99999999965</v>
      </c>
      <c r="G153" s="347">
        <f t="shared" si="14"/>
        <v>0</v>
      </c>
      <c r="H153" s="347">
        <f t="shared" si="15"/>
        <v>380617.22096331924</v>
      </c>
      <c r="I153" s="347">
        <f t="shared" si="16"/>
        <v>0</v>
      </c>
      <c r="J153" s="347">
        <f t="shared" si="17"/>
        <v>0</v>
      </c>
      <c r="K153"/>
      <c r="L153"/>
      <c r="M153"/>
      <c r="N153"/>
      <c r="O153"/>
      <c r="P153"/>
      <c r="Q153"/>
      <c r="R153"/>
      <c r="S153"/>
      <c r="T153"/>
      <c r="U153"/>
      <c r="V153"/>
      <c r="W153"/>
      <c r="X153"/>
      <c r="Y153"/>
      <c r="Z153"/>
      <c r="AA153"/>
      <c r="AB153"/>
      <c r="AC153"/>
    </row>
    <row r="154" spans="1:29" ht="15.75">
      <c r="A154" s="28"/>
      <c r="B154" s="346">
        <f t="shared" si="9"/>
        <v>118</v>
      </c>
      <c r="C154" s="347">
        <f t="shared" si="10"/>
        <v>0</v>
      </c>
      <c r="D154" s="347">
        <f t="shared" si="11"/>
        <v>0</v>
      </c>
      <c r="E154" s="347">
        <f t="shared" si="12"/>
        <v>0</v>
      </c>
      <c r="F154" s="347">
        <f t="shared" si="13"/>
        <v>399999.99999999965</v>
      </c>
      <c r="G154" s="347">
        <f t="shared" si="14"/>
        <v>0</v>
      </c>
      <c r="H154" s="347">
        <f t="shared" si="15"/>
        <v>380617.22096331924</v>
      </c>
      <c r="I154" s="347">
        <f t="shared" si="16"/>
        <v>0</v>
      </c>
      <c r="J154" s="347">
        <f t="shared" si="17"/>
        <v>0</v>
      </c>
      <c r="K154"/>
      <c r="L154"/>
      <c r="M154"/>
      <c r="N154"/>
      <c r="O154"/>
      <c r="P154"/>
      <c r="Q154"/>
      <c r="R154"/>
      <c r="S154"/>
      <c r="T154"/>
      <c r="U154"/>
      <c r="V154"/>
      <c r="W154"/>
      <c r="X154"/>
      <c r="Y154"/>
      <c r="Z154"/>
      <c r="AA154"/>
      <c r="AB154"/>
      <c r="AC154"/>
    </row>
    <row r="155" spans="1:29" ht="15.75">
      <c r="A155" s="28"/>
      <c r="B155" s="346">
        <f t="shared" si="9"/>
        <v>119</v>
      </c>
      <c r="C155" s="347">
        <f t="shared" si="10"/>
        <v>0</v>
      </c>
      <c r="D155" s="347">
        <f t="shared" si="11"/>
        <v>0</v>
      </c>
      <c r="E155" s="347">
        <f t="shared" si="12"/>
        <v>0</v>
      </c>
      <c r="F155" s="347">
        <f t="shared" si="13"/>
        <v>399999.99999999965</v>
      </c>
      <c r="G155" s="347">
        <f t="shared" si="14"/>
        <v>0</v>
      </c>
      <c r="H155" s="347">
        <f t="shared" si="15"/>
        <v>380617.22096331924</v>
      </c>
      <c r="I155" s="347">
        <f t="shared" si="16"/>
        <v>0</v>
      </c>
      <c r="J155" s="347">
        <f t="shared" si="17"/>
        <v>0</v>
      </c>
      <c r="K155"/>
      <c r="L155"/>
      <c r="M155"/>
      <c r="N155"/>
      <c r="O155"/>
      <c r="P155"/>
      <c r="Q155"/>
      <c r="R155"/>
      <c r="S155"/>
      <c r="T155"/>
      <c r="U155"/>
      <c r="V155"/>
      <c r="W155"/>
      <c r="X155"/>
      <c r="Y155"/>
      <c r="Z155"/>
      <c r="AA155"/>
      <c r="AB155"/>
      <c r="AC155"/>
    </row>
    <row r="156" spans="1:29" ht="15.75">
      <c r="A156" s="28"/>
      <c r="B156" s="346">
        <f t="shared" si="9"/>
        <v>120</v>
      </c>
      <c r="C156" s="347">
        <f t="shared" si="10"/>
        <v>0</v>
      </c>
      <c r="D156" s="347">
        <f t="shared" si="11"/>
        <v>0</v>
      </c>
      <c r="E156" s="347">
        <f t="shared" si="12"/>
        <v>0</v>
      </c>
      <c r="F156" s="347">
        <f t="shared" si="13"/>
        <v>399999.99999999965</v>
      </c>
      <c r="G156" s="347">
        <f t="shared" si="14"/>
        <v>0</v>
      </c>
      <c r="H156" s="347">
        <f t="shared" si="15"/>
        <v>380617.22096331924</v>
      </c>
      <c r="I156" s="347">
        <f t="shared" si="16"/>
        <v>0</v>
      </c>
      <c r="J156" s="347">
        <f t="shared" si="17"/>
        <v>0</v>
      </c>
      <c r="K156"/>
      <c r="L156"/>
      <c r="M156"/>
      <c r="N156"/>
      <c r="O156"/>
      <c r="P156"/>
      <c r="Q156"/>
      <c r="R156"/>
      <c r="S156"/>
      <c r="T156"/>
      <c r="U156"/>
      <c r="V156"/>
      <c r="W156"/>
      <c r="X156"/>
      <c r="Y156"/>
      <c r="Z156"/>
      <c r="AA156"/>
      <c r="AB156"/>
      <c r="AC156"/>
    </row>
    <row r="157" spans="1:29" ht="15.75">
      <c r="A157" s="28"/>
      <c r="B157" s="346">
        <f t="shared" si="9"/>
        <v>121</v>
      </c>
      <c r="C157" s="347">
        <f t="shared" si="10"/>
        <v>0</v>
      </c>
      <c r="D157" s="347">
        <f t="shared" si="11"/>
        <v>0</v>
      </c>
      <c r="E157" s="347">
        <f t="shared" si="12"/>
        <v>0</v>
      </c>
      <c r="F157" s="347">
        <f t="shared" si="13"/>
        <v>399999.99999999965</v>
      </c>
      <c r="G157" s="347">
        <f t="shared" si="14"/>
        <v>0</v>
      </c>
      <c r="H157" s="347">
        <f t="shared" si="15"/>
        <v>380617.22096331924</v>
      </c>
      <c r="I157" s="347">
        <f t="shared" si="16"/>
        <v>0</v>
      </c>
      <c r="J157" s="347">
        <f t="shared" si="17"/>
        <v>0</v>
      </c>
      <c r="K157"/>
      <c r="L157"/>
      <c r="M157"/>
      <c r="N157"/>
      <c r="O157"/>
      <c r="P157"/>
      <c r="Q157"/>
      <c r="R157"/>
      <c r="S157"/>
      <c r="T157"/>
      <c r="U157"/>
      <c r="V157"/>
      <c r="W157"/>
      <c r="X157"/>
      <c r="Y157"/>
      <c r="Z157"/>
      <c r="AA157"/>
      <c r="AB157"/>
      <c r="AC157"/>
    </row>
    <row r="158" spans="1:29" ht="15.75">
      <c r="A158" s="28"/>
      <c r="B158" s="346">
        <f t="shared" si="9"/>
        <v>122</v>
      </c>
      <c r="C158" s="347">
        <f t="shared" si="10"/>
        <v>0</v>
      </c>
      <c r="D158" s="347">
        <f t="shared" si="11"/>
        <v>0</v>
      </c>
      <c r="E158" s="347">
        <f t="shared" si="12"/>
        <v>0</v>
      </c>
      <c r="F158" s="347">
        <f t="shared" si="13"/>
        <v>399999.99999999965</v>
      </c>
      <c r="G158" s="347">
        <f t="shared" si="14"/>
        <v>0</v>
      </c>
      <c r="H158" s="347">
        <f t="shared" si="15"/>
        <v>380617.22096331924</v>
      </c>
      <c r="I158" s="347">
        <f t="shared" si="16"/>
        <v>0</v>
      </c>
      <c r="J158" s="347">
        <f t="shared" si="17"/>
        <v>0</v>
      </c>
      <c r="K158"/>
      <c r="L158"/>
      <c r="M158"/>
      <c r="N158"/>
      <c r="O158"/>
      <c r="P158"/>
      <c r="Q158"/>
      <c r="R158"/>
      <c r="S158"/>
      <c r="T158"/>
      <c r="U158"/>
      <c r="V158"/>
      <c r="W158"/>
      <c r="X158"/>
      <c r="Y158"/>
      <c r="Z158"/>
      <c r="AA158"/>
      <c r="AB158"/>
      <c r="AC158"/>
    </row>
    <row r="159" spans="1:29" ht="15.75">
      <c r="A159" s="28"/>
      <c r="B159" s="346">
        <f t="shared" si="9"/>
        <v>123</v>
      </c>
      <c r="C159" s="347">
        <f t="shared" si="10"/>
        <v>0</v>
      </c>
      <c r="D159" s="347">
        <f t="shared" si="11"/>
        <v>0</v>
      </c>
      <c r="E159" s="347">
        <f t="shared" si="12"/>
        <v>0</v>
      </c>
      <c r="F159" s="347">
        <f t="shared" si="13"/>
        <v>399999.99999999965</v>
      </c>
      <c r="G159" s="347">
        <f t="shared" si="14"/>
        <v>0</v>
      </c>
      <c r="H159" s="347">
        <f t="shared" si="15"/>
        <v>380617.22096331924</v>
      </c>
      <c r="I159" s="347">
        <f t="shared" si="16"/>
        <v>0</v>
      </c>
      <c r="J159" s="347">
        <f t="shared" si="17"/>
        <v>0</v>
      </c>
      <c r="K159"/>
      <c r="L159"/>
      <c r="M159"/>
      <c r="N159"/>
      <c r="O159"/>
      <c r="P159"/>
      <c r="Q159"/>
      <c r="R159"/>
      <c r="S159"/>
      <c r="T159"/>
      <c r="U159"/>
      <c r="V159"/>
      <c r="W159"/>
      <c r="X159"/>
      <c r="Y159"/>
      <c r="Z159"/>
      <c r="AA159"/>
      <c r="AB159"/>
      <c r="AC159"/>
    </row>
    <row r="160" spans="1:29" ht="15.75">
      <c r="A160" s="28"/>
      <c r="B160" s="346">
        <f t="shared" si="9"/>
        <v>124</v>
      </c>
      <c r="C160" s="347">
        <f t="shared" si="10"/>
        <v>0</v>
      </c>
      <c r="D160" s="347">
        <f t="shared" si="11"/>
        <v>0</v>
      </c>
      <c r="E160" s="347">
        <f t="shared" si="12"/>
        <v>0</v>
      </c>
      <c r="F160" s="347">
        <f t="shared" si="13"/>
        <v>399999.99999999965</v>
      </c>
      <c r="G160" s="347">
        <f t="shared" si="14"/>
        <v>0</v>
      </c>
      <c r="H160" s="347">
        <f t="shared" si="15"/>
        <v>380617.22096331924</v>
      </c>
      <c r="I160" s="347">
        <f t="shared" si="16"/>
        <v>0</v>
      </c>
      <c r="J160" s="347">
        <f t="shared" si="17"/>
        <v>0</v>
      </c>
      <c r="K160"/>
      <c r="L160"/>
      <c r="M160"/>
      <c r="N160"/>
      <c r="O160"/>
      <c r="P160"/>
      <c r="Q160"/>
      <c r="R160"/>
      <c r="S160"/>
      <c r="T160"/>
      <c r="U160"/>
      <c r="V160"/>
      <c r="W160"/>
      <c r="X160"/>
      <c r="Y160"/>
      <c r="Z160"/>
      <c r="AA160"/>
      <c r="AB160"/>
      <c r="AC160"/>
    </row>
    <row r="161" spans="1:29" ht="15.75">
      <c r="A161" s="28"/>
      <c r="B161" s="346">
        <f t="shared" si="9"/>
        <v>125</v>
      </c>
      <c r="C161" s="347">
        <f t="shared" si="10"/>
        <v>0</v>
      </c>
      <c r="D161" s="347">
        <f t="shared" si="11"/>
        <v>0</v>
      </c>
      <c r="E161" s="347">
        <f t="shared" si="12"/>
        <v>0</v>
      </c>
      <c r="F161" s="347">
        <f t="shared" si="13"/>
        <v>399999.99999999965</v>
      </c>
      <c r="G161" s="347">
        <f t="shared" si="14"/>
        <v>0</v>
      </c>
      <c r="H161" s="347">
        <f t="shared" si="15"/>
        <v>380617.22096331924</v>
      </c>
      <c r="I161" s="347">
        <f t="shared" si="16"/>
        <v>0</v>
      </c>
      <c r="J161" s="347">
        <f t="shared" si="17"/>
        <v>0</v>
      </c>
      <c r="K161"/>
      <c r="L161"/>
      <c r="M161"/>
      <c r="N161"/>
      <c r="O161"/>
      <c r="P161"/>
      <c r="Q161"/>
      <c r="R161"/>
      <c r="S161"/>
      <c r="T161"/>
      <c r="U161"/>
      <c r="V161"/>
      <c r="W161"/>
      <c r="X161"/>
      <c r="Y161"/>
      <c r="Z161"/>
      <c r="AA161"/>
      <c r="AB161"/>
      <c r="AC161"/>
    </row>
    <row r="162" spans="1:29" ht="15.75">
      <c r="A162" s="28"/>
      <c r="B162" s="346">
        <f t="shared" si="9"/>
        <v>126</v>
      </c>
      <c r="C162" s="347">
        <f t="shared" si="10"/>
        <v>0</v>
      </c>
      <c r="D162" s="347">
        <f t="shared" si="11"/>
        <v>0</v>
      </c>
      <c r="E162" s="347">
        <f t="shared" si="12"/>
        <v>0</v>
      </c>
      <c r="F162" s="347">
        <f t="shared" si="13"/>
        <v>399999.99999999965</v>
      </c>
      <c r="G162" s="347">
        <f t="shared" si="14"/>
        <v>0</v>
      </c>
      <c r="H162" s="347">
        <f t="shared" si="15"/>
        <v>380617.22096331924</v>
      </c>
      <c r="I162" s="347">
        <f t="shared" si="16"/>
        <v>0</v>
      </c>
      <c r="J162" s="347">
        <f t="shared" si="17"/>
        <v>0</v>
      </c>
      <c r="K162"/>
      <c r="L162"/>
      <c r="M162"/>
      <c r="N162"/>
      <c r="O162"/>
      <c r="P162"/>
      <c r="Q162"/>
      <c r="R162"/>
      <c r="S162"/>
      <c r="T162"/>
      <c r="U162"/>
      <c r="V162"/>
      <c r="W162"/>
      <c r="X162"/>
      <c r="Y162"/>
      <c r="Z162"/>
      <c r="AA162"/>
      <c r="AB162"/>
      <c r="AC162"/>
    </row>
    <row r="163" spans="1:29" ht="15.75">
      <c r="A163" s="28"/>
      <c r="B163" s="346">
        <f t="shared" si="9"/>
        <v>127</v>
      </c>
      <c r="C163" s="347">
        <f t="shared" si="10"/>
        <v>0</v>
      </c>
      <c r="D163" s="347">
        <f t="shared" si="11"/>
        <v>0</v>
      </c>
      <c r="E163" s="347">
        <f t="shared" si="12"/>
        <v>0</v>
      </c>
      <c r="F163" s="347">
        <f t="shared" si="13"/>
        <v>399999.99999999965</v>
      </c>
      <c r="G163" s="347">
        <f t="shared" si="14"/>
        <v>0</v>
      </c>
      <c r="H163" s="347">
        <f t="shared" si="15"/>
        <v>380617.22096331924</v>
      </c>
      <c r="I163" s="347">
        <f t="shared" si="16"/>
        <v>0</v>
      </c>
      <c r="J163" s="347">
        <f t="shared" si="17"/>
        <v>0</v>
      </c>
      <c r="K163"/>
      <c r="L163"/>
      <c r="M163"/>
      <c r="N163"/>
      <c r="O163"/>
      <c r="P163"/>
      <c r="Q163"/>
      <c r="R163"/>
      <c r="S163"/>
      <c r="T163"/>
      <c r="U163"/>
      <c r="V163"/>
      <c r="W163"/>
      <c r="X163"/>
      <c r="Y163"/>
      <c r="Z163"/>
      <c r="AA163"/>
      <c r="AB163"/>
      <c r="AC163"/>
    </row>
    <row r="164" spans="1:29" ht="15.75">
      <c r="A164" s="28"/>
      <c r="B164" s="346">
        <f t="shared" si="9"/>
        <v>128</v>
      </c>
      <c r="C164" s="347">
        <f t="shared" si="10"/>
        <v>0</v>
      </c>
      <c r="D164" s="347">
        <f t="shared" si="11"/>
        <v>0</v>
      </c>
      <c r="E164" s="347">
        <f t="shared" si="12"/>
        <v>0</v>
      </c>
      <c r="F164" s="347">
        <f t="shared" si="13"/>
        <v>399999.99999999965</v>
      </c>
      <c r="G164" s="347">
        <f t="shared" si="14"/>
        <v>0</v>
      </c>
      <c r="H164" s="347">
        <f t="shared" si="15"/>
        <v>380617.22096331924</v>
      </c>
      <c r="I164" s="347">
        <f t="shared" si="16"/>
        <v>0</v>
      </c>
      <c r="J164" s="347">
        <f t="shared" si="17"/>
        <v>0</v>
      </c>
      <c r="K164"/>
      <c r="L164"/>
      <c r="M164"/>
      <c r="N164"/>
      <c r="O164"/>
      <c r="P164"/>
      <c r="Q164"/>
      <c r="R164"/>
      <c r="S164"/>
      <c r="T164"/>
      <c r="U164"/>
      <c r="V164"/>
      <c r="W164"/>
      <c r="X164"/>
      <c r="Y164"/>
      <c r="Z164"/>
      <c r="AA164"/>
      <c r="AB164"/>
      <c r="AC164"/>
    </row>
    <row r="165" spans="1:29" ht="15.75">
      <c r="A165" s="28"/>
      <c r="B165" s="346">
        <f t="shared" si="9"/>
        <v>129</v>
      </c>
      <c r="C165" s="347">
        <f t="shared" si="10"/>
        <v>0</v>
      </c>
      <c r="D165" s="347">
        <f t="shared" si="11"/>
        <v>0</v>
      </c>
      <c r="E165" s="347">
        <f t="shared" si="12"/>
        <v>0</v>
      </c>
      <c r="F165" s="347">
        <f t="shared" si="13"/>
        <v>399999.99999999965</v>
      </c>
      <c r="G165" s="347">
        <f t="shared" si="14"/>
        <v>0</v>
      </c>
      <c r="H165" s="347">
        <f t="shared" si="15"/>
        <v>380617.22096331924</v>
      </c>
      <c r="I165" s="347">
        <f t="shared" si="16"/>
        <v>0</v>
      </c>
      <c r="J165" s="347">
        <f t="shared" si="17"/>
        <v>0</v>
      </c>
      <c r="K165"/>
      <c r="L165"/>
      <c r="M165"/>
      <c r="N165"/>
      <c r="O165"/>
      <c r="P165"/>
      <c r="Q165"/>
      <c r="R165"/>
      <c r="S165"/>
      <c r="T165"/>
      <c r="U165"/>
      <c r="V165"/>
      <c r="W165"/>
      <c r="X165"/>
      <c r="Y165"/>
      <c r="Z165"/>
      <c r="AA165"/>
      <c r="AB165"/>
      <c r="AC165"/>
    </row>
    <row r="166" spans="1:29" ht="15.75">
      <c r="A166" s="28"/>
      <c r="B166" s="346">
        <f aca="true" t="shared" si="18" ref="B166:B229">1+B165</f>
        <v>130</v>
      </c>
      <c r="C166" s="347">
        <f aca="true" t="shared" si="19" ref="C166:C229">IF((E165&lt;$C$24-G166),E165,$C$24-G166)</f>
        <v>0</v>
      </c>
      <c r="D166" s="347">
        <f aca="true" t="shared" si="20" ref="D166:D229">IF(AND($C$20&lt;=B166,E165&gt;C166+$C$18),IF(MOD($B166,$C$19)=0,$C$18,0),0)</f>
        <v>0</v>
      </c>
      <c r="E166" s="347">
        <f aca="true" t="shared" si="21" ref="E166:E229">IF(E165-C166&lt;=1,0,E165-C166-D166)</f>
        <v>0</v>
      </c>
      <c r="F166" s="347">
        <f aca="true" t="shared" si="22" ref="F166:F229">F165+C166+D166</f>
        <v>399999.99999999965</v>
      </c>
      <c r="G166" s="347">
        <f aca="true" t="shared" si="23" ref="G166:G229">E165*($C$13/$C$15)</f>
        <v>0</v>
      </c>
      <c r="H166" s="347">
        <f aca="true" t="shared" si="24" ref="H166:H229">H165+G166</f>
        <v>380617.22096331924</v>
      </c>
      <c r="I166" s="347">
        <f aca="true" t="shared" si="25" ref="I166:I229">IF(I165-($C$24-J166)&lt;=1,0,I165-($C$24-J166))</f>
        <v>0</v>
      </c>
      <c r="J166" s="347">
        <f aca="true" t="shared" si="26" ref="J166:J229">I165*($C$13/$C$15)</f>
        <v>0</v>
      </c>
      <c r="K166"/>
      <c r="L166"/>
      <c r="M166"/>
      <c r="N166"/>
      <c r="O166"/>
      <c r="P166"/>
      <c r="Q166"/>
      <c r="R166"/>
      <c r="S166"/>
      <c r="T166"/>
      <c r="U166"/>
      <c r="V166"/>
      <c r="W166"/>
      <c r="X166"/>
      <c r="Y166"/>
      <c r="Z166"/>
      <c r="AA166"/>
      <c r="AB166"/>
      <c r="AC166"/>
    </row>
    <row r="167" spans="1:29" ht="15.75">
      <c r="A167" s="28"/>
      <c r="B167" s="346">
        <f t="shared" si="18"/>
        <v>131</v>
      </c>
      <c r="C167" s="347">
        <f t="shared" si="19"/>
        <v>0</v>
      </c>
      <c r="D167" s="347">
        <f t="shared" si="20"/>
        <v>0</v>
      </c>
      <c r="E167" s="347">
        <f t="shared" si="21"/>
        <v>0</v>
      </c>
      <c r="F167" s="347">
        <f t="shared" si="22"/>
        <v>399999.99999999965</v>
      </c>
      <c r="G167" s="347">
        <f t="shared" si="23"/>
        <v>0</v>
      </c>
      <c r="H167" s="347">
        <f t="shared" si="24"/>
        <v>380617.22096331924</v>
      </c>
      <c r="I167" s="347">
        <f t="shared" si="25"/>
        <v>0</v>
      </c>
      <c r="J167" s="347">
        <f t="shared" si="26"/>
        <v>0</v>
      </c>
      <c r="K167"/>
      <c r="L167"/>
      <c r="M167"/>
      <c r="N167"/>
      <c r="O167"/>
      <c r="P167"/>
      <c r="Q167"/>
      <c r="R167"/>
      <c r="S167"/>
      <c r="T167"/>
      <c r="U167"/>
      <c r="V167"/>
      <c r="W167"/>
      <c r="X167"/>
      <c r="Y167"/>
      <c r="Z167"/>
      <c r="AA167"/>
      <c r="AB167"/>
      <c r="AC167"/>
    </row>
    <row r="168" spans="1:29" ht="15.75">
      <c r="A168" s="28"/>
      <c r="B168" s="346">
        <f t="shared" si="18"/>
        <v>132</v>
      </c>
      <c r="C168" s="347">
        <f t="shared" si="19"/>
        <v>0</v>
      </c>
      <c r="D168" s="347">
        <f t="shared" si="20"/>
        <v>0</v>
      </c>
      <c r="E168" s="347">
        <f t="shared" si="21"/>
        <v>0</v>
      </c>
      <c r="F168" s="347">
        <f t="shared" si="22"/>
        <v>399999.99999999965</v>
      </c>
      <c r="G168" s="347">
        <f t="shared" si="23"/>
        <v>0</v>
      </c>
      <c r="H168" s="347">
        <f t="shared" si="24"/>
        <v>380617.22096331924</v>
      </c>
      <c r="I168" s="347">
        <f t="shared" si="25"/>
        <v>0</v>
      </c>
      <c r="J168" s="347">
        <f t="shared" si="26"/>
        <v>0</v>
      </c>
      <c r="K168"/>
      <c r="L168"/>
      <c r="M168"/>
      <c r="N168"/>
      <c r="O168"/>
      <c r="P168"/>
      <c r="Q168"/>
      <c r="R168"/>
      <c r="S168"/>
      <c r="T168"/>
      <c r="U168"/>
      <c r="V168"/>
      <c r="W168"/>
      <c r="X168"/>
      <c r="Y168"/>
      <c r="Z168"/>
      <c r="AA168"/>
      <c r="AB168"/>
      <c r="AC168"/>
    </row>
    <row r="169" spans="1:29" ht="15.75">
      <c r="A169" s="28"/>
      <c r="B169" s="346">
        <f t="shared" si="18"/>
        <v>133</v>
      </c>
      <c r="C169" s="347">
        <f t="shared" si="19"/>
        <v>0</v>
      </c>
      <c r="D169" s="347">
        <f t="shared" si="20"/>
        <v>0</v>
      </c>
      <c r="E169" s="347">
        <f t="shared" si="21"/>
        <v>0</v>
      </c>
      <c r="F169" s="347">
        <f t="shared" si="22"/>
        <v>399999.99999999965</v>
      </c>
      <c r="G169" s="347">
        <f t="shared" si="23"/>
        <v>0</v>
      </c>
      <c r="H169" s="347">
        <f t="shared" si="24"/>
        <v>380617.22096331924</v>
      </c>
      <c r="I169" s="347">
        <f t="shared" si="25"/>
        <v>0</v>
      </c>
      <c r="J169" s="347">
        <f t="shared" si="26"/>
        <v>0</v>
      </c>
      <c r="K169"/>
      <c r="L169"/>
      <c r="M169"/>
      <c r="N169"/>
      <c r="O169"/>
      <c r="P169"/>
      <c r="Q169"/>
      <c r="R169"/>
      <c r="S169"/>
      <c r="T169"/>
      <c r="U169"/>
      <c r="V169"/>
      <c r="W169"/>
      <c r="X169"/>
      <c r="Y169"/>
      <c r="Z169"/>
      <c r="AA169"/>
      <c r="AB169"/>
      <c r="AC169"/>
    </row>
    <row r="170" spans="1:29" ht="15.75">
      <c r="A170" s="28"/>
      <c r="B170" s="346">
        <f t="shared" si="18"/>
        <v>134</v>
      </c>
      <c r="C170" s="347">
        <f t="shared" si="19"/>
        <v>0</v>
      </c>
      <c r="D170" s="347">
        <f t="shared" si="20"/>
        <v>0</v>
      </c>
      <c r="E170" s="347">
        <f t="shared" si="21"/>
        <v>0</v>
      </c>
      <c r="F170" s="347">
        <f t="shared" si="22"/>
        <v>399999.99999999965</v>
      </c>
      <c r="G170" s="347">
        <f t="shared" si="23"/>
        <v>0</v>
      </c>
      <c r="H170" s="347">
        <f t="shared" si="24"/>
        <v>380617.22096331924</v>
      </c>
      <c r="I170" s="347">
        <f t="shared" si="25"/>
        <v>0</v>
      </c>
      <c r="J170" s="347">
        <f t="shared" si="26"/>
        <v>0</v>
      </c>
      <c r="K170"/>
      <c r="L170"/>
      <c r="M170"/>
      <c r="N170"/>
      <c r="O170"/>
      <c r="P170"/>
      <c r="Q170"/>
      <c r="R170"/>
      <c r="S170"/>
      <c r="T170"/>
      <c r="U170"/>
      <c r="V170"/>
      <c r="W170"/>
      <c r="X170"/>
      <c r="Y170"/>
      <c r="Z170"/>
      <c r="AA170"/>
      <c r="AB170"/>
      <c r="AC170"/>
    </row>
    <row r="171" spans="1:29" ht="15.75">
      <c r="A171" s="28"/>
      <c r="B171" s="346">
        <f t="shared" si="18"/>
        <v>135</v>
      </c>
      <c r="C171" s="347">
        <f t="shared" si="19"/>
        <v>0</v>
      </c>
      <c r="D171" s="347">
        <f t="shared" si="20"/>
        <v>0</v>
      </c>
      <c r="E171" s="347">
        <f t="shared" si="21"/>
        <v>0</v>
      </c>
      <c r="F171" s="347">
        <f t="shared" si="22"/>
        <v>399999.99999999965</v>
      </c>
      <c r="G171" s="347">
        <f t="shared" si="23"/>
        <v>0</v>
      </c>
      <c r="H171" s="347">
        <f t="shared" si="24"/>
        <v>380617.22096331924</v>
      </c>
      <c r="I171" s="347">
        <f t="shared" si="25"/>
        <v>0</v>
      </c>
      <c r="J171" s="347">
        <f t="shared" si="26"/>
        <v>0</v>
      </c>
      <c r="K171"/>
      <c r="L171"/>
      <c r="M171"/>
      <c r="N171"/>
      <c r="O171"/>
      <c r="P171"/>
      <c r="Q171"/>
      <c r="R171"/>
      <c r="S171"/>
      <c r="T171"/>
      <c r="U171"/>
      <c r="V171"/>
      <c r="W171"/>
      <c r="X171"/>
      <c r="Y171"/>
      <c r="Z171"/>
      <c r="AA171"/>
      <c r="AB171"/>
      <c r="AC171"/>
    </row>
    <row r="172" spans="1:29" ht="15.75">
      <c r="A172" s="28"/>
      <c r="B172" s="346">
        <f t="shared" si="18"/>
        <v>136</v>
      </c>
      <c r="C172" s="347">
        <f t="shared" si="19"/>
        <v>0</v>
      </c>
      <c r="D172" s="347">
        <f t="shared" si="20"/>
        <v>0</v>
      </c>
      <c r="E172" s="347">
        <f t="shared" si="21"/>
        <v>0</v>
      </c>
      <c r="F172" s="347">
        <f t="shared" si="22"/>
        <v>399999.99999999965</v>
      </c>
      <c r="G172" s="347">
        <f t="shared" si="23"/>
        <v>0</v>
      </c>
      <c r="H172" s="347">
        <f t="shared" si="24"/>
        <v>380617.22096331924</v>
      </c>
      <c r="I172" s="347">
        <f t="shared" si="25"/>
        <v>0</v>
      </c>
      <c r="J172" s="347">
        <f t="shared" si="26"/>
        <v>0</v>
      </c>
      <c r="K172"/>
      <c r="L172"/>
      <c r="M172"/>
      <c r="N172"/>
      <c r="O172"/>
      <c r="P172"/>
      <c r="Q172"/>
      <c r="R172"/>
      <c r="S172"/>
      <c r="T172"/>
      <c r="U172"/>
      <c r="V172"/>
      <c r="W172"/>
      <c r="X172"/>
      <c r="Y172"/>
      <c r="Z172"/>
      <c r="AA172"/>
      <c r="AB172"/>
      <c r="AC172"/>
    </row>
    <row r="173" spans="1:29" ht="15.75">
      <c r="A173" s="28"/>
      <c r="B173" s="346">
        <f t="shared" si="18"/>
        <v>137</v>
      </c>
      <c r="C173" s="347">
        <f t="shared" si="19"/>
        <v>0</v>
      </c>
      <c r="D173" s="347">
        <f t="shared" si="20"/>
        <v>0</v>
      </c>
      <c r="E173" s="347">
        <f t="shared" si="21"/>
        <v>0</v>
      </c>
      <c r="F173" s="347">
        <f t="shared" si="22"/>
        <v>399999.99999999965</v>
      </c>
      <c r="G173" s="347">
        <f t="shared" si="23"/>
        <v>0</v>
      </c>
      <c r="H173" s="347">
        <f t="shared" si="24"/>
        <v>380617.22096331924</v>
      </c>
      <c r="I173" s="347">
        <f t="shared" si="25"/>
        <v>0</v>
      </c>
      <c r="J173" s="347">
        <f t="shared" si="26"/>
        <v>0</v>
      </c>
      <c r="K173"/>
      <c r="L173"/>
      <c r="M173"/>
      <c r="N173"/>
      <c r="O173"/>
      <c r="P173"/>
      <c r="Q173"/>
      <c r="R173"/>
      <c r="S173"/>
      <c r="T173"/>
      <c r="U173"/>
      <c r="V173"/>
      <c r="W173"/>
      <c r="X173"/>
      <c r="Y173"/>
      <c r="Z173"/>
      <c r="AA173"/>
      <c r="AB173"/>
      <c r="AC173"/>
    </row>
    <row r="174" spans="1:29" ht="15.75">
      <c r="A174" s="28"/>
      <c r="B174" s="346">
        <f t="shared" si="18"/>
        <v>138</v>
      </c>
      <c r="C174" s="347">
        <f t="shared" si="19"/>
        <v>0</v>
      </c>
      <c r="D174" s="347">
        <f t="shared" si="20"/>
        <v>0</v>
      </c>
      <c r="E174" s="347">
        <f t="shared" si="21"/>
        <v>0</v>
      </c>
      <c r="F174" s="347">
        <f t="shared" si="22"/>
        <v>399999.99999999965</v>
      </c>
      <c r="G174" s="347">
        <f t="shared" si="23"/>
        <v>0</v>
      </c>
      <c r="H174" s="347">
        <f t="shared" si="24"/>
        <v>380617.22096331924</v>
      </c>
      <c r="I174" s="347">
        <f t="shared" si="25"/>
        <v>0</v>
      </c>
      <c r="J174" s="347">
        <f t="shared" si="26"/>
        <v>0</v>
      </c>
      <c r="K174"/>
      <c r="L174"/>
      <c r="M174"/>
      <c r="N174"/>
      <c r="O174"/>
      <c r="P174"/>
      <c r="Q174"/>
      <c r="R174"/>
      <c r="S174"/>
      <c r="T174"/>
      <c r="U174"/>
      <c r="V174"/>
      <c r="W174"/>
      <c r="X174"/>
      <c r="Y174"/>
      <c r="Z174"/>
      <c r="AA174"/>
      <c r="AB174"/>
      <c r="AC174"/>
    </row>
    <row r="175" spans="1:29" ht="15.75">
      <c r="A175" s="28"/>
      <c r="B175" s="346">
        <f t="shared" si="18"/>
        <v>139</v>
      </c>
      <c r="C175" s="347">
        <f t="shared" si="19"/>
        <v>0</v>
      </c>
      <c r="D175" s="347">
        <f t="shared" si="20"/>
        <v>0</v>
      </c>
      <c r="E175" s="347">
        <f t="shared" si="21"/>
        <v>0</v>
      </c>
      <c r="F175" s="347">
        <f t="shared" si="22"/>
        <v>399999.99999999965</v>
      </c>
      <c r="G175" s="347">
        <f t="shared" si="23"/>
        <v>0</v>
      </c>
      <c r="H175" s="347">
        <f t="shared" si="24"/>
        <v>380617.22096331924</v>
      </c>
      <c r="I175" s="347">
        <f t="shared" si="25"/>
        <v>0</v>
      </c>
      <c r="J175" s="347">
        <f t="shared" si="26"/>
        <v>0</v>
      </c>
      <c r="K175"/>
      <c r="L175"/>
      <c r="M175"/>
      <c r="N175"/>
      <c r="O175"/>
      <c r="P175"/>
      <c r="Q175"/>
      <c r="R175"/>
      <c r="S175"/>
      <c r="T175"/>
      <c r="U175"/>
      <c r="V175"/>
      <c r="W175"/>
      <c r="X175"/>
      <c r="Y175"/>
      <c r="Z175"/>
      <c r="AA175"/>
      <c r="AB175"/>
      <c r="AC175"/>
    </row>
    <row r="176" spans="1:29" ht="15.75">
      <c r="A176" s="28"/>
      <c r="B176" s="346">
        <f t="shared" si="18"/>
        <v>140</v>
      </c>
      <c r="C176" s="347">
        <f t="shared" si="19"/>
        <v>0</v>
      </c>
      <c r="D176" s="347">
        <f t="shared" si="20"/>
        <v>0</v>
      </c>
      <c r="E176" s="347">
        <f t="shared" si="21"/>
        <v>0</v>
      </c>
      <c r="F176" s="347">
        <f t="shared" si="22"/>
        <v>399999.99999999965</v>
      </c>
      <c r="G176" s="347">
        <f t="shared" si="23"/>
        <v>0</v>
      </c>
      <c r="H176" s="347">
        <f t="shared" si="24"/>
        <v>380617.22096331924</v>
      </c>
      <c r="I176" s="347">
        <f t="shared" si="25"/>
        <v>0</v>
      </c>
      <c r="J176" s="347">
        <f t="shared" si="26"/>
        <v>0</v>
      </c>
      <c r="K176"/>
      <c r="L176"/>
      <c r="M176"/>
      <c r="N176"/>
      <c r="O176"/>
      <c r="P176"/>
      <c r="Q176"/>
      <c r="R176"/>
      <c r="S176"/>
      <c r="T176"/>
      <c r="U176"/>
      <c r="V176"/>
      <c r="W176"/>
      <c r="X176"/>
      <c r="Y176"/>
      <c r="Z176"/>
      <c r="AA176"/>
      <c r="AB176"/>
      <c r="AC176"/>
    </row>
    <row r="177" spans="1:29" ht="15.75">
      <c r="A177" s="28"/>
      <c r="B177" s="346">
        <f t="shared" si="18"/>
        <v>141</v>
      </c>
      <c r="C177" s="347">
        <f t="shared" si="19"/>
        <v>0</v>
      </c>
      <c r="D177" s="347">
        <f t="shared" si="20"/>
        <v>0</v>
      </c>
      <c r="E177" s="347">
        <f t="shared" si="21"/>
        <v>0</v>
      </c>
      <c r="F177" s="347">
        <f t="shared" si="22"/>
        <v>399999.99999999965</v>
      </c>
      <c r="G177" s="347">
        <f t="shared" si="23"/>
        <v>0</v>
      </c>
      <c r="H177" s="347">
        <f t="shared" si="24"/>
        <v>380617.22096331924</v>
      </c>
      <c r="I177" s="347">
        <f t="shared" si="25"/>
        <v>0</v>
      </c>
      <c r="J177" s="347">
        <f t="shared" si="26"/>
        <v>0</v>
      </c>
      <c r="K177"/>
      <c r="L177"/>
      <c r="M177"/>
      <c r="N177"/>
      <c r="O177"/>
      <c r="P177"/>
      <c r="Q177"/>
      <c r="R177"/>
      <c r="S177"/>
      <c r="T177"/>
      <c r="U177"/>
      <c r="V177"/>
      <c r="W177"/>
      <c r="X177"/>
      <c r="Y177"/>
      <c r="Z177"/>
      <c r="AA177"/>
      <c r="AB177"/>
      <c r="AC177"/>
    </row>
    <row r="178" spans="1:29" ht="15.75">
      <c r="A178" s="28"/>
      <c r="B178" s="346">
        <f t="shared" si="18"/>
        <v>142</v>
      </c>
      <c r="C178" s="347">
        <f t="shared" si="19"/>
        <v>0</v>
      </c>
      <c r="D178" s="347">
        <f t="shared" si="20"/>
        <v>0</v>
      </c>
      <c r="E178" s="347">
        <f t="shared" si="21"/>
        <v>0</v>
      </c>
      <c r="F178" s="347">
        <f t="shared" si="22"/>
        <v>399999.99999999965</v>
      </c>
      <c r="G178" s="347">
        <f t="shared" si="23"/>
        <v>0</v>
      </c>
      <c r="H178" s="347">
        <f t="shared" si="24"/>
        <v>380617.22096331924</v>
      </c>
      <c r="I178" s="347">
        <f t="shared" si="25"/>
        <v>0</v>
      </c>
      <c r="J178" s="347">
        <f t="shared" si="26"/>
        <v>0</v>
      </c>
      <c r="K178"/>
      <c r="L178"/>
      <c r="M178"/>
      <c r="N178"/>
      <c r="O178"/>
      <c r="P178"/>
      <c r="Q178"/>
      <c r="R178"/>
      <c r="S178"/>
      <c r="T178"/>
      <c r="U178"/>
      <c r="V178"/>
      <c r="W178"/>
      <c r="X178"/>
      <c r="Y178"/>
      <c r="Z178"/>
      <c r="AA178"/>
      <c r="AB178"/>
      <c r="AC178"/>
    </row>
    <row r="179" spans="1:29" ht="15.75">
      <c r="A179" s="28"/>
      <c r="B179" s="346">
        <f t="shared" si="18"/>
        <v>143</v>
      </c>
      <c r="C179" s="347">
        <f t="shared" si="19"/>
        <v>0</v>
      </c>
      <c r="D179" s="347">
        <f t="shared" si="20"/>
        <v>0</v>
      </c>
      <c r="E179" s="347">
        <f t="shared" si="21"/>
        <v>0</v>
      </c>
      <c r="F179" s="347">
        <f t="shared" si="22"/>
        <v>399999.99999999965</v>
      </c>
      <c r="G179" s="347">
        <f t="shared" si="23"/>
        <v>0</v>
      </c>
      <c r="H179" s="347">
        <f t="shared" si="24"/>
        <v>380617.22096331924</v>
      </c>
      <c r="I179" s="347">
        <f t="shared" si="25"/>
        <v>0</v>
      </c>
      <c r="J179" s="347">
        <f t="shared" si="26"/>
        <v>0</v>
      </c>
      <c r="K179"/>
      <c r="L179"/>
      <c r="M179"/>
      <c r="N179"/>
      <c r="O179"/>
      <c r="P179"/>
      <c r="Q179"/>
      <c r="R179"/>
      <c r="S179"/>
      <c r="T179"/>
      <c r="U179"/>
      <c r="V179"/>
      <c r="W179"/>
      <c r="X179"/>
      <c r="Y179"/>
      <c r="Z179"/>
      <c r="AA179"/>
      <c r="AB179"/>
      <c r="AC179"/>
    </row>
    <row r="180" spans="1:29" ht="15.75">
      <c r="A180" s="28"/>
      <c r="B180" s="346">
        <f t="shared" si="18"/>
        <v>144</v>
      </c>
      <c r="C180" s="347">
        <f t="shared" si="19"/>
        <v>0</v>
      </c>
      <c r="D180" s="347">
        <f t="shared" si="20"/>
        <v>0</v>
      </c>
      <c r="E180" s="347">
        <f t="shared" si="21"/>
        <v>0</v>
      </c>
      <c r="F180" s="347">
        <f t="shared" si="22"/>
        <v>399999.99999999965</v>
      </c>
      <c r="G180" s="347">
        <f t="shared" si="23"/>
        <v>0</v>
      </c>
      <c r="H180" s="347">
        <f t="shared" si="24"/>
        <v>380617.22096331924</v>
      </c>
      <c r="I180" s="347">
        <f t="shared" si="25"/>
        <v>0</v>
      </c>
      <c r="J180" s="347">
        <f t="shared" si="26"/>
        <v>0</v>
      </c>
      <c r="K180"/>
      <c r="L180"/>
      <c r="M180"/>
      <c r="N180"/>
      <c r="O180"/>
      <c r="P180"/>
      <c r="Q180"/>
      <c r="R180"/>
      <c r="S180"/>
      <c r="T180"/>
      <c r="U180"/>
      <c r="V180"/>
      <c r="W180"/>
      <c r="X180"/>
      <c r="Y180"/>
      <c r="Z180"/>
      <c r="AA180"/>
      <c r="AB180"/>
      <c r="AC180"/>
    </row>
    <row r="181" spans="1:29" ht="15.75">
      <c r="A181" s="28"/>
      <c r="B181" s="346">
        <f t="shared" si="18"/>
        <v>145</v>
      </c>
      <c r="C181" s="347">
        <f t="shared" si="19"/>
        <v>0</v>
      </c>
      <c r="D181" s="347">
        <f t="shared" si="20"/>
        <v>0</v>
      </c>
      <c r="E181" s="347">
        <f t="shared" si="21"/>
        <v>0</v>
      </c>
      <c r="F181" s="347">
        <f t="shared" si="22"/>
        <v>399999.99999999965</v>
      </c>
      <c r="G181" s="347">
        <f t="shared" si="23"/>
        <v>0</v>
      </c>
      <c r="H181" s="347">
        <f t="shared" si="24"/>
        <v>380617.22096331924</v>
      </c>
      <c r="I181" s="347">
        <f t="shared" si="25"/>
        <v>0</v>
      </c>
      <c r="J181" s="347">
        <f t="shared" si="26"/>
        <v>0</v>
      </c>
      <c r="K181"/>
      <c r="L181"/>
      <c r="M181"/>
      <c r="N181"/>
      <c r="O181"/>
      <c r="P181"/>
      <c r="Q181"/>
      <c r="R181"/>
      <c r="S181"/>
      <c r="T181"/>
      <c r="U181"/>
      <c r="V181"/>
      <c r="W181"/>
      <c r="X181"/>
      <c r="Y181"/>
      <c r="Z181"/>
      <c r="AA181"/>
      <c r="AB181"/>
      <c r="AC181"/>
    </row>
    <row r="182" spans="1:29" ht="15.75">
      <c r="A182" s="28"/>
      <c r="B182" s="346">
        <f t="shared" si="18"/>
        <v>146</v>
      </c>
      <c r="C182" s="347">
        <f t="shared" si="19"/>
        <v>0</v>
      </c>
      <c r="D182" s="347">
        <f t="shared" si="20"/>
        <v>0</v>
      </c>
      <c r="E182" s="347">
        <f t="shared" si="21"/>
        <v>0</v>
      </c>
      <c r="F182" s="347">
        <f t="shared" si="22"/>
        <v>399999.99999999965</v>
      </c>
      <c r="G182" s="347">
        <f t="shared" si="23"/>
        <v>0</v>
      </c>
      <c r="H182" s="347">
        <f t="shared" si="24"/>
        <v>380617.22096331924</v>
      </c>
      <c r="I182" s="347">
        <f t="shared" si="25"/>
        <v>0</v>
      </c>
      <c r="J182" s="347">
        <f t="shared" si="26"/>
        <v>0</v>
      </c>
      <c r="K182"/>
      <c r="L182"/>
      <c r="M182"/>
      <c r="N182"/>
      <c r="O182"/>
      <c r="P182"/>
      <c r="Q182"/>
      <c r="R182"/>
      <c r="S182"/>
      <c r="T182"/>
      <c r="U182"/>
      <c r="V182"/>
      <c r="W182"/>
      <c r="X182"/>
      <c r="Y182"/>
      <c r="Z182"/>
      <c r="AA182"/>
      <c r="AB182"/>
      <c r="AC182"/>
    </row>
    <row r="183" spans="1:29" ht="15.75">
      <c r="A183" s="28"/>
      <c r="B183" s="346">
        <f t="shared" si="18"/>
        <v>147</v>
      </c>
      <c r="C183" s="347">
        <f t="shared" si="19"/>
        <v>0</v>
      </c>
      <c r="D183" s="347">
        <f t="shared" si="20"/>
        <v>0</v>
      </c>
      <c r="E183" s="347">
        <f t="shared" si="21"/>
        <v>0</v>
      </c>
      <c r="F183" s="347">
        <f t="shared" si="22"/>
        <v>399999.99999999965</v>
      </c>
      <c r="G183" s="347">
        <f t="shared" si="23"/>
        <v>0</v>
      </c>
      <c r="H183" s="347">
        <f t="shared" si="24"/>
        <v>380617.22096331924</v>
      </c>
      <c r="I183" s="347">
        <f t="shared" si="25"/>
        <v>0</v>
      </c>
      <c r="J183" s="347">
        <f t="shared" si="26"/>
        <v>0</v>
      </c>
      <c r="K183"/>
      <c r="L183"/>
      <c r="M183"/>
      <c r="N183"/>
      <c r="O183"/>
      <c r="P183"/>
      <c r="Q183"/>
      <c r="R183"/>
      <c r="S183"/>
      <c r="T183"/>
      <c r="U183"/>
      <c r="V183"/>
      <c r="W183"/>
      <c r="X183"/>
      <c r="Y183"/>
      <c r="Z183"/>
      <c r="AA183"/>
      <c r="AB183"/>
      <c r="AC183"/>
    </row>
    <row r="184" spans="1:29" ht="15.75">
      <c r="A184" s="28"/>
      <c r="B184" s="346">
        <f t="shared" si="18"/>
        <v>148</v>
      </c>
      <c r="C184" s="347">
        <f t="shared" si="19"/>
        <v>0</v>
      </c>
      <c r="D184" s="347">
        <f t="shared" si="20"/>
        <v>0</v>
      </c>
      <c r="E184" s="347">
        <f t="shared" si="21"/>
        <v>0</v>
      </c>
      <c r="F184" s="347">
        <f t="shared" si="22"/>
        <v>399999.99999999965</v>
      </c>
      <c r="G184" s="347">
        <f t="shared" si="23"/>
        <v>0</v>
      </c>
      <c r="H184" s="347">
        <f t="shared" si="24"/>
        <v>380617.22096331924</v>
      </c>
      <c r="I184" s="347">
        <f t="shared" si="25"/>
        <v>0</v>
      </c>
      <c r="J184" s="347">
        <f t="shared" si="26"/>
        <v>0</v>
      </c>
      <c r="K184"/>
      <c r="L184"/>
      <c r="M184"/>
      <c r="N184"/>
      <c r="O184"/>
      <c r="P184"/>
      <c r="Q184"/>
      <c r="R184"/>
      <c r="S184"/>
      <c r="T184"/>
      <c r="U184"/>
      <c r="V184"/>
      <c r="W184"/>
      <c r="X184"/>
      <c r="Y184"/>
      <c r="Z184"/>
      <c r="AA184"/>
      <c r="AB184"/>
      <c r="AC184"/>
    </row>
    <row r="185" spans="1:29" ht="15.75">
      <c r="A185" s="28"/>
      <c r="B185" s="346">
        <f t="shared" si="18"/>
        <v>149</v>
      </c>
      <c r="C185" s="347">
        <f t="shared" si="19"/>
        <v>0</v>
      </c>
      <c r="D185" s="347">
        <f t="shared" si="20"/>
        <v>0</v>
      </c>
      <c r="E185" s="347">
        <f t="shared" si="21"/>
        <v>0</v>
      </c>
      <c r="F185" s="347">
        <f t="shared" si="22"/>
        <v>399999.99999999965</v>
      </c>
      <c r="G185" s="347">
        <f t="shared" si="23"/>
        <v>0</v>
      </c>
      <c r="H185" s="347">
        <f t="shared" si="24"/>
        <v>380617.22096331924</v>
      </c>
      <c r="I185" s="347">
        <f t="shared" si="25"/>
        <v>0</v>
      </c>
      <c r="J185" s="347">
        <f t="shared" si="26"/>
        <v>0</v>
      </c>
      <c r="K185"/>
      <c r="L185"/>
      <c r="M185"/>
      <c r="N185"/>
      <c r="O185"/>
      <c r="P185"/>
      <c r="Q185"/>
      <c r="R185"/>
      <c r="S185"/>
      <c r="T185"/>
      <c r="U185"/>
      <c r="V185"/>
      <c r="W185"/>
      <c r="X185"/>
      <c r="Y185"/>
      <c r="Z185"/>
      <c r="AA185"/>
      <c r="AB185"/>
      <c r="AC185"/>
    </row>
    <row r="186" spans="1:29" ht="15.75">
      <c r="A186" s="28"/>
      <c r="B186" s="346">
        <f t="shared" si="18"/>
        <v>150</v>
      </c>
      <c r="C186" s="347">
        <f t="shared" si="19"/>
        <v>0</v>
      </c>
      <c r="D186" s="347">
        <f t="shared" si="20"/>
        <v>0</v>
      </c>
      <c r="E186" s="347">
        <f t="shared" si="21"/>
        <v>0</v>
      </c>
      <c r="F186" s="347">
        <f t="shared" si="22"/>
        <v>399999.99999999965</v>
      </c>
      <c r="G186" s="347">
        <f t="shared" si="23"/>
        <v>0</v>
      </c>
      <c r="H186" s="347">
        <f t="shared" si="24"/>
        <v>380617.22096331924</v>
      </c>
      <c r="I186" s="347">
        <f t="shared" si="25"/>
        <v>0</v>
      </c>
      <c r="J186" s="347">
        <f t="shared" si="26"/>
        <v>0</v>
      </c>
      <c r="K186"/>
      <c r="L186"/>
      <c r="M186"/>
      <c r="N186"/>
      <c r="O186"/>
      <c r="P186"/>
      <c r="Q186"/>
      <c r="R186"/>
      <c r="S186"/>
      <c r="T186"/>
      <c r="U186"/>
      <c r="V186"/>
      <c r="W186"/>
      <c r="X186"/>
      <c r="Y186"/>
      <c r="Z186"/>
      <c r="AA186"/>
      <c r="AB186"/>
      <c r="AC186"/>
    </row>
    <row r="187" spans="1:29" ht="15.75">
      <c r="A187" s="28"/>
      <c r="B187" s="346">
        <f t="shared" si="18"/>
        <v>151</v>
      </c>
      <c r="C187" s="347">
        <f t="shared" si="19"/>
        <v>0</v>
      </c>
      <c r="D187" s="347">
        <f t="shared" si="20"/>
        <v>0</v>
      </c>
      <c r="E187" s="347">
        <f t="shared" si="21"/>
        <v>0</v>
      </c>
      <c r="F187" s="347">
        <f t="shared" si="22"/>
        <v>399999.99999999965</v>
      </c>
      <c r="G187" s="347">
        <f t="shared" si="23"/>
        <v>0</v>
      </c>
      <c r="H187" s="347">
        <f t="shared" si="24"/>
        <v>380617.22096331924</v>
      </c>
      <c r="I187" s="347">
        <f t="shared" si="25"/>
        <v>0</v>
      </c>
      <c r="J187" s="347">
        <f t="shared" si="26"/>
        <v>0</v>
      </c>
      <c r="K187"/>
      <c r="L187"/>
      <c r="M187"/>
      <c r="N187"/>
      <c r="O187"/>
      <c r="P187"/>
      <c r="Q187"/>
      <c r="R187"/>
      <c r="S187"/>
      <c r="T187"/>
      <c r="U187"/>
      <c r="V187"/>
      <c r="W187"/>
      <c r="X187"/>
      <c r="Y187"/>
      <c r="Z187"/>
      <c r="AA187"/>
      <c r="AB187"/>
      <c r="AC187"/>
    </row>
    <row r="188" spans="1:29" ht="15.75">
      <c r="A188" s="28"/>
      <c r="B188" s="346">
        <f t="shared" si="18"/>
        <v>152</v>
      </c>
      <c r="C188" s="347">
        <f t="shared" si="19"/>
        <v>0</v>
      </c>
      <c r="D188" s="347">
        <f t="shared" si="20"/>
        <v>0</v>
      </c>
      <c r="E188" s="347">
        <f t="shared" si="21"/>
        <v>0</v>
      </c>
      <c r="F188" s="347">
        <f t="shared" si="22"/>
        <v>399999.99999999965</v>
      </c>
      <c r="G188" s="347">
        <f t="shared" si="23"/>
        <v>0</v>
      </c>
      <c r="H188" s="347">
        <f t="shared" si="24"/>
        <v>380617.22096331924</v>
      </c>
      <c r="I188" s="347">
        <f t="shared" si="25"/>
        <v>0</v>
      </c>
      <c r="J188" s="347">
        <f t="shared" si="26"/>
        <v>0</v>
      </c>
      <c r="K188"/>
      <c r="L188"/>
      <c r="M188"/>
      <c r="N188"/>
      <c r="O188"/>
      <c r="P188"/>
      <c r="Q188"/>
      <c r="R188"/>
      <c r="S188"/>
      <c r="T188"/>
      <c r="U188"/>
      <c r="V188"/>
      <c r="W188"/>
      <c r="X188"/>
      <c r="Y188"/>
      <c r="Z188"/>
      <c r="AA188"/>
      <c r="AB188"/>
      <c r="AC188"/>
    </row>
    <row r="189" spans="1:29" ht="15.75">
      <c r="A189" s="28"/>
      <c r="B189" s="346">
        <f t="shared" si="18"/>
        <v>153</v>
      </c>
      <c r="C189" s="347">
        <f t="shared" si="19"/>
        <v>0</v>
      </c>
      <c r="D189" s="347">
        <f t="shared" si="20"/>
        <v>0</v>
      </c>
      <c r="E189" s="347">
        <f t="shared" si="21"/>
        <v>0</v>
      </c>
      <c r="F189" s="347">
        <f t="shared" si="22"/>
        <v>399999.99999999965</v>
      </c>
      <c r="G189" s="347">
        <f t="shared" si="23"/>
        <v>0</v>
      </c>
      <c r="H189" s="347">
        <f t="shared" si="24"/>
        <v>380617.22096331924</v>
      </c>
      <c r="I189" s="347">
        <f t="shared" si="25"/>
        <v>0</v>
      </c>
      <c r="J189" s="347">
        <f t="shared" si="26"/>
        <v>0</v>
      </c>
      <c r="K189"/>
      <c r="L189"/>
      <c r="M189"/>
      <c r="N189"/>
      <c r="O189"/>
      <c r="P189"/>
      <c r="Q189"/>
      <c r="R189"/>
      <c r="S189"/>
      <c r="T189"/>
      <c r="U189"/>
      <c r="V189"/>
      <c r="W189"/>
      <c r="X189"/>
      <c r="Y189"/>
      <c r="Z189"/>
      <c r="AA189"/>
      <c r="AB189"/>
      <c r="AC189"/>
    </row>
    <row r="190" spans="1:29" ht="15.75">
      <c r="A190" s="28"/>
      <c r="B190" s="346">
        <f t="shared" si="18"/>
        <v>154</v>
      </c>
      <c r="C190" s="347">
        <f t="shared" si="19"/>
        <v>0</v>
      </c>
      <c r="D190" s="347">
        <f t="shared" si="20"/>
        <v>0</v>
      </c>
      <c r="E190" s="347">
        <f t="shared" si="21"/>
        <v>0</v>
      </c>
      <c r="F190" s="347">
        <f t="shared" si="22"/>
        <v>399999.99999999965</v>
      </c>
      <c r="G190" s="347">
        <f t="shared" si="23"/>
        <v>0</v>
      </c>
      <c r="H190" s="347">
        <f t="shared" si="24"/>
        <v>380617.22096331924</v>
      </c>
      <c r="I190" s="347">
        <f t="shared" si="25"/>
        <v>0</v>
      </c>
      <c r="J190" s="347">
        <f t="shared" si="26"/>
        <v>0</v>
      </c>
      <c r="K190"/>
      <c r="L190"/>
      <c r="M190"/>
      <c r="N190"/>
      <c r="O190"/>
      <c r="P190"/>
      <c r="Q190"/>
      <c r="R190"/>
      <c r="S190"/>
      <c r="T190"/>
      <c r="U190"/>
      <c r="V190"/>
      <c r="W190"/>
      <c r="X190"/>
      <c r="Y190"/>
      <c r="Z190"/>
      <c r="AA190"/>
      <c r="AB190"/>
      <c r="AC190"/>
    </row>
    <row r="191" spans="1:29" ht="15.75">
      <c r="A191" s="28"/>
      <c r="B191" s="346">
        <f t="shared" si="18"/>
        <v>155</v>
      </c>
      <c r="C191" s="347">
        <f t="shared" si="19"/>
        <v>0</v>
      </c>
      <c r="D191" s="347">
        <f t="shared" si="20"/>
        <v>0</v>
      </c>
      <c r="E191" s="347">
        <f t="shared" si="21"/>
        <v>0</v>
      </c>
      <c r="F191" s="347">
        <f t="shared" si="22"/>
        <v>399999.99999999965</v>
      </c>
      <c r="G191" s="347">
        <f t="shared" si="23"/>
        <v>0</v>
      </c>
      <c r="H191" s="347">
        <f t="shared" si="24"/>
        <v>380617.22096331924</v>
      </c>
      <c r="I191" s="347">
        <f t="shared" si="25"/>
        <v>0</v>
      </c>
      <c r="J191" s="347">
        <f t="shared" si="26"/>
        <v>0</v>
      </c>
      <c r="K191"/>
      <c r="L191"/>
      <c r="M191"/>
      <c r="N191"/>
      <c r="O191"/>
      <c r="P191"/>
      <c r="Q191"/>
      <c r="R191"/>
      <c r="S191"/>
      <c r="T191"/>
      <c r="U191"/>
      <c r="V191"/>
      <c r="W191"/>
      <c r="X191"/>
      <c r="Y191"/>
      <c r="Z191"/>
      <c r="AA191"/>
      <c r="AB191"/>
      <c r="AC191"/>
    </row>
    <row r="192" spans="1:29" ht="15.75">
      <c r="A192" s="28"/>
      <c r="B192" s="346">
        <f t="shared" si="18"/>
        <v>156</v>
      </c>
      <c r="C192" s="347">
        <f t="shared" si="19"/>
        <v>0</v>
      </c>
      <c r="D192" s="347">
        <f t="shared" si="20"/>
        <v>0</v>
      </c>
      <c r="E192" s="347">
        <f t="shared" si="21"/>
        <v>0</v>
      </c>
      <c r="F192" s="347">
        <f t="shared" si="22"/>
        <v>399999.99999999965</v>
      </c>
      <c r="G192" s="347">
        <f t="shared" si="23"/>
        <v>0</v>
      </c>
      <c r="H192" s="347">
        <f t="shared" si="24"/>
        <v>380617.22096331924</v>
      </c>
      <c r="I192" s="347">
        <f t="shared" si="25"/>
        <v>0</v>
      </c>
      <c r="J192" s="347">
        <f t="shared" si="26"/>
        <v>0</v>
      </c>
      <c r="K192"/>
      <c r="L192"/>
      <c r="M192"/>
      <c r="N192"/>
      <c r="O192"/>
      <c r="P192"/>
      <c r="Q192"/>
      <c r="R192"/>
      <c r="S192"/>
      <c r="T192"/>
      <c r="U192"/>
      <c r="V192"/>
      <c r="W192"/>
      <c r="X192"/>
      <c r="Y192"/>
      <c r="Z192"/>
      <c r="AA192"/>
      <c r="AB192"/>
      <c r="AC192"/>
    </row>
    <row r="193" spans="1:29" ht="15.75">
      <c r="A193" s="28"/>
      <c r="B193" s="346">
        <f t="shared" si="18"/>
        <v>157</v>
      </c>
      <c r="C193" s="347">
        <f t="shared" si="19"/>
        <v>0</v>
      </c>
      <c r="D193" s="347">
        <f t="shared" si="20"/>
        <v>0</v>
      </c>
      <c r="E193" s="347">
        <f t="shared" si="21"/>
        <v>0</v>
      </c>
      <c r="F193" s="347">
        <f t="shared" si="22"/>
        <v>399999.99999999965</v>
      </c>
      <c r="G193" s="347">
        <f t="shared" si="23"/>
        <v>0</v>
      </c>
      <c r="H193" s="347">
        <f t="shared" si="24"/>
        <v>380617.22096331924</v>
      </c>
      <c r="I193" s="347">
        <f t="shared" si="25"/>
        <v>0</v>
      </c>
      <c r="J193" s="347">
        <f t="shared" si="26"/>
        <v>0</v>
      </c>
      <c r="K193"/>
      <c r="L193"/>
      <c r="M193"/>
      <c r="N193"/>
      <c r="O193"/>
      <c r="P193"/>
      <c r="Q193"/>
      <c r="R193"/>
      <c r="S193"/>
      <c r="T193"/>
      <c r="U193"/>
      <c r="V193"/>
      <c r="W193"/>
      <c r="X193"/>
      <c r="Y193"/>
      <c r="Z193"/>
      <c r="AA193"/>
      <c r="AB193"/>
      <c r="AC193"/>
    </row>
    <row r="194" spans="1:29" ht="15.75">
      <c r="A194" s="28"/>
      <c r="B194" s="346">
        <f t="shared" si="18"/>
        <v>158</v>
      </c>
      <c r="C194" s="347">
        <f t="shared" si="19"/>
        <v>0</v>
      </c>
      <c r="D194" s="347">
        <f t="shared" si="20"/>
        <v>0</v>
      </c>
      <c r="E194" s="347">
        <f t="shared" si="21"/>
        <v>0</v>
      </c>
      <c r="F194" s="347">
        <f t="shared" si="22"/>
        <v>399999.99999999965</v>
      </c>
      <c r="G194" s="347">
        <f t="shared" si="23"/>
        <v>0</v>
      </c>
      <c r="H194" s="347">
        <f t="shared" si="24"/>
        <v>380617.22096331924</v>
      </c>
      <c r="I194" s="347">
        <f t="shared" si="25"/>
        <v>0</v>
      </c>
      <c r="J194" s="347">
        <f t="shared" si="26"/>
        <v>0</v>
      </c>
      <c r="K194"/>
      <c r="L194"/>
      <c r="M194"/>
      <c r="N194"/>
      <c r="O194"/>
      <c r="P194"/>
      <c r="Q194"/>
      <c r="R194"/>
      <c r="S194"/>
      <c r="T194"/>
      <c r="U194"/>
      <c r="V194"/>
      <c r="W194"/>
      <c r="X194"/>
      <c r="Y194"/>
      <c r="Z194"/>
      <c r="AA194"/>
      <c r="AB194"/>
      <c r="AC194"/>
    </row>
    <row r="195" spans="1:29" ht="15.75">
      <c r="A195" s="28"/>
      <c r="B195" s="346">
        <f t="shared" si="18"/>
        <v>159</v>
      </c>
      <c r="C195" s="347">
        <f t="shared" si="19"/>
        <v>0</v>
      </c>
      <c r="D195" s="347">
        <f t="shared" si="20"/>
        <v>0</v>
      </c>
      <c r="E195" s="347">
        <f t="shared" si="21"/>
        <v>0</v>
      </c>
      <c r="F195" s="347">
        <f t="shared" si="22"/>
        <v>399999.99999999965</v>
      </c>
      <c r="G195" s="347">
        <f t="shared" si="23"/>
        <v>0</v>
      </c>
      <c r="H195" s="347">
        <f t="shared" si="24"/>
        <v>380617.22096331924</v>
      </c>
      <c r="I195" s="347">
        <f t="shared" si="25"/>
        <v>0</v>
      </c>
      <c r="J195" s="347">
        <f t="shared" si="26"/>
        <v>0</v>
      </c>
      <c r="K195"/>
      <c r="L195"/>
      <c r="M195"/>
      <c r="N195"/>
      <c r="O195"/>
      <c r="P195"/>
      <c r="Q195"/>
      <c r="R195"/>
      <c r="S195"/>
      <c r="T195"/>
      <c r="U195"/>
      <c r="V195"/>
      <c r="W195"/>
      <c r="X195"/>
      <c r="Y195"/>
      <c r="Z195"/>
      <c r="AA195"/>
      <c r="AB195"/>
      <c r="AC195"/>
    </row>
    <row r="196" spans="1:29" ht="15.75">
      <c r="A196" s="28"/>
      <c r="B196" s="346">
        <f t="shared" si="18"/>
        <v>160</v>
      </c>
      <c r="C196" s="347">
        <f t="shared" si="19"/>
        <v>0</v>
      </c>
      <c r="D196" s="347">
        <f t="shared" si="20"/>
        <v>0</v>
      </c>
      <c r="E196" s="347">
        <f t="shared" si="21"/>
        <v>0</v>
      </c>
      <c r="F196" s="347">
        <f t="shared" si="22"/>
        <v>399999.99999999965</v>
      </c>
      <c r="G196" s="347">
        <f t="shared" si="23"/>
        <v>0</v>
      </c>
      <c r="H196" s="347">
        <f t="shared" si="24"/>
        <v>380617.22096331924</v>
      </c>
      <c r="I196" s="347">
        <f t="shared" si="25"/>
        <v>0</v>
      </c>
      <c r="J196" s="347">
        <f t="shared" si="26"/>
        <v>0</v>
      </c>
      <c r="K196"/>
      <c r="L196"/>
      <c r="M196"/>
      <c r="N196"/>
      <c r="O196"/>
      <c r="P196"/>
      <c r="Q196"/>
      <c r="R196"/>
      <c r="S196"/>
      <c r="T196"/>
      <c r="U196"/>
      <c r="V196"/>
      <c r="W196"/>
      <c r="X196"/>
      <c r="Y196"/>
      <c r="Z196"/>
      <c r="AA196"/>
      <c r="AB196"/>
      <c r="AC196"/>
    </row>
    <row r="197" spans="1:29" ht="15.75">
      <c r="A197" s="28"/>
      <c r="B197" s="346">
        <f t="shared" si="18"/>
        <v>161</v>
      </c>
      <c r="C197" s="347">
        <f t="shared" si="19"/>
        <v>0</v>
      </c>
      <c r="D197" s="347">
        <f t="shared" si="20"/>
        <v>0</v>
      </c>
      <c r="E197" s="347">
        <f t="shared" si="21"/>
        <v>0</v>
      </c>
      <c r="F197" s="347">
        <f t="shared" si="22"/>
        <v>399999.99999999965</v>
      </c>
      <c r="G197" s="347">
        <f t="shared" si="23"/>
        <v>0</v>
      </c>
      <c r="H197" s="347">
        <f t="shared" si="24"/>
        <v>380617.22096331924</v>
      </c>
      <c r="I197" s="347">
        <f t="shared" si="25"/>
        <v>0</v>
      </c>
      <c r="J197" s="347">
        <f t="shared" si="26"/>
        <v>0</v>
      </c>
      <c r="K197"/>
      <c r="L197"/>
      <c r="M197"/>
      <c r="N197"/>
      <c r="O197"/>
      <c r="P197"/>
      <c r="Q197"/>
      <c r="R197"/>
      <c r="S197"/>
      <c r="T197"/>
      <c r="U197"/>
      <c r="V197"/>
      <c r="W197"/>
      <c r="X197"/>
      <c r="Y197"/>
      <c r="Z197"/>
      <c r="AA197"/>
      <c r="AB197"/>
      <c r="AC197"/>
    </row>
    <row r="198" spans="1:29" ht="15.75">
      <c r="A198" s="28"/>
      <c r="B198" s="346">
        <f t="shared" si="18"/>
        <v>162</v>
      </c>
      <c r="C198" s="347">
        <f t="shared" si="19"/>
        <v>0</v>
      </c>
      <c r="D198" s="347">
        <f t="shared" si="20"/>
        <v>0</v>
      </c>
      <c r="E198" s="347">
        <f t="shared" si="21"/>
        <v>0</v>
      </c>
      <c r="F198" s="347">
        <f t="shared" si="22"/>
        <v>399999.99999999965</v>
      </c>
      <c r="G198" s="347">
        <f t="shared" si="23"/>
        <v>0</v>
      </c>
      <c r="H198" s="347">
        <f t="shared" si="24"/>
        <v>380617.22096331924</v>
      </c>
      <c r="I198" s="347">
        <f t="shared" si="25"/>
        <v>0</v>
      </c>
      <c r="J198" s="347">
        <f t="shared" si="26"/>
        <v>0</v>
      </c>
      <c r="K198"/>
      <c r="L198"/>
      <c r="M198"/>
      <c r="N198"/>
      <c r="O198"/>
      <c r="P198"/>
      <c r="Q198"/>
      <c r="R198"/>
      <c r="S198"/>
      <c r="T198"/>
      <c r="U198"/>
      <c r="V198"/>
      <c r="W198"/>
      <c r="X198"/>
      <c r="Y198"/>
      <c r="Z198"/>
      <c r="AA198"/>
      <c r="AB198"/>
      <c r="AC198"/>
    </row>
    <row r="199" spans="1:29" ht="15.75">
      <c r="A199" s="28"/>
      <c r="B199" s="346">
        <f t="shared" si="18"/>
        <v>163</v>
      </c>
      <c r="C199" s="347">
        <f t="shared" si="19"/>
        <v>0</v>
      </c>
      <c r="D199" s="347">
        <f t="shared" si="20"/>
        <v>0</v>
      </c>
      <c r="E199" s="347">
        <f t="shared" si="21"/>
        <v>0</v>
      </c>
      <c r="F199" s="347">
        <f t="shared" si="22"/>
        <v>399999.99999999965</v>
      </c>
      <c r="G199" s="347">
        <f t="shared" si="23"/>
        <v>0</v>
      </c>
      <c r="H199" s="347">
        <f t="shared" si="24"/>
        <v>380617.22096331924</v>
      </c>
      <c r="I199" s="347">
        <f t="shared" si="25"/>
        <v>0</v>
      </c>
      <c r="J199" s="347">
        <f t="shared" si="26"/>
        <v>0</v>
      </c>
      <c r="K199"/>
      <c r="L199"/>
      <c r="M199"/>
      <c r="N199"/>
      <c r="O199"/>
      <c r="P199"/>
      <c r="Q199"/>
      <c r="R199"/>
      <c r="S199"/>
      <c r="T199"/>
      <c r="U199"/>
      <c r="V199"/>
      <c r="W199"/>
      <c r="X199"/>
      <c r="Y199"/>
      <c r="Z199"/>
      <c r="AA199"/>
      <c r="AB199"/>
      <c r="AC199"/>
    </row>
    <row r="200" spans="1:29" ht="15.75">
      <c r="A200" s="28"/>
      <c r="B200" s="346">
        <f t="shared" si="18"/>
        <v>164</v>
      </c>
      <c r="C200" s="347">
        <f t="shared" si="19"/>
        <v>0</v>
      </c>
      <c r="D200" s="347">
        <f t="shared" si="20"/>
        <v>0</v>
      </c>
      <c r="E200" s="347">
        <f t="shared" si="21"/>
        <v>0</v>
      </c>
      <c r="F200" s="347">
        <f t="shared" si="22"/>
        <v>399999.99999999965</v>
      </c>
      <c r="G200" s="347">
        <f t="shared" si="23"/>
        <v>0</v>
      </c>
      <c r="H200" s="347">
        <f t="shared" si="24"/>
        <v>380617.22096331924</v>
      </c>
      <c r="I200" s="347">
        <f t="shared" si="25"/>
        <v>0</v>
      </c>
      <c r="J200" s="347">
        <f t="shared" si="26"/>
        <v>0</v>
      </c>
      <c r="K200"/>
      <c r="L200"/>
      <c r="M200"/>
      <c r="N200"/>
      <c r="O200"/>
      <c r="P200"/>
      <c r="Q200"/>
      <c r="R200"/>
      <c r="S200"/>
      <c r="T200"/>
      <c r="U200"/>
      <c r="V200"/>
      <c r="W200"/>
      <c r="X200"/>
      <c r="Y200"/>
      <c r="Z200"/>
      <c r="AA200"/>
      <c r="AB200"/>
      <c r="AC200"/>
    </row>
    <row r="201" spans="1:29" ht="15.75">
      <c r="A201" s="28"/>
      <c r="B201" s="346">
        <f t="shared" si="18"/>
        <v>165</v>
      </c>
      <c r="C201" s="347">
        <f t="shared" si="19"/>
        <v>0</v>
      </c>
      <c r="D201" s="347">
        <f t="shared" si="20"/>
        <v>0</v>
      </c>
      <c r="E201" s="347">
        <f t="shared" si="21"/>
        <v>0</v>
      </c>
      <c r="F201" s="347">
        <f t="shared" si="22"/>
        <v>399999.99999999965</v>
      </c>
      <c r="G201" s="347">
        <f t="shared" si="23"/>
        <v>0</v>
      </c>
      <c r="H201" s="347">
        <f t="shared" si="24"/>
        <v>380617.22096331924</v>
      </c>
      <c r="I201" s="347">
        <f t="shared" si="25"/>
        <v>0</v>
      </c>
      <c r="J201" s="347">
        <f t="shared" si="26"/>
        <v>0</v>
      </c>
      <c r="K201"/>
      <c r="L201"/>
      <c r="M201"/>
      <c r="N201"/>
      <c r="O201"/>
      <c r="P201"/>
      <c r="Q201"/>
      <c r="R201"/>
      <c r="S201"/>
      <c r="T201"/>
      <c r="U201"/>
      <c r="V201"/>
      <c r="W201"/>
      <c r="X201"/>
      <c r="Y201"/>
      <c r="Z201"/>
      <c r="AA201"/>
      <c r="AB201"/>
      <c r="AC201"/>
    </row>
    <row r="202" spans="1:29" ht="15.75">
      <c r="A202" s="28"/>
      <c r="B202" s="346">
        <f t="shared" si="18"/>
        <v>166</v>
      </c>
      <c r="C202" s="347">
        <f t="shared" si="19"/>
        <v>0</v>
      </c>
      <c r="D202" s="347">
        <f t="shared" si="20"/>
        <v>0</v>
      </c>
      <c r="E202" s="347">
        <f t="shared" si="21"/>
        <v>0</v>
      </c>
      <c r="F202" s="347">
        <f t="shared" si="22"/>
        <v>399999.99999999965</v>
      </c>
      <c r="G202" s="347">
        <f t="shared" si="23"/>
        <v>0</v>
      </c>
      <c r="H202" s="347">
        <f t="shared" si="24"/>
        <v>380617.22096331924</v>
      </c>
      <c r="I202" s="347">
        <f t="shared" si="25"/>
        <v>0</v>
      </c>
      <c r="J202" s="347">
        <f t="shared" si="26"/>
        <v>0</v>
      </c>
      <c r="K202"/>
      <c r="L202"/>
      <c r="M202"/>
      <c r="N202"/>
      <c r="O202"/>
      <c r="P202"/>
      <c r="Q202"/>
      <c r="R202"/>
      <c r="S202"/>
      <c r="T202"/>
      <c r="U202"/>
      <c r="V202"/>
      <c r="W202"/>
      <c r="X202"/>
      <c r="Y202"/>
      <c r="Z202"/>
      <c r="AA202"/>
      <c r="AB202"/>
      <c r="AC202"/>
    </row>
    <row r="203" spans="1:29" ht="15.75">
      <c r="A203" s="28"/>
      <c r="B203" s="346">
        <f t="shared" si="18"/>
        <v>167</v>
      </c>
      <c r="C203" s="347">
        <f t="shared" si="19"/>
        <v>0</v>
      </c>
      <c r="D203" s="347">
        <f t="shared" si="20"/>
        <v>0</v>
      </c>
      <c r="E203" s="347">
        <f t="shared" si="21"/>
        <v>0</v>
      </c>
      <c r="F203" s="347">
        <f t="shared" si="22"/>
        <v>399999.99999999965</v>
      </c>
      <c r="G203" s="347">
        <f t="shared" si="23"/>
        <v>0</v>
      </c>
      <c r="H203" s="347">
        <f t="shared" si="24"/>
        <v>380617.22096331924</v>
      </c>
      <c r="I203" s="347">
        <f t="shared" si="25"/>
        <v>0</v>
      </c>
      <c r="J203" s="347">
        <f t="shared" si="26"/>
        <v>0</v>
      </c>
      <c r="K203"/>
      <c r="L203"/>
      <c r="M203"/>
      <c r="N203"/>
      <c r="O203"/>
      <c r="P203"/>
      <c r="Q203"/>
      <c r="R203"/>
      <c r="S203"/>
      <c r="T203"/>
      <c r="U203"/>
      <c r="V203"/>
      <c r="W203"/>
      <c r="X203"/>
      <c r="Y203"/>
      <c r="Z203"/>
      <c r="AA203"/>
      <c r="AB203"/>
      <c r="AC203"/>
    </row>
    <row r="204" spans="1:29" ht="15.75">
      <c r="A204" s="28"/>
      <c r="B204" s="346">
        <f t="shared" si="18"/>
        <v>168</v>
      </c>
      <c r="C204" s="347">
        <f t="shared" si="19"/>
        <v>0</v>
      </c>
      <c r="D204" s="347">
        <f t="shared" si="20"/>
        <v>0</v>
      </c>
      <c r="E204" s="347">
        <f t="shared" si="21"/>
        <v>0</v>
      </c>
      <c r="F204" s="347">
        <f t="shared" si="22"/>
        <v>399999.99999999965</v>
      </c>
      <c r="G204" s="347">
        <f t="shared" si="23"/>
        <v>0</v>
      </c>
      <c r="H204" s="347">
        <f t="shared" si="24"/>
        <v>380617.22096331924</v>
      </c>
      <c r="I204" s="347">
        <f t="shared" si="25"/>
        <v>0</v>
      </c>
      <c r="J204" s="347">
        <f t="shared" si="26"/>
        <v>0</v>
      </c>
      <c r="K204"/>
      <c r="L204"/>
      <c r="M204"/>
      <c r="N204"/>
      <c r="O204"/>
      <c r="P204"/>
      <c r="Q204"/>
      <c r="R204"/>
      <c r="S204"/>
      <c r="T204"/>
      <c r="U204"/>
      <c r="V204"/>
      <c r="W204"/>
      <c r="X204"/>
      <c r="Y204"/>
      <c r="Z204"/>
      <c r="AA204"/>
      <c r="AB204"/>
      <c r="AC204"/>
    </row>
    <row r="205" spans="1:29" ht="15.75">
      <c r="A205" s="28"/>
      <c r="B205" s="346">
        <f t="shared" si="18"/>
        <v>169</v>
      </c>
      <c r="C205" s="347">
        <f t="shared" si="19"/>
        <v>0</v>
      </c>
      <c r="D205" s="347">
        <f t="shared" si="20"/>
        <v>0</v>
      </c>
      <c r="E205" s="347">
        <f t="shared" si="21"/>
        <v>0</v>
      </c>
      <c r="F205" s="347">
        <f t="shared" si="22"/>
        <v>399999.99999999965</v>
      </c>
      <c r="G205" s="347">
        <f t="shared" si="23"/>
        <v>0</v>
      </c>
      <c r="H205" s="347">
        <f t="shared" si="24"/>
        <v>380617.22096331924</v>
      </c>
      <c r="I205" s="347">
        <f t="shared" si="25"/>
        <v>0</v>
      </c>
      <c r="J205" s="347">
        <f t="shared" si="26"/>
        <v>0</v>
      </c>
      <c r="K205"/>
      <c r="L205"/>
      <c r="M205"/>
      <c r="N205"/>
      <c r="O205"/>
      <c r="P205"/>
      <c r="Q205"/>
      <c r="R205"/>
      <c r="S205"/>
      <c r="T205"/>
      <c r="U205"/>
      <c r="V205"/>
      <c r="W205"/>
      <c r="X205"/>
      <c r="Y205"/>
      <c r="Z205"/>
      <c r="AA205"/>
      <c r="AB205"/>
      <c r="AC205"/>
    </row>
    <row r="206" spans="1:29" ht="15.75">
      <c r="A206" s="28"/>
      <c r="B206" s="346">
        <f t="shared" si="18"/>
        <v>170</v>
      </c>
      <c r="C206" s="347">
        <f t="shared" si="19"/>
        <v>0</v>
      </c>
      <c r="D206" s="347">
        <f t="shared" si="20"/>
        <v>0</v>
      </c>
      <c r="E206" s="347">
        <f t="shared" si="21"/>
        <v>0</v>
      </c>
      <c r="F206" s="347">
        <f t="shared" si="22"/>
        <v>399999.99999999965</v>
      </c>
      <c r="G206" s="347">
        <f t="shared" si="23"/>
        <v>0</v>
      </c>
      <c r="H206" s="347">
        <f t="shared" si="24"/>
        <v>380617.22096331924</v>
      </c>
      <c r="I206" s="347">
        <f t="shared" si="25"/>
        <v>0</v>
      </c>
      <c r="J206" s="347">
        <f t="shared" si="26"/>
        <v>0</v>
      </c>
      <c r="K206"/>
      <c r="L206"/>
      <c r="M206"/>
      <c r="N206"/>
      <c r="O206"/>
      <c r="P206"/>
      <c r="Q206"/>
      <c r="R206"/>
      <c r="S206"/>
      <c r="T206"/>
      <c r="U206"/>
      <c r="V206"/>
      <c r="W206"/>
      <c r="X206"/>
      <c r="Y206"/>
      <c r="Z206"/>
      <c r="AA206"/>
      <c r="AB206"/>
      <c r="AC206"/>
    </row>
    <row r="207" spans="1:29" ht="15.75">
      <c r="A207" s="28"/>
      <c r="B207" s="346">
        <f t="shared" si="18"/>
        <v>171</v>
      </c>
      <c r="C207" s="347">
        <f t="shared" si="19"/>
        <v>0</v>
      </c>
      <c r="D207" s="347">
        <f t="shared" si="20"/>
        <v>0</v>
      </c>
      <c r="E207" s="347">
        <f t="shared" si="21"/>
        <v>0</v>
      </c>
      <c r="F207" s="347">
        <f t="shared" si="22"/>
        <v>399999.99999999965</v>
      </c>
      <c r="G207" s="347">
        <f t="shared" si="23"/>
        <v>0</v>
      </c>
      <c r="H207" s="347">
        <f t="shared" si="24"/>
        <v>380617.22096331924</v>
      </c>
      <c r="I207" s="347">
        <f t="shared" si="25"/>
        <v>0</v>
      </c>
      <c r="J207" s="347">
        <f t="shared" si="26"/>
        <v>0</v>
      </c>
      <c r="K207"/>
      <c r="L207"/>
      <c r="M207"/>
      <c r="N207"/>
      <c r="O207"/>
      <c r="P207"/>
      <c r="Q207"/>
      <c r="R207"/>
      <c r="S207"/>
      <c r="T207"/>
      <c r="U207"/>
      <c r="V207"/>
      <c r="W207"/>
      <c r="X207"/>
      <c r="Y207"/>
      <c r="Z207"/>
      <c r="AA207"/>
      <c r="AB207"/>
      <c r="AC207"/>
    </row>
    <row r="208" spans="1:29" ht="15.75">
      <c r="A208" s="28"/>
      <c r="B208" s="346">
        <f t="shared" si="18"/>
        <v>172</v>
      </c>
      <c r="C208" s="347">
        <f t="shared" si="19"/>
        <v>0</v>
      </c>
      <c r="D208" s="347">
        <f t="shared" si="20"/>
        <v>0</v>
      </c>
      <c r="E208" s="347">
        <f t="shared" si="21"/>
        <v>0</v>
      </c>
      <c r="F208" s="347">
        <f t="shared" si="22"/>
        <v>399999.99999999965</v>
      </c>
      <c r="G208" s="347">
        <f t="shared" si="23"/>
        <v>0</v>
      </c>
      <c r="H208" s="347">
        <f t="shared" si="24"/>
        <v>380617.22096331924</v>
      </c>
      <c r="I208" s="347">
        <f t="shared" si="25"/>
        <v>0</v>
      </c>
      <c r="J208" s="347">
        <f t="shared" si="26"/>
        <v>0</v>
      </c>
      <c r="K208"/>
      <c r="L208"/>
      <c r="M208"/>
      <c r="N208"/>
      <c r="O208"/>
      <c r="P208"/>
      <c r="Q208"/>
      <c r="R208"/>
      <c r="S208"/>
      <c r="T208"/>
      <c r="U208"/>
      <c r="V208"/>
      <c r="W208"/>
      <c r="X208"/>
      <c r="Y208"/>
      <c r="Z208"/>
      <c r="AA208"/>
      <c r="AB208"/>
      <c r="AC208"/>
    </row>
    <row r="209" spans="1:29" ht="15.75">
      <c r="A209" s="28"/>
      <c r="B209" s="346">
        <f t="shared" si="18"/>
        <v>173</v>
      </c>
      <c r="C209" s="347">
        <f t="shared" si="19"/>
        <v>0</v>
      </c>
      <c r="D209" s="347">
        <f t="shared" si="20"/>
        <v>0</v>
      </c>
      <c r="E209" s="347">
        <f t="shared" si="21"/>
        <v>0</v>
      </c>
      <c r="F209" s="347">
        <f t="shared" si="22"/>
        <v>399999.99999999965</v>
      </c>
      <c r="G209" s="347">
        <f t="shared" si="23"/>
        <v>0</v>
      </c>
      <c r="H209" s="347">
        <f t="shared" si="24"/>
        <v>380617.22096331924</v>
      </c>
      <c r="I209" s="347">
        <f t="shared" si="25"/>
        <v>0</v>
      </c>
      <c r="J209" s="347">
        <f t="shared" si="26"/>
        <v>0</v>
      </c>
      <c r="K209"/>
      <c r="L209"/>
      <c r="M209"/>
      <c r="N209"/>
      <c r="O209"/>
      <c r="P209"/>
      <c r="Q209"/>
      <c r="R209"/>
      <c r="S209"/>
      <c r="T209"/>
      <c r="U209"/>
      <c r="V209"/>
      <c r="W209"/>
      <c r="X209"/>
      <c r="Y209"/>
      <c r="Z209"/>
      <c r="AA209"/>
      <c r="AB209"/>
      <c r="AC209"/>
    </row>
    <row r="210" spans="1:29" ht="15.75">
      <c r="A210" s="28"/>
      <c r="B210" s="346">
        <f t="shared" si="18"/>
        <v>174</v>
      </c>
      <c r="C210" s="347">
        <f t="shared" si="19"/>
        <v>0</v>
      </c>
      <c r="D210" s="347">
        <f t="shared" si="20"/>
        <v>0</v>
      </c>
      <c r="E210" s="347">
        <f t="shared" si="21"/>
        <v>0</v>
      </c>
      <c r="F210" s="347">
        <f t="shared" si="22"/>
        <v>399999.99999999965</v>
      </c>
      <c r="G210" s="347">
        <f t="shared" si="23"/>
        <v>0</v>
      </c>
      <c r="H210" s="347">
        <f t="shared" si="24"/>
        <v>380617.22096331924</v>
      </c>
      <c r="I210" s="347">
        <f t="shared" si="25"/>
        <v>0</v>
      </c>
      <c r="J210" s="347">
        <f t="shared" si="26"/>
        <v>0</v>
      </c>
      <c r="K210"/>
      <c r="L210"/>
      <c r="M210"/>
      <c r="N210"/>
      <c r="O210"/>
      <c r="P210"/>
      <c r="Q210"/>
      <c r="R210"/>
      <c r="S210"/>
      <c r="T210"/>
      <c r="U210"/>
      <c r="V210"/>
      <c r="W210"/>
      <c r="X210"/>
      <c r="Y210"/>
      <c r="Z210"/>
      <c r="AA210"/>
      <c r="AB210"/>
      <c r="AC210"/>
    </row>
    <row r="211" spans="1:29" ht="15.75">
      <c r="A211" s="28"/>
      <c r="B211" s="346">
        <f t="shared" si="18"/>
        <v>175</v>
      </c>
      <c r="C211" s="347">
        <f t="shared" si="19"/>
        <v>0</v>
      </c>
      <c r="D211" s="347">
        <f t="shared" si="20"/>
        <v>0</v>
      </c>
      <c r="E211" s="347">
        <f t="shared" si="21"/>
        <v>0</v>
      </c>
      <c r="F211" s="347">
        <f t="shared" si="22"/>
        <v>399999.99999999965</v>
      </c>
      <c r="G211" s="347">
        <f t="shared" si="23"/>
        <v>0</v>
      </c>
      <c r="H211" s="347">
        <f t="shared" si="24"/>
        <v>380617.22096331924</v>
      </c>
      <c r="I211" s="347">
        <f t="shared" si="25"/>
        <v>0</v>
      </c>
      <c r="J211" s="347">
        <f t="shared" si="26"/>
        <v>0</v>
      </c>
      <c r="K211"/>
      <c r="L211"/>
      <c r="M211"/>
      <c r="N211"/>
      <c r="O211"/>
      <c r="P211"/>
      <c r="Q211"/>
      <c r="R211"/>
      <c r="S211"/>
      <c r="T211"/>
      <c r="U211"/>
      <c r="V211"/>
      <c r="W211"/>
      <c r="X211"/>
      <c r="Y211"/>
      <c r="Z211"/>
      <c r="AA211"/>
      <c r="AB211"/>
      <c r="AC211"/>
    </row>
    <row r="212" spans="1:29" ht="15.75">
      <c r="A212" s="28"/>
      <c r="B212" s="346">
        <f t="shared" si="18"/>
        <v>176</v>
      </c>
      <c r="C212" s="347">
        <f t="shared" si="19"/>
        <v>0</v>
      </c>
      <c r="D212" s="347">
        <f t="shared" si="20"/>
        <v>0</v>
      </c>
      <c r="E212" s="347">
        <f t="shared" si="21"/>
        <v>0</v>
      </c>
      <c r="F212" s="347">
        <f t="shared" si="22"/>
        <v>399999.99999999965</v>
      </c>
      <c r="G212" s="347">
        <f t="shared" si="23"/>
        <v>0</v>
      </c>
      <c r="H212" s="347">
        <f t="shared" si="24"/>
        <v>380617.22096331924</v>
      </c>
      <c r="I212" s="347">
        <f t="shared" si="25"/>
        <v>0</v>
      </c>
      <c r="J212" s="347">
        <f t="shared" si="26"/>
        <v>0</v>
      </c>
      <c r="K212"/>
      <c r="L212"/>
      <c r="M212"/>
      <c r="N212"/>
      <c r="O212"/>
      <c r="P212"/>
      <c r="Q212"/>
      <c r="R212"/>
      <c r="S212"/>
      <c r="T212"/>
      <c r="U212"/>
      <c r="V212"/>
      <c r="W212"/>
      <c r="X212"/>
      <c r="Y212"/>
      <c r="Z212"/>
      <c r="AA212"/>
      <c r="AB212"/>
      <c r="AC212"/>
    </row>
    <row r="213" spans="1:29" ht="15.75">
      <c r="A213" s="28"/>
      <c r="B213" s="346">
        <f t="shared" si="18"/>
        <v>177</v>
      </c>
      <c r="C213" s="347">
        <f t="shared" si="19"/>
        <v>0</v>
      </c>
      <c r="D213" s="347">
        <f t="shared" si="20"/>
        <v>0</v>
      </c>
      <c r="E213" s="347">
        <f t="shared" si="21"/>
        <v>0</v>
      </c>
      <c r="F213" s="347">
        <f t="shared" si="22"/>
        <v>399999.99999999965</v>
      </c>
      <c r="G213" s="347">
        <f t="shared" si="23"/>
        <v>0</v>
      </c>
      <c r="H213" s="347">
        <f t="shared" si="24"/>
        <v>380617.22096331924</v>
      </c>
      <c r="I213" s="347">
        <f t="shared" si="25"/>
        <v>0</v>
      </c>
      <c r="J213" s="347">
        <f t="shared" si="26"/>
        <v>0</v>
      </c>
      <c r="K213"/>
      <c r="L213"/>
      <c r="M213"/>
      <c r="N213"/>
      <c r="O213"/>
      <c r="P213"/>
      <c r="Q213"/>
      <c r="R213"/>
      <c r="S213"/>
      <c r="T213"/>
      <c r="U213"/>
      <c r="V213"/>
      <c r="W213"/>
      <c r="X213"/>
      <c r="Y213"/>
      <c r="Z213"/>
      <c r="AA213"/>
      <c r="AB213"/>
      <c r="AC213"/>
    </row>
    <row r="214" spans="1:29" ht="15.75">
      <c r="A214" s="28"/>
      <c r="B214" s="346">
        <f t="shared" si="18"/>
        <v>178</v>
      </c>
      <c r="C214" s="347">
        <f t="shared" si="19"/>
        <v>0</v>
      </c>
      <c r="D214" s="347">
        <f t="shared" si="20"/>
        <v>0</v>
      </c>
      <c r="E214" s="347">
        <f t="shared" si="21"/>
        <v>0</v>
      </c>
      <c r="F214" s="347">
        <f t="shared" si="22"/>
        <v>399999.99999999965</v>
      </c>
      <c r="G214" s="347">
        <f t="shared" si="23"/>
        <v>0</v>
      </c>
      <c r="H214" s="347">
        <f t="shared" si="24"/>
        <v>380617.22096331924</v>
      </c>
      <c r="I214" s="347">
        <f t="shared" si="25"/>
        <v>0</v>
      </c>
      <c r="J214" s="347">
        <f t="shared" si="26"/>
        <v>0</v>
      </c>
      <c r="K214"/>
      <c r="L214"/>
      <c r="M214"/>
      <c r="N214"/>
      <c r="O214"/>
      <c r="P214"/>
      <c r="Q214"/>
      <c r="R214"/>
      <c r="S214"/>
      <c r="T214"/>
      <c r="U214"/>
      <c r="V214"/>
      <c r="W214"/>
      <c r="X214"/>
      <c r="Y214"/>
      <c r="Z214"/>
      <c r="AA214"/>
      <c r="AB214"/>
      <c r="AC214"/>
    </row>
    <row r="215" spans="1:29" ht="15.75">
      <c r="A215" s="28"/>
      <c r="B215" s="346">
        <f t="shared" si="18"/>
        <v>179</v>
      </c>
      <c r="C215" s="347">
        <f t="shared" si="19"/>
        <v>0</v>
      </c>
      <c r="D215" s="347">
        <f t="shared" si="20"/>
        <v>0</v>
      </c>
      <c r="E215" s="347">
        <f t="shared" si="21"/>
        <v>0</v>
      </c>
      <c r="F215" s="347">
        <f t="shared" si="22"/>
        <v>399999.99999999965</v>
      </c>
      <c r="G215" s="347">
        <f t="shared" si="23"/>
        <v>0</v>
      </c>
      <c r="H215" s="347">
        <f t="shared" si="24"/>
        <v>380617.22096331924</v>
      </c>
      <c r="I215" s="347">
        <f t="shared" si="25"/>
        <v>0</v>
      </c>
      <c r="J215" s="347">
        <f t="shared" si="26"/>
        <v>0</v>
      </c>
      <c r="K215"/>
      <c r="L215"/>
      <c r="M215"/>
      <c r="N215"/>
      <c r="O215"/>
      <c r="P215"/>
      <c r="Q215"/>
      <c r="R215"/>
      <c r="S215"/>
      <c r="T215"/>
      <c r="U215"/>
      <c r="V215"/>
      <c r="W215"/>
      <c r="X215"/>
      <c r="Y215"/>
      <c r="Z215"/>
      <c r="AA215"/>
      <c r="AB215"/>
      <c r="AC215"/>
    </row>
    <row r="216" spans="1:29" ht="15.75">
      <c r="A216" s="28"/>
      <c r="B216" s="346">
        <f t="shared" si="18"/>
        <v>180</v>
      </c>
      <c r="C216" s="347">
        <f t="shared" si="19"/>
        <v>0</v>
      </c>
      <c r="D216" s="347">
        <f t="shared" si="20"/>
        <v>0</v>
      </c>
      <c r="E216" s="347">
        <f t="shared" si="21"/>
        <v>0</v>
      </c>
      <c r="F216" s="347">
        <f t="shared" si="22"/>
        <v>399999.99999999965</v>
      </c>
      <c r="G216" s="347">
        <f t="shared" si="23"/>
        <v>0</v>
      </c>
      <c r="H216" s="347">
        <f t="shared" si="24"/>
        <v>380617.22096331924</v>
      </c>
      <c r="I216" s="347">
        <f t="shared" si="25"/>
        <v>0</v>
      </c>
      <c r="J216" s="347">
        <f t="shared" si="26"/>
        <v>0</v>
      </c>
      <c r="K216"/>
      <c r="L216"/>
      <c r="M216"/>
      <c r="N216"/>
      <c r="O216"/>
      <c r="P216"/>
      <c r="Q216"/>
      <c r="R216"/>
      <c r="S216"/>
      <c r="T216"/>
      <c r="U216"/>
      <c r="V216"/>
      <c r="W216"/>
      <c r="X216"/>
      <c r="Y216"/>
      <c r="Z216"/>
      <c r="AA216"/>
      <c r="AB216"/>
      <c r="AC216"/>
    </row>
    <row r="217" spans="1:29" ht="15.75">
      <c r="A217" s="28"/>
      <c r="B217" s="346">
        <f t="shared" si="18"/>
        <v>181</v>
      </c>
      <c r="C217" s="347">
        <f t="shared" si="19"/>
        <v>0</v>
      </c>
      <c r="D217" s="347">
        <f t="shared" si="20"/>
        <v>0</v>
      </c>
      <c r="E217" s="347">
        <f t="shared" si="21"/>
        <v>0</v>
      </c>
      <c r="F217" s="347">
        <f t="shared" si="22"/>
        <v>399999.99999999965</v>
      </c>
      <c r="G217" s="347">
        <f t="shared" si="23"/>
        <v>0</v>
      </c>
      <c r="H217" s="347">
        <f t="shared" si="24"/>
        <v>380617.22096331924</v>
      </c>
      <c r="I217" s="347">
        <f t="shared" si="25"/>
        <v>0</v>
      </c>
      <c r="J217" s="347">
        <f t="shared" si="26"/>
        <v>0</v>
      </c>
      <c r="K217"/>
      <c r="L217"/>
      <c r="M217"/>
      <c r="N217"/>
      <c r="O217"/>
      <c r="P217"/>
      <c r="Q217"/>
      <c r="R217"/>
      <c r="S217"/>
      <c r="T217"/>
      <c r="U217"/>
      <c r="V217"/>
      <c r="W217"/>
      <c r="X217"/>
      <c r="Y217"/>
      <c r="Z217"/>
      <c r="AA217"/>
      <c r="AB217"/>
      <c r="AC217"/>
    </row>
    <row r="218" spans="1:29" ht="15.75">
      <c r="A218" s="28"/>
      <c r="B218" s="346">
        <f t="shared" si="18"/>
        <v>182</v>
      </c>
      <c r="C218" s="347">
        <f t="shared" si="19"/>
        <v>0</v>
      </c>
      <c r="D218" s="347">
        <f t="shared" si="20"/>
        <v>0</v>
      </c>
      <c r="E218" s="347">
        <f t="shared" si="21"/>
        <v>0</v>
      </c>
      <c r="F218" s="347">
        <f t="shared" si="22"/>
        <v>399999.99999999965</v>
      </c>
      <c r="G218" s="347">
        <f t="shared" si="23"/>
        <v>0</v>
      </c>
      <c r="H218" s="347">
        <f t="shared" si="24"/>
        <v>380617.22096331924</v>
      </c>
      <c r="I218" s="347">
        <f t="shared" si="25"/>
        <v>0</v>
      </c>
      <c r="J218" s="347">
        <f t="shared" si="26"/>
        <v>0</v>
      </c>
      <c r="K218"/>
      <c r="L218"/>
      <c r="M218"/>
      <c r="N218"/>
      <c r="O218"/>
      <c r="P218"/>
      <c r="Q218"/>
      <c r="R218"/>
      <c r="S218"/>
      <c r="T218"/>
      <c r="U218"/>
      <c r="V218"/>
      <c r="W218"/>
      <c r="X218"/>
      <c r="Y218"/>
      <c r="Z218"/>
      <c r="AA218"/>
      <c r="AB218"/>
      <c r="AC218"/>
    </row>
    <row r="219" spans="1:29" ht="15.75">
      <c r="A219" s="28"/>
      <c r="B219" s="346">
        <f t="shared" si="18"/>
        <v>183</v>
      </c>
      <c r="C219" s="347">
        <f t="shared" si="19"/>
        <v>0</v>
      </c>
      <c r="D219" s="347">
        <f t="shared" si="20"/>
        <v>0</v>
      </c>
      <c r="E219" s="347">
        <f t="shared" si="21"/>
        <v>0</v>
      </c>
      <c r="F219" s="347">
        <f t="shared" si="22"/>
        <v>399999.99999999965</v>
      </c>
      <c r="G219" s="347">
        <f t="shared" si="23"/>
        <v>0</v>
      </c>
      <c r="H219" s="347">
        <f t="shared" si="24"/>
        <v>380617.22096331924</v>
      </c>
      <c r="I219" s="347">
        <f t="shared" si="25"/>
        <v>0</v>
      </c>
      <c r="J219" s="347">
        <f t="shared" si="26"/>
        <v>0</v>
      </c>
      <c r="K219"/>
      <c r="L219"/>
      <c r="M219"/>
      <c r="N219"/>
      <c r="O219"/>
      <c r="P219"/>
      <c r="Q219"/>
      <c r="R219"/>
      <c r="S219"/>
      <c r="T219"/>
      <c r="U219"/>
      <c r="V219"/>
      <c r="W219"/>
      <c r="X219"/>
      <c r="Y219"/>
      <c r="Z219"/>
      <c r="AA219"/>
      <c r="AB219"/>
      <c r="AC219"/>
    </row>
    <row r="220" spans="1:29" ht="15.75">
      <c r="A220" s="28"/>
      <c r="B220" s="346">
        <f t="shared" si="18"/>
        <v>184</v>
      </c>
      <c r="C220" s="347">
        <f t="shared" si="19"/>
        <v>0</v>
      </c>
      <c r="D220" s="347">
        <f t="shared" si="20"/>
        <v>0</v>
      </c>
      <c r="E220" s="347">
        <f t="shared" si="21"/>
        <v>0</v>
      </c>
      <c r="F220" s="347">
        <f t="shared" si="22"/>
        <v>399999.99999999965</v>
      </c>
      <c r="G220" s="347">
        <f t="shared" si="23"/>
        <v>0</v>
      </c>
      <c r="H220" s="347">
        <f t="shared" si="24"/>
        <v>380617.22096331924</v>
      </c>
      <c r="I220" s="347">
        <f t="shared" si="25"/>
        <v>0</v>
      </c>
      <c r="J220" s="347">
        <f t="shared" si="26"/>
        <v>0</v>
      </c>
      <c r="K220"/>
      <c r="L220"/>
      <c r="M220"/>
      <c r="N220"/>
      <c r="O220"/>
      <c r="P220"/>
      <c r="Q220"/>
      <c r="R220"/>
      <c r="S220"/>
      <c r="T220"/>
      <c r="U220"/>
      <c r="V220"/>
      <c r="W220"/>
      <c r="X220"/>
      <c r="Y220"/>
      <c r="Z220"/>
      <c r="AA220"/>
      <c r="AB220"/>
      <c r="AC220"/>
    </row>
    <row r="221" spans="1:29" ht="15.75">
      <c r="A221" s="28"/>
      <c r="B221" s="346">
        <f t="shared" si="18"/>
        <v>185</v>
      </c>
      <c r="C221" s="347">
        <f t="shared" si="19"/>
        <v>0</v>
      </c>
      <c r="D221" s="347">
        <f t="shared" si="20"/>
        <v>0</v>
      </c>
      <c r="E221" s="347">
        <f t="shared" si="21"/>
        <v>0</v>
      </c>
      <c r="F221" s="347">
        <f t="shared" si="22"/>
        <v>399999.99999999965</v>
      </c>
      <c r="G221" s="347">
        <f t="shared" si="23"/>
        <v>0</v>
      </c>
      <c r="H221" s="347">
        <f t="shared" si="24"/>
        <v>380617.22096331924</v>
      </c>
      <c r="I221" s="347">
        <f t="shared" si="25"/>
        <v>0</v>
      </c>
      <c r="J221" s="347">
        <f t="shared" si="26"/>
        <v>0</v>
      </c>
      <c r="K221"/>
      <c r="L221"/>
      <c r="M221"/>
      <c r="N221"/>
      <c r="O221"/>
      <c r="P221"/>
      <c r="Q221"/>
      <c r="R221"/>
      <c r="S221"/>
      <c r="T221"/>
      <c r="U221"/>
      <c r="V221"/>
      <c r="W221"/>
      <c r="X221"/>
      <c r="Y221"/>
      <c r="Z221"/>
      <c r="AA221"/>
      <c r="AB221"/>
      <c r="AC221"/>
    </row>
    <row r="222" spans="1:29" ht="15.75">
      <c r="A222" s="28"/>
      <c r="B222" s="346">
        <f t="shared" si="18"/>
        <v>186</v>
      </c>
      <c r="C222" s="347">
        <f t="shared" si="19"/>
        <v>0</v>
      </c>
      <c r="D222" s="347">
        <f t="shared" si="20"/>
        <v>0</v>
      </c>
      <c r="E222" s="347">
        <f t="shared" si="21"/>
        <v>0</v>
      </c>
      <c r="F222" s="347">
        <f t="shared" si="22"/>
        <v>399999.99999999965</v>
      </c>
      <c r="G222" s="347">
        <f t="shared" si="23"/>
        <v>0</v>
      </c>
      <c r="H222" s="347">
        <f t="shared" si="24"/>
        <v>380617.22096331924</v>
      </c>
      <c r="I222" s="347">
        <f t="shared" si="25"/>
        <v>0</v>
      </c>
      <c r="J222" s="347">
        <f t="shared" si="26"/>
        <v>0</v>
      </c>
      <c r="K222"/>
      <c r="L222"/>
      <c r="M222"/>
      <c r="N222"/>
      <c r="O222"/>
      <c r="P222"/>
      <c r="Q222"/>
      <c r="R222"/>
      <c r="S222"/>
      <c r="T222"/>
      <c r="U222"/>
      <c r="V222"/>
      <c r="W222"/>
      <c r="X222"/>
      <c r="Y222"/>
      <c r="Z222"/>
      <c r="AA222"/>
      <c r="AB222"/>
      <c r="AC222"/>
    </row>
    <row r="223" spans="1:29" ht="15.75">
      <c r="A223" s="28"/>
      <c r="B223" s="346">
        <f t="shared" si="18"/>
        <v>187</v>
      </c>
      <c r="C223" s="347">
        <f t="shared" si="19"/>
        <v>0</v>
      </c>
      <c r="D223" s="347">
        <f t="shared" si="20"/>
        <v>0</v>
      </c>
      <c r="E223" s="347">
        <f t="shared" si="21"/>
        <v>0</v>
      </c>
      <c r="F223" s="347">
        <f t="shared" si="22"/>
        <v>399999.99999999965</v>
      </c>
      <c r="G223" s="347">
        <f t="shared" si="23"/>
        <v>0</v>
      </c>
      <c r="H223" s="347">
        <f t="shared" si="24"/>
        <v>380617.22096331924</v>
      </c>
      <c r="I223" s="347">
        <f t="shared" si="25"/>
        <v>0</v>
      </c>
      <c r="J223" s="347">
        <f t="shared" si="26"/>
        <v>0</v>
      </c>
      <c r="K223"/>
      <c r="L223"/>
      <c r="M223"/>
      <c r="N223"/>
      <c r="O223"/>
      <c r="P223"/>
      <c r="Q223"/>
      <c r="R223"/>
      <c r="S223"/>
      <c r="T223"/>
      <c r="U223"/>
      <c r="V223"/>
      <c r="W223"/>
      <c r="X223"/>
      <c r="Y223"/>
      <c r="Z223"/>
      <c r="AA223"/>
      <c r="AB223"/>
      <c r="AC223"/>
    </row>
    <row r="224" spans="1:29" ht="15.75">
      <c r="A224" s="28"/>
      <c r="B224" s="346">
        <f t="shared" si="18"/>
        <v>188</v>
      </c>
      <c r="C224" s="347">
        <f t="shared" si="19"/>
        <v>0</v>
      </c>
      <c r="D224" s="347">
        <f t="shared" si="20"/>
        <v>0</v>
      </c>
      <c r="E224" s="347">
        <f t="shared" si="21"/>
        <v>0</v>
      </c>
      <c r="F224" s="347">
        <f t="shared" si="22"/>
        <v>399999.99999999965</v>
      </c>
      <c r="G224" s="347">
        <f t="shared" si="23"/>
        <v>0</v>
      </c>
      <c r="H224" s="347">
        <f t="shared" si="24"/>
        <v>380617.22096331924</v>
      </c>
      <c r="I224" s="347">
        <f t="shared" si="25"/>
        <v>0</v>
      </c>
      <c r="J224" s="347">
        <f t="shared" si="26"/>
        <v>0</v>
      </c>
      <c r="K224"/>
      <c r="L224"/>
      <c r="M224"/>
      <c r="N224"/>
      <c r="O224"/>
      <c r="P224"/>
      <c r="Q224"/>
      <c r="R224"/>
      <c r="S224"/>
      <c r="T224"/>
      <c r="U224"/>
      <c r="V224"/>
      <c r="W224"/>
      <c r="X224"/>
      <c r="Y224"/>
      <c r="Z224"/>
      <c r="AA224"/>
      <c r="AB224"/>
      <c r="AC224"/>
    </row>
    <row r="225" spans="1:29" ht="15.75">
      <c r="A225" s="28"/>
      <c r="B225" s="346">
        <f t="shared" si="18"/>
        <v>189</v>
      </c>
      <c r="C225" s="347">
        <f t="shared" si="19"/>
        <v>0</v>
      </c>
      <c r="D225" s="347">
        <f t="shared" si="20"/>
        <v>0</v>
      </c>
      <c r="E225" s="347">
        <f t="shared" si="21"/>
        <v>0</v>
      </c>
      <c r="F225" s="347">
        <f t="shared" si="22"/>
        <v>399999.99999999965</v>
      </c>
      <c r="G225" s="347">
        <f t="shared" si="23"/>
        <v>0</v>
      </c>
      <c r="H225" s="347">
        <f t="shared" si="24"/>
        <v>380617.22096331924</v>
      </c>
      <c r="I225" s="347">
        <f t="shared" si="25"/>
        <v>0</v>
      </c>
      <c r="J225" s="347">
        <f t="shared" si="26"/>
        <v>0</v>
      </c>
      <c r="K225"/>
      <c r="L225"/>
      <c r="M225"/>
      <c r="N225"/>
      <c r="O225"/>
      <c r="P225"/>
      <c r="Q225"/>
      <c r="R225"/>
      <c r="S225"/>
      <c r="T225"/>
      <c r="U225"/>
      <c r="V225"/>
      <c r="W225"/>
      <c r="X225"/>
      <c r="Y225"/>
      <c r="Z225"/>
      <c r="AA225"/>
      <c r="AB225"/>
      <c r="AC225"/>
    </row>
    <row r="226" spans="1:29" ht="15.75">
      <c r="A226" s="28"/>
      <c r="B226" s="346">
        <f t="shared" si="18"/>
        <v>190</v>
      </c>
      <c r="C226" s="347">
        <f t="shared" si="19"/>
        <v>0</v>
      </c>
      <c r="D226" s="347">
        <f t="shared" si="20"/>
        <v>0</v>
      </c>
      <c r="E226" s="347">
        <f t="shared" si="21"/>
        <v>0</v>
      </c>
      <c r="F226" s="347">
        <f t="shared" si="22"/>
        <v>399999.99999999965</v>
      </c>
      <c r="G226" s="347">
        <f t="shared" si="23"/>
        <v>0</v>
      </c>
      <c r="H226" s="347">
        <f t="shared" si="24"/>
        <v>380617.22096331924</v>
      </c>
      <c r="I226" s="347">
        <f t="shared" si="25"/>
        <v>0</v>
      </c>
      <c r="J226" s="347">
        <f t="shared" si="26"/>
        <v>0</v>
      </c>
      <c r="K226"/>
      <c r="L226"/>
      <c r="M226"/>
      <c r="N226"/>
      <c r="O226"/>
      <c r="P226"/>
      <c r="Q226"/>
      <c r="R226"/>
      <c r="S226"/>
      <c r="T226"/>
      <c r="U226"/>
      <c r="V226"/>
      <c r="W226"/>
      <c r="X226"/>
      <c r="Y226"/>
      <c r="Z226"/>
      <c r="AA226"/>
      <c r="AB226"/>
      <c r="AC226"/>
    </row>
    <row r="227" spans="1:29" ht="15.75">
      <c r="A227" s="28"/>
      <c r="B227" s="346">
        <f t="shared" si="18"/>
        <v>191</v>
      </c>
      <c r="C227" s="347">
        <f t="shared" si="19"/>
        <v>0</v>
      </c>
      <c r="D227" s="347">
        <f t="shared" si="20"/>
        <v>0</v>
      </c>
      <c r="E227" s="347">
        <f t="shared" si="21"/>
        <v>0</v>
      </c>
      <c r="F227" s="347">
        <f t="shared" si="22"/>
        <v>399999.99999999965</v>
      </c>
      <c r="G227" s="347">
        <f t="shared" si="23"/>
        <v>0</v>
      </c>
      <c r="H227" s="347">
        <f t="shared" si="24"/>
        <v>380617.22096331924</v>
      </c>
      <c r="I227" s="347">
        <f t="shared" si="25"/>
        <v>0</v>
      </c>
      <c r="J227" s="347">
        <f t="shared" si="26"/>
        <v>0</v>
      </c>
      <c r="K227"/>
      <c r="L227"/>
      <c r="M227"/>
      <c r="N227"/>
      <c r="O227"/>
      <c r="P227"/>
      <c r="Q227"/>
      <c r="R227"/>
      <c r="S227"/>
      <c r="T227"/>
      <c r="U227"/>
      <c r="V227"/>
      <c r="W227"/>
      <c r="X227"/>
      <c r="Y227"/>
      <c r="Z227"/>
      <c r="AA227"/>
      <c r="AB227"/>
      <c r="AC227"/>
    </row>
    <row r="228" spans="1:29" ht="15.75">
      <c r="A228" s="28"/>
      <c r="B228" s="346">
        <f t="shared" si="18"/>
        <v>192</v>
      </c>
      <c r="C228" s="347">
        <f t="shared" si="19"/>
        <v>0</v>
      </c>
      <c r="D228" s="347">
        <f t="shared" si="20"/>
        <v>0</v>
      </c>
      <c r="E228" s="347">
        <f t="shared" si="21"/>
        <v>0</v>
      </c>
      <c r="F228" s="347">
        <f t="shared" si="22"/>
        <v>399999.99999999965</v>
      </c>
      <c r="G228" s="347">
        <f t="shared" si="23"/>
        <v>0</v>
      </c>
      <c r="H228" s="347">
        <f t="shared" si="24"/>
        <v>380617.22096331924</v>
      </c>
      <c r="I228" s="347">
        <f t="shared" si="25"/>
        <v>0</v>
      </c>
      <c r="J228" s="347">
        <f t="shared" si="26"/>
        <v>0</v>
      </c>
      <c r="K228"/>
      <c r="L228"/>
      <c r="M228"/>
      <c r="N228"/>
      <c r="O228"/>
      <c r="P228"/>
      <c r="Q228"/>
      <c r="R228"/>
      <c r="S228"/>
      <c r="T228"/>
      <c r="U228"/>
      <c r="V228"/>
      <c r="W228"/>
      <c r="X228"/>
      <c r="Y228"/>
      <c r="Z228"/>
      <c r="AA228"/>
      <c r="AB228"/>
      <c r="AC228"/>
    </row>
    <row r="229" spans="1:29" ht="15.75">
      <c r="A229" s="28"/>
      <c r="B229" s="346">
        <f t="shared" si="18"/>
        <v>193</v>
      </c>
      <c r="C229" s="347">
        <f t="shared" si="19"/>
        <v>0</v>
      </c>
      <c r="D229" s="347">
        <f t="shared" si="20"/>
        <v>0</v>
      </c>
      <c r="E229" s="347">
        <f t="shared" si="21"/>
        <v>0</v>
      </c>
      <c r="F229" s="347">
        <f t="shared" si="22"/>
        <v>399999.99999999965</v>
      </c>
      <c r="G229" s="347">
        <f t="shared" si="23"/>
        <v>0</v>
      </c>
      <c r="H229" s="347">
        <f t="shared" si="24"/>
        <v>380617.22096331924</v>
      </c>
      <c r="I229" s="347">
        <f t="shared" si="25"/>
        <v>0</v>
      </c>
      <c r="J229" s="347">
        <f t="shared" si="26"/>
        <v>0</v>
      </c>
      <c r="K229"/>
      <c r="L229"/>
      <c r="M229"/>
      <c r="N229"/>
      <c r="O229"/>
      <c r="P229"/>
      <c r="Q229"/>
      <c r="R229"/>
      <c r="S229"/>
      <c r="T229"/>
      <c r="U229"/>
      <c r="V229"/>
      <c r="W229"/>
      <c r="X229"/>
      <c r="Y229"/>
      <c r="Z229"/>
      <c r="AA229"/>
      <c r="AB229"/>
      <c r="AC229"/>
    </row>
    <row r="230" spans="1:29" ht="15.75">
      <c r="A230" s="28"/>
      <c r="B230" s="346">
        <f aca="true" t="shared" si="27" ref="B230:B293">1+B229</f>
        <v>194</v>
      </c>
      <c r="C230" s="347">
        <f aca="true" t="shared" si="28" ref="C230:C293">IF((E229&lt;$C$24-G230),E229,$C$24-G230)</f>
        <v>0</v>
      </c>
      <c r="D230" s="347">
        <f aca="true" t="shared" si="29" ref="D230:D293">IF(AND($C$20&lt;=B230,E229&gt;C230+$C$18),IF(MOD($B230,$C$19)=0,$C$18,0),0)</f>
        <v>0</v>
      </c>
      <c r="E230" s="347">
        <f aca="true" t="shared" si="30" ref="E230:E293">IF(E229-C230&lt;=1,0,E229-C230-D230)</f>
        <v>0</v>
      </c>
      <c r="F230" s="347">
        <f aca="true" t="shared" si="31" ref="F230:F293">F229+C230+D230</f>
        <v>399999.99999999965</v>
      </c>
      <c r="G230" s="347">
        <f aca="true" t="shared" si="32" ref="G230:G293">E229*($C$13/$C$15)</f>
        <v>0</v>
      </c>
      <c r="H230" s="347">
        <f aca="true" t="shared" si="33" ref="H230:H293">H229+G230</f>
        <v>380617.22096331924</v>
      </c>
      <c r="I230" s="347">
        <f aca="true" t="shared" si="34" ref="I230:I293">IF(I229-($C$24-J230)&lt;=1,0,I229-($C$24-J230))</f>
        <v>0</v>
      </c>
      <c r="J230" s="347">
        <f aca="true" t="shared" si="35" ref="J230:J293">I229*($C$13/$C$15)</f>
        <v>0</v>
      </c>
      <c r="K230"/>
      <c r="L230"/>
      <c r="M230"/>
      <c r="N230"/>
      <c r="O230"/>
      <c r="P230"/>
      <c r="Q230"/>
      <c r="R230"/>
      <c r="S230"/>
      <c r="T230"/>
      <c r="U230"/>
      <c r="V230"/>
      <c r="W230"/>
      <c r="X230"/>
      <c r="Y230"/>
      <c r="Z230"/>
      <c r="AA230"/>
      <c r="AB230"/>
      <c r="AC230"/>
    </row>
    <row r="231" spans="1:29" ht="15.75">
      <c r="A231" s="28"/>
      <c r="B231" s="346">
        <f t="shared" si="27"/>
        <v>195</v>
      </c>
      <c r="C231" s="347">
        <f t="shared" si="28"/>
        <v>0</v>
      </c>
      <c r="D231" s="347">
        <f t="shared" si="29"/>
        <v>0</v>
      </c>
      <c r="E231" s="347">
        <f t="shared" si="30"/>
        <v>0</v>
      </c>
      <c r="F231" s="347">
        <f t="shared" si="31"/>
        <v>399999.99999999965</v>
      </c>
      <c r="G231" s="347">
        <f t="shared" si="32"/>
        <v>0</v>
      </c>
      <c r="H231" s="347">
        <f t="shared" si="33"/>
        <v>380617.22096331924</v>
      </c>
      <c r="I231" s="347">
        <f t="shared" si="34"/>
        <v>0</v>
      </c>
      <c r="J231" s="347">
        <f t="shared" si="35"/>
        <v>0</v>
      </c>
      <c r="K231"/>
      <c r="L231"/>
      <c r="M231"/>
      <c r="N231"/>
      <c r="O231"/>
      <c r="P231"/>
      <c r="Q231"/>
      <c r="R231"/>
      <c r="S231"/>
      <c r="T231"/>
      <c r="U231"/>
      <c r="V231"/>
      <c r="W231"/>
      <c r="X231"/>
      <c r="Y231"/>
      <c r="Z231"/>
      <c r="AA231"/>
      <c r="AB231"/>
      <c r="AC231"/>
    </row>
    <row r="232" spans="1:29" ht="15.75">
      <c r="A232" s="28"/>
      <c r="B232" s="346">
        <f t="shared" si="27"/>
        <v>196</v>
      </c>
      <c r="C232" s="347">
        <f t="shared" si="28"/>
        <v>0</v>
      </c>
      <c r="D232" s="347">
        <f t="shared" si="29"/>
        <v>0</v>
      </c>
      <c r="E232" s="347">
        <f t="shared" si="30"/>
        <v>0</v>
      </c>
      <c r="F232" s="347">
        <f t="shared" si="31"/>
        <v>399999.99999999965</v>
      </c>
      <c r="G232" s="347">
        <f t="shared" si="32"/>
        <v>0</v>
      </c>
      <c r="H232" s="347">
        <f t="shared" si="33"/>
        <v>380617.22096331924</v>
      </c>
      <c r="I232" s="347">
        <f t="shared" si="34"/>
        <v>0</v>
      </c>
      <c r="J232" s="347">
        <f t="shared" si="35"/>
        <v>0</v>
      </c>
      <c r="K232"/>
      <c r="L232"/>
      <c r="M232"/>
      <c r="N232"/>
      <c r="O232"/>
      <c r="P232"/>
      <c r="Q232"/>
      <c r="R232"/>
      <c r="S232"/>
      <c r="T232"/>
      <c r="U232"/>
      <c r="V232"/>
      <c r="W232"/>
      <c r="X232"/>
      <c r="Y232"/>
      <c r="Z232"/>
      <c r="AA232"/>
      <c r="AB232"/>
      <c r="AC232"/>
    </row>
    <row r="233" spans="1:29" ht="15.75">
      <c r="A233" s="28"/>
      <c r="B233" s="346">
        <f t="shared" si="27"/>
        <v>197</v>
      </c>
      <c r="C233" s="347">
        <f t="shared" si="28"/>
        <v>0</v>
      </c>
      <c r="D233" s="347">
        <f t="shared" si="29"/>
        <v>0</v>
      </c>
      <c r="E233" s="347">
        <f t="shared" si="30"/>
        <v>0</v>
      </c>
      <c r="F233" s="347">
        <f t="shared" si="31"/>
        <v>399999.99999999965</v>
      </c>
      <c r="G233" s="347">
        <f t="shared" si="32"/>
        <v>0</v>
      </c>
      <c r="H233" s="347">
        <f t="shared" si="33"/>
        <v>380617.22096331924</v>
      </c>
      <c r="I233" s="347">
        <f t="shared" si="34"/>
        <v>0</v>
      </c>
      <c r="J233" s="347">
        <f t="shared" si="35"/>
        <v>0</v>
      </c>
      <c r="K233"/>
      <c r="L233"/>
      <c r="M233"/>
      <c r="N233"/>
      <c r="O233"/>
      <c r="P233"/>
      <c r="Q233"/>
      <c r="R233"/>
      <c r="S233"/>
      <c r="T233"/>
      <c r="U233"/>
      <c r="V233"/>
      <c r="W233"/>
      <c r="X233"/>
      <c r="Y233"/>
      <c r="Z233"/>
      <c r="AA233"/>
      <c r="AB233"/>
      <c r="AC233"/>
    </row>
    <row r="234" spans="1:29" ht="15.75">
      <c r="A234" s="28"/>
      <c r="B234" s="346">
        <f t="shared" si="27"/>
        <v>198</v>
      </c>
      <c r="C234" s="347">
        <f t="shared" si="28"/>
        <v>0</v>
      </c>
      <c r="D234" s="347">
        <f t="shared" si="29"/>
        <v>0</v>
      </c>
      <c r="E234" s="347">
        <f t="shared" si="30"/>
        <v>0</v>
      </c>
      <c r="F234" s="347">
        <f t="shared" si="31"/>
        <v>399999.99999999965</v>
      </c>
      <c r="G234" s="347">
        <f t="shared" si="32"/>
        <v>0</v>
      </c>
      <c r="H234" s="347">
        <f t="shared" si="33"/>
        <v>380617.22096331924</v>
      </c>
      <c r="I234" s="347">
        <f t="shared" si="34"/>
        <v>0</v>
      </c>
      <c r="J234" s="347">
        <f t="shared" si="35"/>
        <v>0</v>
      </c>
      <c r="K234"/>
      <c r="L234"/>
      <c r="M234"/>
      <c r="N234"/>
      <c r="O234"/>
      <c r="P234"/>
      <c r="Q234"/>
      <c r="R234"/>
      <c r="S234"/>
      <c r="T234"/>
      <c r="U234"/>
      <c r="V234"/>
      <c r="W234"/>
      <c r="X234"/>
      <c r="Y234"/>
      <c r="Z234"/>
      <c r="AA234"/>
      <c r="AB234"/>
      <c r="AC234"/>
    </row>
    <row r="235" spans="1:29" ht="15.75">
      <c r="A235" s="28"/>
      <c r="B235" s="346">
        <f t="shared" si="27"/>
        <v>199</v>
      </c>
      <c r="C235" s="347">
        <f t="shared" si="28"/>
        <v>0</v>
      </c>
      <c r="D235" s="347">
        <f t="shared" si="29"/>
        <v>0</v>
      </c>
      <c r="E235" s="347">
        <f t="shared" si="30"/>
        <v>0</v>
      </c>
      <c r="F235" s="347">
        <f t="shared" si="31"/>
        <v>399999.99999999965</v>
      </c>
      <c r="G235" s="347">
        <f t="shared" si="32"/>
        <v>0</v>
      </c>
      <c r="H235" s="347">
        <f t="shared" si="33"/>
        <v>380617.22096331924</v>
      </c>
      <c r="I235" s="347">
        <f t="shared" si="34"/>
        <v>0</v>
      </c>
      <c r="J235" s="347">
        <f t="shared" si="35"/>
        <v>0</v>
      </c>
      <c r="K235"/>
      <c r="L235"/>
      <c r="M235"/>
      <c r="N235"/>
      <c r="O235"/>
      <c r="P235"/>
      <c r="Q235"/>
      <c r="R235"/>
      <c r="S235"/>
      <c r="T235"/>
      <c r="U235"/>
      <c r="V235"/>
      <c r="W235"/>
      <c r="X235"/>
      <c r="Y235"/>
      <c r="Z235"/>
      <c r="AA235"/>
      <c r="AB235"/>
      <c r="AC235"/>
    </row>
    <row r="236" spans="1:29" ht="15.75">
      <c r="A236" s="28"/>
      <c r="B236" s="346">
        <f t="shared" si="27"/>
        <v>200</v>
      </c>
      <c r="C236" s="347">
        <f t="shared" si="28"/>
        <v>0</v>
      </c>
      <c r="D236" s="347">
        <f t="shared" si="29"/>
        <v>0</v>
      </c>
      <c r="E236" s="347">
        <f t="shared" si="30"/>
        <v>0</v>
      </c>
      <c r="F236" s="347">
        <f t="shared" si="31"/>
        <v>399999.99999999965</v>
      </c>
      <c r="G236" s="347">
        <f t="shared" si="32"/>
        <v>0</v>
      </c>
      <c r="H236" s="347">
        <f t="shared" si="33"/>
        <v>380617.22096331924</v>
      </c>
      <c r="I236" s="347">
        <f t="shared" si="34"/>
        <v>0</v>
      </c>
      <c r="J236" s="347">
        <f t="shared" si="35"/>
        <v>0</v>
      </c>
      <c r="K236"/>
      <c r="L236"/>
      <c r="M236"/>
      <c r="N236"/>
      <c r="O236"/>
      <c r="P236"/>
      <c r="Q236"/>
      <c r="R236"/>
      <c r="S236"/>
      <c r="T236"/>
      <c r="U236"/>
      <c r="V236"/>
      <c r="W236"/>
      <c r="X236"/>
      <c r="Y236"/>
      <c r="Z236"/>
      <c r="AA236"/>
      <c r="AB236"/>
      <c r="AC236"/>
    </row>
    <row r="237" spans="1:29" ht="15.75">
      <c r="A237" s="28"/>
      <c r="B237" s="346">
        <f t="shared" si="27"/>
        <v>201</v>
      </c>
      <c r="C237" s="347">
        <f t="shared" si="28"/>
        <v>0</v>
      </c>
      <c r="D237" s="347">
        <f t="shared" si="29"/>
        <v>0</v>
      </c>
      <c r="E237" s="347">
        <f t="shared" si="30"/>
        <v>0</v>
      </c>
      <c r="F237" s="347">
        <f t="shared" si="31"/>
        <v>399999.99999999965</v>
      </c>
      <c r="G237" s="347">
        <f t="shared" si="32"/>
        <v>0</v>
      </c>
      <c r="H237" s="347">
        <f t="shared" si="33"/>
        <v>380617.22096331924</v>
      </c>
      <c r="I237" s="347">
        <f t="shared" si="34"/>
        <v>0</v>
      </c>
      <c r="J237" s="347">
        <f t="shared" si="35"/>
        <v>0</v>
      </c>
      <c r="K237"/>
      <c r="L237"/>
      <c r="M237"/>
      <c r="N237"/>
      <c r="O237"/>
      <c r="P237"/>
      <c r="Q237"/>
      <c r="R237"/>
      <c r="S237"/>
      <c r="T237"/>
      <c r="U237"/>
      <c r="V237"/>
      <c r="W237"/>
      <c r="X237"/>
      <c r="Y237"/>
      <c r="Z237"/>
      <c r="AA237"/>
      <c r="AB237"/>
      <c r="AC237"/>
    </row>
    <row r="238" spans="1:29" ht="15.75">
      <c r="A238" s="28"/>
      <c r="B238" s="346">
        <f t="shared" si="27"/>
        <v>202</v>
      </c>
      <c r="C238" s="347">
        <f t="shared" si="28"/>
        <v>0</v>
      </c>
      <c r="D238" s="347">
        <f t="shared" si="29"/>
        <v>0</v>
      </c>
      <c r="E238" s="347">
        <f t="shared" si="30"/>
        <v>0</v>
      </c>
      <c r="F238" s="347">
        <f t="shared" si="31"/>
        <v>399999.99999999965</v>
      </c>
      <c r="G238" s="347">
        <f t="shared" si="32"/>
        <v>0</v>
      </c>
      <c r="H238" s="347">
        <f t="shared" si="33"/>
        <v>380617.22096331924</v>
      </c>
      <c r="I238" s="347">
        <f t="shared" si="34"/>
        <v>0</v>
      </c>
      <c r="J238" s="347">
        <f t="shared" si="35"/>
        <v>0</v>
      </c>
      <c r="K238"/>
      <c r="L238"/>
      <c r="M238"/>
      <c r="N238"/>
      <c r="O238"/>
      <c r="P238"/>
      <c r="Q238"/>
      <c r="R238"/>
      <c r="S238"/>
      <c r="T238"/>
      <c r="U238"/>
      <c r="V238"/>
      <c r="W238"/>
      <c r="X238"/>
      <c r="Y238"/>
      <c r="Z238"/>
      <c r="AA238"/>
      <c r="AB238"/>
      <c r="AC238"/>
    </row>
    <row r="239" spans="1:29" ht="15.75">
      <c r="A239" s="28"/>
      <c r="B239" s="346">
        <f t="shared" si="27"/>
        <v>203</v>
      </c>
      <c r="C239" s="347">
        <f t="shared" si="28"/>
        <v>0</v>
      </c>
      <c r="D239" s="347">
        <f t="shared" si="29"/>
        <v>0</v>
      </c>
      <c r="E239" s="347">
        <f t="shared" si="30"/>
        <v>0</v>
      </c>
      <c r="F239" s="347">
        <f t="shared" si="31"/>
        <v>399999.99999999965</v>
      </c>
      <c r="G239" s="347">
        <f t="shared" si="32"/>
        <v>0</v>
      </c>
      <c r="H239" s="347">
        <f t="shared" si="33"/>
        <v>380617.22096331924</v>
      </c>
      <c r="I239" s="347">
        <f t="shared" si="34"/>
        <v>0</v>
      </c>
      <c r="J239" s="347">
        <f t="shared" si="35"/>
        <v>0</v>
      </c>
      <c r="K239"/>
      <c r="L239"/>
      <c r="M239"/>
      <c r="N239"/>
      <c r="O239"/>
      <c r="P239"/>
      <c r="Q239"/>
      <c r="R239"/>
      <c r="S239"/>
      <c r="T239"/>
      <c r="U239"/>
      <c r="V239"/>
      <c r="W239"/>
      <c r="X239"/>
      <c r="Y239"/>
      <c r="Z239"/>
      <c r="AA239"/>
      <c r="AB239"/>
      <c r="AC239"/>
    </row>
    <row r="240" spans="1:29" ht="15.75">
      <c r="A240" s="28"/>
      <c r="B240" s="346">
        <f t="shared" si="27"/>
        <v>204</v>
      </c>
      <c r="C240" s="347">
        <f t="shared" si="28"/>
        <v>0</v>
      </c>
      <c r="D240" s="347">
        <f t="shared" si="29"/>
        <v>0</v>
      </c>
      <c r="E240" s="347">
        <f t="shared" si="30"/>
        <v>0</v>
      </c>
      <c r="F240" s="347">
        <f t="shared" si="31"/>
        <v>399999.99999999965</v>
      </c>
      <c r="G240" s="347">
        <f t="shared" si="32"/>
        <v>0</v>
      </c>
      <c r="H240" s="347">
        <f t="shared" si="33"/>
        <v>380617.22096331924</v>
      </c>
      <c r="I240" s="347">
        <f t="shared" si="34"/>
        <v>0</v>
      </c>
      <c r="J240" s="347">
        <f t="shared" si="35"/>
        <v>0</v>
      </c>
      <c r="K240"/>
      <c r="L240"/>
      <c r="M240"/>
      <c r="N240"/>
      <c r="O240"/>
      <c r="P240"/>
      <c r="Q240"/>
      <c r="R240"/>
      <c r="S240"/>
      <c r="T240"/>
      <c r="U240"/>
      <c r="V240"/>
      <c r="W240"/>
      <c r="X240"/>
      <c r="Y240"/>
      <c r="Z240"/>
      <c r="AA240"/>
      <c r="AB240"/>
      <c r="AC240"/>
    </row>
    <row r="241" spans="1:29" ht="15.75">
      <c r="A241" s="28"/>
      <c r="B241" s="346">
        <f t="shared" si="27"/>
        <v>205</v>
      </c>
      <c r="C241" s="347">
        <f t="shared" si="28"/>
        <v>0</v>
      </c>
      <c r="D241" s="347">
        <f t="shared" si="29"/>
        <v>0</v>
      </c>
      <c r="E241" s="347">
        <f t="shared" si="30"/>
        <v>0</v>
      </c>
      <c r="F241" s="347">
        <f t="shared" si="31"/>
        <v>399999.99999999965</v>
      </c>
      <c r="G241" s="347">
        <f t="shared" si="32"/>
        <v>0</v>
      </c>
      <c r="H241" s="347">
        <f t="shared" si="33"/>
        <v>380617.22096331924</v>
      </c>
      <c r="I241" s="347">
        <f t="shared" si="34"/>
        <v>0</v>
      </c>
      <c r="J241" s="347">
        <f t="shared" si="35"/>
        <v>0</v>
      </c>
      <c r="K241"/>
      <c r="L241"/>
      <c r="M241"/>
      <c r="N241"/>
      <c r="O241"/>
      <c r="P241"/>
      <c r="Q241"/>
      <c r="R241"/>
      <c r="S241"/>
      <c r="T241"/>
      <c r="U241"/>
      <c r="V241"/>
      <c r="W241"/>
      <c r="X241"/>
      <c r="Y241"/>
      <c r="Z241"/>
      <c r="AA241"/>
      <c r="AB241"/>
      <c r="AC241"/>
    </row>
    <row r="242" spans="1:29" ht="15.75">
      <c r="A242" s="28"/>
      <c r="B242" s="346">
        <f t="shared" si="27"/>
        <v>206</v>
      </c>
      <c r="C242" s="347">
        <f t="shared" si="28"/>
        <v>0</v>
      </c>
      <c r="D242" s="347">
        <f t="shared" si="29"/>
        <v>0</v>
      </c>
      <c r="E242" s="347">
        <f t="shared" si="30"/>
        <v>0</v>
      </c>
      <c r="F242" s="347">
        <f t="shared" si="31"/>
        <v>399999.99999999965</v>
      </c>
      <c r="G242" s="347">
        <f t="shared" si="32"/>
        <v>0</v>
      </c>
      <c r="H242" s="347">
        <f t="shared" si="33"/>
        <v>380617.22096331924</v>
      </c>
      <c r="I242" s="347">
        <f t="shared" si="34"/>
        <v>0</v>
      </c>
      <c r="J242" s="347">
        <f t="shared" si="35"/>
        <v>0</v>
      </c>
      <c r="K242"/>
      <c r="L242"/>
      <c r="M242"/>
      <c r="N242"/>
      <c r="O242"/>
      <c r="P242"/>
      <c r="Q242"/>
      <c r="R242"/>
      <c r="S242"/>
      <c r="T242"/>
      <c r="U242"/>
      <c r="V242"/>
      <c r="W242"/>
      <c r="X242"/>
      <c r="Y242"/>
      <c r="Z242"/>
      <c r="AA242"/>
      <c r="AB242"/>
      <c r="AC242"/>
    </row>
    <row r="243" spans="1:29" ht="15.75">
      <c r="A243" s="28"/>
      <c r="B243" s="346">
        <f t="shared" si="27"/>
        <v>207</v>
      </c>
      <c r="C243" s="347">
        <f t="shared" si="28"/>
        <v>0</v>
      </c>
      <c r="D243" s="347">
        <f t="shared" si="29"/>
        <v>0</v>
      </c>
      <c r="E243" s="347">
        <f t="shared" si="30"/>
        <v>0</v>
      </c>
      <c r="F243" s="347">
        <f t="shared" si="31"/>
        <v>399999.99999999965</v>
      </c>
      <c r="G243" s="347">
        <f t="shared" si="32"/>
        <v>0</v>
      </c>
      <c r="H243" s="347">
        <f t="shared" si="33"/>
        <v>380617.22096331924</v>
      </c>
      <c r="I243" s="347">
        <f t="shared" si="34"/>
        <v>0</v>
      </c>
      <c r="J243" s="347">
        <f t="shared" si="35"/>
        <v>0</v>
      </c>
      <c r="K243"/>
      <c r="L243"/>
      <c r="M243"/>
      <c r="N243"/>
      <c r="O243"/>
      <c r="P243"/>
      <c r="Q243"/>
      <c r="R243"/>
      <c r="S243"/>
      <c r="T243"/>
      <c r="U243"/>
      <c r="V243"/>
      <c r="W243"/>
      <c r="X243"/>
      <c r="Y243"/>
      <c r="Z243"/>
      <c r="AA243"/>
      <c r="AB243"/>
      <c r="AC243"/>
    </row>
    <row r="244" spans="1:29" ht="15.75">
      <c r="A244" s="28"/>
      <c r="B244" s="346">
        <f t="shared" si="27"/>
        <v>208</v>
      </c>
      <c r="C244" s="347">
        <f t="shared" si="28"/>
        <v>0</v>
      </c>
      <c r="D244" s="347">
        <f t="shared" si="29"/>
        <v>0</v>
      </c>
      <c r="E244" s="347">
        <f t="shared" si="30"/>
        <v>0</v>
      </c>
      <c r="F244" s="347">
        <f t="shared" si="31"/>
        <v>399999.99999999965</v>
      </c>
      <c r="G244" s="347">
        <f t="shared" si="32"/>
        <v>0</v>
      </c>
      <c r="H244" s="347">
        <f t="shared" si="33"/>
        <v>380617.22096331924</v>
      </c>
      <c r="I244" s="347">
        <f t="shared" si="34"/>
        <v>0</v>
      </c>
      <c r="J244" s="347">
        <f t="shared" si="35"/>
        <v>0</v>
      </c>
      <c r="K244"/>
      <c r="L244"/>
      <c r="M244"/>
      <c r="N244"/>
      <c r="O244"/>
      <c r="P244"/>
      <c r="Q244"/>
      <c r="R244"/>
      <c r="S244"/>
      <c r="T244"/>
      <c r="U244"/>
      <c r="V244"/>
      <c r="W244"/>
      <c r="X244"/>
      <c r="Y244"/>
      <c r="Z244"/>
      <c r="AA244"/>
      <c r="AB244"/>
      <c r="AC244"/>
    </row>
    <row r="245" spans="1:29" ht="15.75">
      <c r="A245" s="28"/>
      <c r="B245" s="346">
        <f t="shared" si="27"/>
        <v>209</v>
      </c>
      <c r="C245" s="347">
        <f t="shared" si="28"/>
        <v>0</v>
      </c>
      <c r="D245" s="347">
        <f t="shared" si="29"/>
        <v>0</v>
      </c>
      <c r="E245" s="347">
        <f t="shared" si="30"/>
        <v>0</v>
      </c>
      <c r="F245" s="347">
        <f t="shared" si="31"/>
        <v>399999.99999999965</v>
      </c>
      <c r="G245" s="347">
        <f t="shared" si="32"/>
        <v>0</v>
      </c>
      <c r="H245" s="347">
        <f t="shared" si="33"/>
        <v>380617.22096331924</v>
      </c>
      <c r="I245" s="347">
        <f t="shared" si="34"/>
        <v>0</v>
      </c>
      <c r="J245" s="347">
        <f t="shared" si="35"/>
        <v>0</v>
      </c>
      <c r="K245"/>
      <c r="L245"/>
      <c r="M245"/>
      <c r="N245"/>
      <c r="O245"/>
      <c r="P245"/>
      <c r="Q245"/>
      <c r="R245"/>
      <c r="S245"/>
      <c r="T245"/>
      <c r="U245"/>
      <c r="V245"/>
      <c r="W245"/>
      <c r="X245"/>
      <c r="Y245"/>
      <c r="Z245"/>
      <c r="AA245"/>
      <c r="AB245"/>
      <c r="AC245"/>
    </row>
    <row r="246" spans="1:29" ht="15.75">
      <c r="A246" s="28"/>
      <c r="B246" s="346">
        <f t="shared" si="27"/>
        <v>210</v>
      </c>
      <c r="C246" s="347">
        <f t="shared" si="28"/>
        <v>0</v>
      </c>
      <c r="D246" s="347">
        <f t="shared" si="29"/>
        <v>0</v>
      </c>
      <c r="E246" s="347">
        <f t="shared" si="30"/>
        <v>0</v>
      </c>
      <c r="F246" s="347">
        <f t="shared" si="31"/>
        <v>399999.99999999965</v>
      </c>
      <c r="G246" s="347">
        <f t="shared" si="32"/>
        <v>0</v>
      </c>
      <c r="H246" s="347">
        <f t="shared" si="33"/>
        <v>380617.22096331924</v>
      </c>
      <c r="I246" s="347">
        <f t="shared" si="34"/>
        <v>0</v>
      </c>
      <c r="J246" s="347">
        <f t="shared" si="35"/>
        <v>0</v>
      </c>
      <c r="K246"/>
      <c r="L246"/>
      <c r="M246"/>
      <c r="N246"/>
      <c r="O246"/>
      <c r="P246"/>
      <c r="Q246"/>
      <c r="R246"/>
      <c r="S246"/>
      <c r="T246"/>
      <c r="U246"/>
      <c r="V246"/>
      <c r="W246"/>
      <c r="X246"/>
      <c r="Y246"/>
      <c r="Z246"/>
      <c r="AA246"/>
      <c r="AB246"/>
      <c r="AC246"/>
    </row>
    <row r="247" spans="1:29" ht="15.75">
      <c r="A247" s="28"/>
      <c r="B247" s="346">
        <f t="shared" si="27"/>
        <v>211</v>
      </c>
      <c r="C247" s="347">
        <f t="shared" si="28"/>
        <v>0</v>
      </c>
      <c r="D247" s="347">
        <f t="shared" si="29"/>
        <v>0</v>
      </c>
      <c r="E247" s="347">
        <f t="shared" si="30"/>
        <v>0</v>
      </c>
      <c r="F247" s="347">
        <f t="shared" si="31"/>
        <v>399999.99999999965</v>
      </c>
      <c r="G247" s="347">
        <f t="shared" si="32"/>
        <v>0</v>
      </c>
      <c r="H247" s="347">
        <f t="shared" si="33"/>
        <v>380617.22096331924</v>
      </c>
      <c r="I247" s="347">
        <f t="shared" si="34"/>
        <v>0</v>
      </c>
      <c r="J247" s="347">
        <f t="shared" si="35"/>
        <v>0</v>
      </c>
      <c r="K247"/>
      <c r="L247"/>
      <c r="M247"/>
      <c r="N247"/>
      <c r="O247"/>
      <c r="P247"/>
      <c r="Q247"/>
      <c r="R247"/>
      <c r="S247"/>
      <c r="T247"/>
      <c r="U247"/>
      <c r="V247"/>
      <c r="W247"/>
      <c r="X247"/>
      <c r="Y247"/>
      <c r="Z247"/>
      <c r="AA247"/>
      <c r="AB247"/>
      <c r="AC247"/>
    </row>
    <row r="248" spans="1:29" ht="15.75">
      <c r="A248" s="28"/>
      <c r="B248" s="346">
        <f t="shared" si="27"/>
        <v>212</v>
      </c>
      <c r="C248" s="347">
        <f t="shared" si="28"/>
        <v>0</v>
      </c>
      <c r="D248" s="347">
        <f t="shared" si="29"/>
        <v>0</v>
      </c>
      <c r="E248" s="347">
        <f t="shared" si="30"/>
        <v>0</v>
      </c>
      <c r="F248" s="347">
        <f t="shared" si="31"/>
        <v>399999.99999999965</v>
      </c>
      <c r="G248" s="347">
        <f t="shared" si="32"/>
        <v>0</v>
      </c>
      <c r="H248" s="347">
        <f t="shared" si="33"/>
        <v>380617.22096331924</v>
      </c>
      <c r="I248" s="347">
        <f t="shared" si="34"/>
        <v>0</v>
      </c>
      <c r="J248" s="347">
        <f t="shared" si="35"/>
        <v>0</v>
      </c>
      <c r="K248"/>
      <c r="L248"/>
      <c r="M248"/>
      <c r="N248"/>
      <c r="O248"/>
      <c r="P248"/>
      <c r="Q248"/>
      <c r="R248"/>
      <c r="S248"/>
      <c r="T248"/>
      <c r="U248"/>
      <c r="V248"/>
      <c r="W248"/>
      <c r="X248"/>
      <c r="Y248"/>
      <c r="Z248"/>
      <c r="AA248"/>
      <c r="AB248"/>
      <c r="AC248"/>
    </row>
    <row r="249" spans="1:29" ht="15.75">
      <c r="A249" s="28"/>
      <c r="B249" s="346">
        <f t="shared" si="27"/>
        <v>213</v>
      </c>
      <c r="C249" s="347">
        <f t="shared" si="28"/>
        <v>0</v>
      </c>
      <c r="D249" s="347">
        <f t="shared" si="29"/>
        <v>0</v>
      </c>
      <c r="E249" s="347">
        <f t="shared" si="30"/>
        <v>0</v>
      </c>
      <c r="F249" s="347">
        <f t="shared" si="31"/>
        <v>399999.99999999965</v>
      </c>
      <c r="G249" s="347">
        <f t="shared" si="32"/>
        <v>0</v>
      </c>
      <c r="H249" s="347">
        <f t="shared" si="33"/>
        <v>380617.22096331924</v>
      </c>
      <c r="I249" s="347">
        <f t="shared" si="34"/>
        <v>0</v>
      </c>
      <c r="J249" s="347">
        <f t="shared" si="35"/>
        <v>0</v>
      </c>
      <c r="K249"/>
      <c r="L249"/>
      <c r="M249"/>
      <c r="N249"/>
      <c r="O249"/>
      <c r="P249"/>
      <c r="Q249"/>
      <c r="R249"/>
      <c r="S249"/>
      <c r="T249"/>
      <c r="U249"/>
      <c r="V249"/>
      <c r="W249"/>
      <c r="X249"/>
      <c r="Y249"/>
      <c r="Z249"/>
      <c r="AA249"/>
      <c r="AB249"/>
      <c r="AC249"/>
    </row>
    <row r="250" spans="1:29" ht="15.75">
      <c r="A250" s="28"/>
      <c r="B250" s="346">
        <f t="shared" si="27"/>
        <v>214</v>
      </c>
      <c r="C250" s="347">
        <f t="shared" si="28"/>
        <v>0</v>
      </c>
      <c r="D250" s="347">
        <f t="shared" si="29"/>
        <v>0</v>
      </c>
      <c r="E250" s="347">
        <f t="shared" si="30"/>
        <v>0</v>
      </c>
      <c r="F250" s="347">
        <f t="shared" si="31"/>
        <v>399999.99999999965</v>
      </c>
      <c r="G250" s="347">
        <f t="shared" si="32"/>
        <v>0</v>
      </c>
      <c r="H250" s="347">
        <f t="shared" si="33"/>
        <v>380617.22096331924</v>
      </c>
      <c r="I250" s="347">
        <f t="shared" si="34"/>
        <v>0</v>
      </c>
      <c r="J250" s="347">
        <f t="shared" si="35"/>
        <v>0</v>
      </c>
      <c r="K250"/>
      <c r="L250"/>
      <c r="M250"/>
      <c r="N250"/>
      <c r="O250"/>
      <c r="P250"/>
      <c r="Q250"/>
      <c r="R250"/>
      <c r="S250"/>
      <c r="T250"/>
      <c r="U250"/>
      <c r="V250"/>
      <c r="W250"/>
      <c r="X250"/>
      <c r="Y250"/>
      <c r="Z250"/>
      <c r="AA250"/>
      <c r="AB250"/>
      <c r="AC250"/>
    </row>
    <row r="251" spans="1:29" ht="15.75">
      <c r="A251" s="28"/>
      <c r="B251" s="346">
        <f t="shared" si="27"/>
        <v>215</v>
      </c>
      <c r="C251" s="347">
        <f t="shared" si="28"/>
        <v>0</v>
      </c>
      <c r="D251" s="347">
        <f t="shared" si="29"/>
        <v>0</v>
      </c>
      <c r="E251" s="347">
        <f t="shared" si="30"/>
        <v>0</v>
      </c>
      <c r="F251" s="347">
        <f t="shared" si="31"/>
        <v>399999.99999999965</v>
      </c>
      <c r="G251" s="347">
        <f t="shared" si="32"/>
        <v>0</v>
      </c>
      <c r="H251" s="347">
        <f t="shared" si="33"/>
        <v>380617.22096331924</v>
      </c>
      <c r="I251" s="347">
        <f t="shared" si="34"/>
        <v>0</v>
      </c>
      <c r="J251" s="347">
        <f t="shared" si="35"/>
        <v>0</v>
      </c>
      <c r="K251"/>
      <c r="L251"/>
      <c r="M251"/>
      <c r="N251"/>
      <c r="O251"/>
      <c r="P251"/>
      <c r="Q251"/>
      <c r="R251"/>
      <c r="S251"/>
      <c r="T251"/>
      <c r="U251"/>
      <c r="V251"/>
      <c r="W251"/>
      <c r="X251"/>
      <c r="Y251"/>
      <c r="Z251"/>
      <c r="AA251"/>
      <c r="AB251"/>
      <c r="AC251"/>
    </row>
    <row r="252" spans="1:29" ht="15.75">
      <c r="A252" s="28"/>
      <c r="B252" s="346">
        <f t="shared" si="27"/>
        <v>216</v>
      </c>
      <c r="C252" s="347">
        <f t="shared" si="28"/>
        <v>0</v>
      </c>
      <c r="D252" s="347">
        <f t="shared" si="29"/>
        <v>0</v>
      </c>
      <c r="E252" s="347">
        <f t="shared" si="30"/>
        <v>0</v>
      </c>
      <c r="F252" s="347">
        <f t="shared" si="31"/>
        <v>399999.99999999965</v>
      </c>
      <c r="G252" s="347">
        <f t="shared" si="32"/>
        <v>0</v>
      </c>
      <c r="H252" s="347">
        <f t="shared" si="33"/>
        <v>380617.22096331924</v>
      </c>
      <c r="I252" s="347">
        <f t="shared" si="34"/>
        <v>0</v>
      </c>
      <c r="J252" s="347">
        <f t="shared" si="35"/>
        <v>0</v>
      </c>
      <c r="K252"/>
      <c r="L252"/>
      <c r="M252"/>
      <c r="N252"/>
      <c r="O252"/>
      <c r="P252"/>
      <c r="Q252"/>
      <c r="R252"/>
      <c r="S252"/>
      <c r="T252"/>
      <c r="U252"/>
      <c r="V252"/>
      <c r="W252"/>
      <c r="X252"/>
      <c r="Y252"/>
      <c r="Z252"/>
      <c r="AA252"/>
      <c r="AB252"/>
      <c r="AC252"/>
    </row>
    <row r="253" spans="1:29" ht="15.75">
      <c r="A253" s="28"/>
      <c r="B253" s="346">
        <f t="shared" si="27"/>
        <v>217</v>
      </c>
      <c r="C253" s="347">
        <f t="shared" si="28"/>
        <v>0</v>
      </c>
      <c r="D253" s="347">
        <f t="shared" si="29"/>
        <v>0</v>
      </c>
      <c r="E253" s="347">
        <f t="shared" si="30"/>
        <v>0</v>
      </c>
      <c r="F253" s="347">
        <f t="shared" si="31"/>
        <v>399999.99999999965</v>
      </c>
      <c r="G253" s="347">
        <f t="shared" si="32"/>
        <v>0</v>
      </c>
      <c r="H253" s="347">
        <f t="shared" si="33"/>
        <v>380617.22096331924</v>
      </c>
      <c r="I253" s="347">
        <f t="shared" si="34"/>
        <v>0</v>
      </c>
      <c r="J253" s="347">
        <f t="shared" si="35"/>
        <v>0</v>
      </c>
      <c r="K253"/>
      <c r="L253"/>
      <c r="M253"/>
      <c r="N253"/>
      <c r="O253"/>
      <c r="P253"/>
      <c r="Q253"/>
      <c r="R253"/>
      <c r="S253"/>
      <c r="T253"/>
      <c r="U253"/>
      <c r="V253"/>
      <c r="W253"/>
      <c r="X253"/>
      <c r="Y253"/>
      <c r="Z253"/>
      <c r="AA253"/>
      <c r="AB253"/>
      <c r="AC253"/>
    </row>
    <row r="254" spans="1:29" ht="15.75">
      <c r="A254" s="28"/>
      <c r="B254" s="346">
        <f t="shared" si="27"/>
        <v>218</v>
      </c>
      <c r="C254" s="347">
        <f t="shared" si="28"/>
        <v>0</v>
      </c>
      <c r="D254" s="347">
        <f t="shared" si="29"/>
        <v>0</v>
      </c>
      <c r="E254" s="347">
        <f t="shared" si="30"/>
        <v>0</v>
      </c>
      <c r="F254" s="347">
        <f t="shared" si="31"/>
        <v>399999.99999999965</v>
      </c>
      <c r="G254" s="347">
        <f t="shared" si="32"/>
        <v>0</v>
      </c>
      <c r="H254" s="347">
        <f t="shared" si="33"/>
        <v>380617.22096331924</v>
      </c>
      <c r="I254" s="347">
        <f t="shared" si="34"/>
        <v>0</v>
      </c>
      <c r="J254" s="347">
        <f t="shared" si="35"/>
        <v>0</v>
      </c>
      <c r="K254"/>
      <c r="L254"/>
      <c r="M254"/>
      <c r="N254"/>
      <c r="O254"/>
      <c r="P254"/>
      <c r="Q254"/>
      <c r="R254"/>
      <c r="S254"/>
      <c r="T254"/>
      <c r="U254"/>
      <c r="V254"/>
      <c r="W254"/>
      <c r="X254"/>
      <c r="Y254"/>
      <c r="Z254"/>
      <c r="AA254"/>
      <c r="AB254"/>
      <c r="AC254"/>
    </row>
    <row r="255" spans="1:29" ht="15.75">
      <c r="A255" s="28"/>
      <c r="B255" s="346">
        <f t="shared" si="27"/>
        <v>219</v>
      </c>
      <c r="C255" s="347">
        <f t="shared" si="28"/>
        <v>0</v>
      </c>
      <c r="D255" s="347">
        <f t="shared" si="29"/>
        <v>0</v>
      </c>
      <c r="E255" s="347">
        <f t="shared" si="30"/>
        <v>0</v>
      </c>
      <c r="F255" s="347">
        <f t="shared" si="31"/>
        <v>399999.99999999965</v>
      </c>
      <c r="G255" s="347">
        <f t="shared" si="32"/>
        <v>0</v>
      </c>
      <c r="H255" s="347">
        <f t="shared" si="33"/>
        <v>380617.22096331924</v>
      </c>
      <c r="I255" s="347">
        <f t="shared" si="34"/>
        <v>0</v>
      </c>
      <c r="J255" s="347">
        <f t="shared" si="35"/>
        <v>0</v>
      </c>
      <c r="K255"/>
      <c r="L255"/>
      <c r="M255"/>
      <c r="N255"/>
      <c r="O255"/>
      <c r="P255"/>
      <c r="Q255"/>
      <c r="R255"/>
      <c r="S255"/>
      <c r="T255"/>
      <c r="U255"/>
      <c r="V255"/>
      <c r="W255"/>
      <c r="X255"/>
      <c r="Y255"/>
      <c r="Z255"/>
      <c r="AA255"/>
      <c r="AB255"/>
      <c r="AC255"/>
    </row>
    <row r="256" spans="1:29" ht="15.75">
      <c r="A256" s="28"/>
      <c r="B256" s="346">
        <f t="shared" si="27"/>
        <v>220</v>
      </c>
      <c r="C256" s="347">
        <f t="shared" si="28"/>
        <v>0</v>
      </c>
      <c r="D256" s="347">
        <f t="shared" si="29"/>
        <v>0</v>
      </c>
      <c r="E256" s="347">
        <f t="shared" si="30"/>
        <v>0</v>
      </c>
      <c r="F256" s="347">
        <f t="shared" si="31"/>
        <v>399999.99999999965</v>
      </c>
      <c r="G256" s="347">
        <f t="shared" si="32"/>
        <v>0</v>
      </c>
      <c r="H256" s="347">
        <f t="shared" si="33"/>
        <v>380617.22096331924</v>
      </c>
      <c r="I256" s="347">
        <f t="shared" si="34"/>
        <v>0</v>
      </c>
      <c r="J256" s="347">
        <f t="shared" si="35"/>
        <v>0</v>
      </c>
      <c r="K256"/>
      <c r="L256"/>
      <c r="M256"/>
      <c r="N256"/>
      <c r="O256"/>
      <c r="P256"/>
      <c r="Q256"/>
      <c r="R256"/>
      <c r="S256"/>
      <c r="T256"/>
      <c r="U256"/>
      <c r="V256"/>
      <c r="W256"/>
      <c r="X256"/>
      <c r="Y256"/>
      <c r="Z256"/>
      <c r="AA256"/>
      <c r="AB256"/>
      <c r="AC256"/>
    </row>
    <row r="257" spans="1:29" ht="15.75">
      <c r="A257" s="28"/>
      <c r="B257" s="346">
        <f t="shared" si="27"/>
        <v>221</v>
      </c>
      <c r="C257" s="347">
        <f t="shared" si="28"/>
        <v>0</v>
      </c>
      <c r="D257" s="347">
        <f t="shared" si="29"/>
        <v>0</v>
      </c>
      <c r="E257" s="347">
        <f t="shared" si="30"/>
        <v>0</v>
      </c>
      <c r="F257" s="347">
        <f t="shared" si="31"/>
        <v>399999.99999999965</v>
      </c>
      <c r="G257" s="347">
        <f t="shared" si="32"/>
        <v>0</v>
      </c>
      <c r="H257" s="347">
        <f t="shared" si="33"/>
        <v>380617.22096331924</v>
      </c>
      <c r="I257" s="347">
        <f t="shared" si="34"/>
        <v>0</v>
      </c>
      <c r="J257" s="347">
        <f t="shared" si="35"/>
        <v>0</v>
      </c>
      <c r="K257"/>
      <c r="L257"/>
      <c r="M257"/>
      <c r="N257"/>
      <c r="O257"/>
      <c r="P257"/>
      <c r="Q257"/>
      <c r="R257"/>
      <c r="S257"/>
      <c r="T257"/>
      <c r="U257"/>
      <c r="V257"/>
      <c r="W257"/>
      <c r="X257"/>
      <c r="Y257"/>
      <c r="Z257"/>
      <c r="AA257"/>
      <c r="AB257"/>
      <c r="AC257"/>
    </row>
    <row r="258" spans="1:29" ht="15.75">
      <c r="A258" s="28"/>
      <c r="B258" s="346">
        <f t="shared" si="27"/>
        <v>222</v>
      </c>
      <c r="C258" s="347">
        <f t="shared" si="28"/>
        <v>0</v>
      </c>
      <c r="D258" s="347">
        <f t="shared" si="29"/>
        <v>0</v>
      </c>
      <c r="E258" s="347">
        <f t="shared" si="30"/>
        <v>0</v>
      </c>
      <c r="F258" s="347">
        <f t="shared" si="31"/>
        <v>399999.99999999965</v>
      </c>
      <c r="G258" s="347">
        <f t="shared" si="32"/>
        <v>0</v>
      </c>
      <c r="H258" s="347">
        <f t="shared" si="33"/>
        <v>380617.22096331924</v>
      </c>
      <c r="I258" s="347">
        <f t="shared" si="34"/>
        <v>0</v>
      </c>
      <c r="J258" s="347">
        <f t="shared" si="35"/>
        <v>0</v>
      </c>
      <c r="K258"/>
      <c r="L258"/>
      <c r="M258"/>
      <c r="N258"/>
      <c r="O258"/>
      <c r="P258"/>
      <c r="Q258"/>
      <c r="R258"/>
      <c r="S258"/>
      <c r="T258"/>
      <c r="U258"/>
      <c r="V258"/>
      <c r="W258"/>
      <c r="X258"/>
      <c r="Y258"/>
      <c r="Z258"/>
      <c r="AA258"/>
      <c r="AB258"/>
      <c r="AC258"/>
    </row>
    <row r="259" spans="1:29" ht="15.75">
      <c r="A259" s="28"/>
      <c r="B259" s="346">
        <f t="shared" si="27"/>
        <v>223</v>
      </c>
      <c r="C259" s="347">
        <f t="shared" si="28"/>
        <v>0</v>
      </c>
      <c r="D259" s="347">
        <f t="shared" si="29"/>
        <v>0</v>
      </c>
      <c r="E259" s="347">
        <f t="shared" si="30"/>
        <v>0</v>
      </c>
      <c r="F259" s="347">
        <f t="shared" si="31"/>
        <v>399999.99999999965</v>
      </c>
      <c r="G259" s="347">
        <f t="shared" si="32"/>
        <v>0</v>
      </c>
      <c r="H259" s="347">
        <f t="shared" si="33"/>
        <v>380617.22096331924</v>
      </c>
      <c r="I259" s="347">
        <f t="shared" si="34"/>
        <v>0</v>
      </c>
      <c r="J259" s="347">
        <f t="shared" si="35"/>
        <v>0</v>
      </c>
      <c r="K259"/>
      <c r="L259"/>
      <c r="M259"/>
      <c r="N259"/>
      <c r="O259"/>
      <c r="P259"/>
      <c r="Q259"/>
      <c r="R259"/>
      <c r="S259"/>
      <c r="T259"/>
      <c r="U259"/>
      <c r="V259"/>
      <c r="W259"/>
      <c r="X259"/>
      <c r="Y259"/>
      <c r="Z259"/>
      <c r="AA259"/>
      <c r="AB259"/>
      <c r="AC259"/>
    </row>
    <row r="260" spans="1:29" ht="15.75">
      <c r="A260" s="28"/>
      <c r="B260" s="346">
        <f t="shared" si="27"/>
        <v>224</v>
      </c>
      <c r="C260" s="347">
        <f t="shared" si="28"/>
        <v>0</v>
      </c>
      <c r="D260" s="347">
        <f t="shared" si="29"/>
        <v>0</v>
      </c>
      <c r="E260" s="347">
        <f t="shared" si="30"/>
        <v>0</v>
      </c>
      <c r="F260" s="347">
        <f t="shared" si="31"/>
        <v>399999.99999999965</v>
      </c>
      <c r="G260" s="347">
        <f t="shared" si="32"/>
        <v>0</v>
      </c>
      <c r="H260" s="347">
        <f t="shared" si="33"/>
        <v>380617.22096331924</v>
      </c>
      <c r="I260" s="347">
        <f t="shared" si="34"/>
        <v>0</v>
      </c>
      <c r="J260" s="347">
        <f t="shared" si="35"/>
        <v>0</v>
      </c>
      <c r="K260"/>
      <c r="L260"/>
      <c r="M260"/>
      <c r="N260"/>
      <c r="O260"/>
      <c r="P260"/>
      <c r="Q260"/>
      <c r="R260"/>
      <c r="S260"/>
      <c r="T260"/>
      <c r="U260"/>
      <c r="V260"/>
      <c r="W260"/>
      <c r="X260"/>
      <c r="Y260"/>
      <c r="Z260"/>
      <c r="AA260"/>
      <c r="AB260"/>
      <c r="AC260"/>
    </row>
    <row r="261" spans="1:29" ht="15.75">
      <c r="A261" s="28"/>
      <c r="B261" s="346">
        <f t="shared" si="27"/>
        <v>225</v>
      </c>
      <c r="C261" s="347">
        <f t="shared" si="28"/>
        <v>0</v>
      </c>
      <c r="D261" s="347">
        <f t="shared" si="29"/>
        <v>0</v>
      </c>
      <c r="E261" s="347">
        <f t="shared" si="30"/>
        <v>0</v>
      </c>
      <c r="F261" s="347">
        <f t="shared" si="31"/>
        <v>399999.99999999965</v>
      </c>
      <c r="G261" s="347">
        <f t="shared" si="32"/>
        <v>0</v>
      </c>
      <c r="H261" s="347">
        <f t="shared" si="33"/>
        <v>380617.22096331924</v>
      </c>
      <c r="I261" s="347">
        <f t="shared" si="34"/>
        <v>0</v>
      </c>
      <c r="J261" s="347">
        <f t="shared" si="35"/>
        <v>0</v>
      </c>
      <c r="K261"/>
      <c r="L261"/>
      <c r="M261"/>
      <c r="N261"/>
      <c r="O261"/>
      <c r="P261"/>
      <c r="Q261"/>
      <c r="R261"/>
      <c r="S261"/>
      <c r="T261"/>
      <c r="U261"/>
      <c r="V261"/>
      <c r="W261"/>
      <c r="X261"/>
      <c r="Y261"/>
      <c r="Z261"/>
      <c r="AA261"/>
      <c r="AB261"/>
      <c r="AC261"/>
    </row>
    <row r="262" spans="1:29" ht="15.75">
      <c r="A262" s="28"/>
      <c r="B262" s="346">
        <f t="shared" si="27"/>
        <v>226</v>
      </c>
      <c r="C262" s="347">
        <f t="shared" si="28"/>
        <v>0</v>
      </c>
      <c r="D262" s="347">
        <f t="shared" si="29"/>
        <v>0</v>
      </c>
      <c r="E262" s="347">
        <f t="shared" si="30"/>
        <v>0</v>
      </c>
      <c r="F262" s="347">
        <f t="shared" si="31"/>
        <v>399999.99999999965</v>
      </c>
      <c r="G262" s="347">
        <f t="shared" si="32"/>
        <v>0</v>
      </c>
      <c r="H262" s="347">
        <f t="shared" si="33"/>
        <v>380617.22096331924</v>
      </c>
      <c r="I262" s="347">
        <f t="shared" si="34"/>
        <v>0</v>
      </c>
      <c r="J262" s="347">
        <f t="shared" si="35"/>
        <v>0</v>
      </c>
      <c r="K262"/>
      <c r="L262"/>
      <c r="M262"/>
      <c r="N262"/>
      <c r="O262"/>
      <c r="P262"/>
      <c r="Q262"/>
      <c r="R262"/>
      <c r="S262"/>
      <c r="T262"/>
      <c r="U262"/>
      <c r="V262"/>
      <c r="W262"/>
      <c r="X262"/>
      <c r="Y262"/>
      <c r="Z262"/>
      <c r="AA262"/>
      <c r="AB262"/>
      <c r="AC262"/>
    </row>
    <row r="263" spans="1:29" ht="15.75">
      <c r="A263" s="28"/>
      <c r="B263" s="346">
        <f t="shared" si="27"/>
        <v>227</v>
      </c>
      <c r="C263" s="347">
        <f t="shared" si="28"/>
        <v>0</v>
      </c>
      <c r="D263" s="347">
        <f t="shared" si="29"/>
        <v>0</v>
      </c>
      <c r="E263" s="347">
        <f t="shared" si="30"/>
        <v>0</v>
      </c>
      <c r="F263" s="347">
        <f t="shared" si="31"/>
        <v>399999.99999999965</v>
      </c>
      <c r="G263" s="347">
        <f t="shared" si="32"/>
        <v>0</v>
      </c>
      <c r="H263" s="347">
        <f t="shared" si="33"/>
        <v>380617.22096331924</v>
      </c>
      <c r="I263" s="347">
        <f t="shared" si="34"/>
        <v>0</v>
      </c>
      <c r="J263" s="347">
        <f t="shared" si="35"/>
        <v>0</v>
      </c>
      <c r="K263"/>
      <c r="L263"/>
      <c r="M263"/>
      <c r="N263"/>
      <c r="O263"/>
      <c r="P263"/>
      <c r="Q263"/>
      <c r="R263"/>
      <c r="S263"/>
      <c r="T263"/>
      <c r="U263"/>
      <c r="V263"/>
      <c r="W263"/>
      <c r="X263"/>
      <c r="Y263"/>
      <c r="Z263"/>
      <c r="AA263"/>
      <c r="AB263"/>
      <c r="AC263"/>
    </row>
    <row r="264" spans="1:29" ht="15.75">
      <c r="A264" s="28"/>
      <c r="B264" s="346">
        <f t="shared" si="27"/>
        <v>228</v>
      </c>
      <c r="C264" s="347">
        <f t="shared" si="28"/>
        <v>0</v>
      </c>
      <c r="D264" s="347">
        <f t="shared" si="29"/>
        <v>0</v>
      </c>
      <c r="E264" s="347">
        <f t="shared" si="30"/>
        <v>0</v>
      </c>
      <c r="F264" s="347">
        <f t="shared" si="31"/>
        <v>399999.99999999965</v>
      </c>
      <c r="G264" s="347">
        <f t="shared" si="32"/>
        <v>0</v>
      </c>
      <c r="H264" s="347">
        <f t="shared" si="33"/>
        <v>380617.22096331924</v>
      </c>
      <c r="I264" s="347">
        <f t="shared" si="34"/>
        <v>0</v>
      </c>
      <c r="J264" s="347">
        <f t="shared" si="35"/>
        <v>0</v>
      </c>
      <c r="K264"/>
      <c r="L264"/>
      <c r="M264"/>
      <c r="N264"/>
      <c r="O264"/>
      <c r="P264"/>
      <c r="Q264"/>
      <c r="R264"/>
      <c r="S264"/>
      <c r="T264"/>
      <c r="U264"/>
      <c r="V264"/>
      <c r="W264"/>
      <c r="X264"/>
      <c r="Y264"/>
      <c r="Z264"/>
      <c r="AA264"/>
      <c r="AB264"/>
      <c r="AC264"/>
    </row>
    <row r="265" spans="1:29" ht="15.75">
      <c r="A265" s="28"/>
      <c r="B265" s="346">
        <f t="shared" si="27"/>
        <v>229</v>
      </c>
      <c r="C265" s="347">
        <f t="shared" si="28"/>
        <v>0</v>
      </c>
      <c r="D265" s="347">
        <f t="shared" si="29"/>
        <v>0</v>
      </c>
      <c r="E265" s="347">
        <f t="shared" si="30"/>
        <v>0</v>
      </c>
      <c r="F265" s="347">
        <f t="shared" si="31"/>
        <v>399999.99999999965</v>
      </c>
      <c r="G265" s="347">
        <f t="shared" si="32"/>
        <v>0</v>
      </c>
      <c r="H265" s="347">
        <f t="shared" si="33"/>
        <v>380617.22096331924</v>
      </c>
      <c r="I265" s="347">
        <f t="shared" si="34"/>
        <v>0</v>
      </c>
      <c r="J265" s="347">
        <f t="shared" si="35"/>
        <v>0</v>
      </c>
      <c r="K265"/>
      <c r="L265"/>
      <c r="M265"/>
      <c r="N265"/>
      <c r="O265"/>
      <c r="P265"/>
      <c r="Q265"/>
      <c r="R265"/>
      <c r="S265"/>
      <c r="T265"/>
      <c r="U265"/>
      <c r="V265"/>
      <c r="W265"/>
      <c r="X265"/>
      <c r="Y265"/>
      <c r="Z265"/>
      <c r="AA265"/>
      <c r="AB265"/>
      <c r="AC265"/>
    </row>
    <row r="266" spans="1:29" ht="15.75">
      <c r="A266" s="28"/>
      <c r="B266" s="346">
        <f t="shared" si="27"/>
        <v>230</v>
      </c>
      <c r="C266" s="347">
        <f t="shared" si="28"/>
        <v>0</v>
      </c>
      <c r="D266" s="347">
        <f t="shared" si="29"/>
        <v>0</v>
      </c>
      <c r="E266" s="347">
        <f t="shared" si="30"/>
        <v>0</v>
      </c>
      <c r="F266" s="347">
        <f t="shared" si="31"/>
        <v>399999.99999999965</v>
      </c>
      <c r="G266" s="347">
        <f t="shared" si="32"/>
        <v>0</v>
      </c>
      <c r="H266" s="347">
        <f t="shared" si="33"/>
        <v>380617.22096331924</v>
      </c>
      <c r="I266" s="347">
        <f t="shared" si="34"/>
        <v>0</v>
      </c>
      <c r="J266" s="347">
        <f t="shared" si="35"/>
        <v>0</v>
      </c>
      <c r="K266"/>
      <c r="L266"/>
      <c r="M266"/>
      <c r="N266"/>
      <c r="O266"/>
      <c r="P266"/>
      <c r="Q266"/>
      <c r="R266"/>
      <c r="S266"/>
      <c r="T266"/>
      <c r="U266"/>
      <c r="V266"/>
      <c r="W266"/>
      <c r="X266"/>
      <c r="Y266"/>
      <c r="Z266"/>
      <c r="AA266"/>
      <c r="AB266"/>
      <c r="AC266"/>
    </row>
    <row r="267" spans="1:29" ht="15.75">
      <c r="A267" s="28"/>
      <c r="B267" s="346">
        <f t="shared" si="27"/>
        <v>231</v>
      </c>
      <c r="C267" s="347">
        <f t="shared" si="28"/>
        <v>0</v>
      </c>
      <c r="D267" s="347">
        <f t="shared" si="29"/>
        <v>0</v>
      </c>
      <c r="E267" s="347">
        <f t="shared" si="30"/>
        <v>0</v>
      </c>
      <c r="F267" s="347">
        <f t="shared" si="31"/>
        <v>399999.99999999965</v>
      </c>
      <c r="G267" s="347">
        <f t="shared" si="32"/>
        <v>0</v>
      </c>
      <c r="H267" s="347">
        <f t="shared" si="33"/>
        <v>380617.22096331924</v>
      </c>
      <c r="I267" s="347">
        <f t="shared" si="34"/>
        <v>0</v>
      </c>
      <c r="J267" s="347">
        <f t="shared" si="35"/>
        <v>0</v>
      </c>
      <c r="K267"/>
      <c r="L267"/>
      <c r="M267"/>
      <c r="N267"/>
      <c r="O267"/>
      <c r="P267"/>
      <c r="Q267"/>
      <c r="R267"/>
      <c r="S267"/>
      <c r="T267"/>
      <c r="U267"/>
      <c r="V267"/>
      <c r="W267"/>
      <c r="X267"/>
      <c r="Y267"/>
      <c r="Z267"/>
      <c r="AA267"/>
      <c r="AB267"/>
      <c r="AC267"/>
    </row>
    <row r="268" spans="1:29" ht="15.75">
      <c r="A268" s="28"/>
      <c r="B268" s="346">
        <f t="shared" si="27"/>
        <v>232</v>
      </c>
      <c r="C268" s="347">
        <f t="shared" si="28"/>
        <v>0</v>
      </c>
      <c r="D268" s="347">
        <f t="shared" si="29"/>
        <v>0</v>
      </c>
      <c r="E268" s="347">
        <f t="shared" si="30"/>
        <v>0</v>
      </c>
      <c r="F268" s="347">
        <f t="shared" si="31"/>
        <v>399999.99999999965</v>
      </c>
      <c r="G268" s="347">
        <f t="shared" si="32"/>
        <v>0</v>
      </c>
      <c r="H268" s="347">
        <f t="shared" si="33"/>
        <v>380617.22096331924</v>
      </c>
      <c r="I268" s="347">
        <f t="shared" si="34"/>
        <v>0</v>
      </c>
      <c r="J268" s="347">
        <f t="shared" si="35"/>
        <v>0</v>
      </c>
      <c r="K268"/>
      <c r="L268"/>
      <c r="M268"/>
      <c r="N268"/>
      <c r="O268"/>
      <c r="P268"/>
      <c r="Q268"/>
      <c r="R268"/>
      <c r="S268"/>
      <c r="T268"/>
      <c r="U268"/>
      <c r="V268"/>
      <c r="W268"/>
      <c r="X268"/>
      <c r="Y268"/>
      <c r="Z268"/>
      <c r="AA268"/>
      <c r="AB268"/>
      <c r="AC268"/>
    </row>
    <row r="269" spans="1:29" ht="15.75">
      <c r="A269" s="28"/>
      <c r="B269" s="346">
        <f t="shared" si="27"/>
        <v>233</v>
      </c>
      <c r="C269" s="347">
        <f t="shared" si="28"/>
        <v>0</v>
      </c>
      <c r="D269" s="347">
        <f t="shared" si="29"/>
        <v>0</v>
      </c>
      <c r="E269" s="347">
        <f t="shared" si="30"/>
        <v>0</v>
      </c>
      <c r="F269" s="347">
        <f t="shared" si="31"/>
        <v>399999.99999999965</v>
      </c>
      <c r="G269" s="347">
        <f t="shared" si="32"/>
        <v>0</v>
      </c>
      <c r="H269" s="347">
        <f t="shared" si="33"/>
        <v>380617.22096331924</v>
      </c>
      <c r="I269" s="347">
        <f t="shared" si="34"/>
        <v>0</v>
      </c>
      <c r="J269" s="347">
        <f t="shared" si="35"/>
        <v>0</v>
      </c>
      <c r="K269"/>
      <c r="L269"/>
      <c r="M269"/>
      <c r="N269"/>
      <c r="O269"/>
      <c r="P269"/>
      <c r="Q269"/>
      <c r="R269"/>
      <c r="S269"/>
      <c r="T269"/>
      <c r="U269"/>
      <c r="V269"/>
      <c r="W269"/>
      <c r="X269"/>
      <c r="Y269"/>
      <c r="Z269"/>
      <c r="AA269"/>
      <c r="AB269"/>
      <c r="AC269"/>
    </row>
    <row r="270" spans="1:29" ht="15.75">
      <c r="A270" s="28"/>
      <c r="B270" s="346">
        <f t="shared" si="27"/>
        <v>234</v>
      </c>
      <c r="C270" s="347">
        <f t="shared" si="28"/>
        <v>0</v>
      </c>
      <c r="D270" s="347">
        <f t="shared" si="29"/>
        <v>0</v>
      </c>
      <c r="E270" s="347">
        <f t="shared" si="30"/>
        <v>0</v>
      </c>
      <c r="F270" s="347">
        <f t="shared" si="31"/>
        <v>399999.99999999965</v>
      </c>
      <c r="G270" s="347">
        <f t="shared" si="32"/>
        <v>0</v>
      </c>
      <c r="H270" s="347">
        <f t="shared" si="33"/>
        <v>380617.22096331924</v>
      </c>
      <c r="I270" s="347">
        <f t="shared" si="34"/>
        <v>0</v>
      </c>
      <c r="J270" s="347">
        <f t="shared" si="35"/>
        <v>0</v>
      </c>
      <c r="K270"/>
      <c r="L270"/>
      <c r="M270"/>
      <c r="N270"/>
      <c r="O270"/>
      <c r="P270"/>
      <c r="Q270"/>
      <c r="R270"/>
      <c r="S270"/>
      <c r="T270"/>
      <c r="U270"/>
      <c r="V270"/>
      <c r="W270"/>
      <c r="X270"/>
      <c r="Y270"/>
      <c r="Z270"/>
      <c r="AA270"/>
      <c r="AB270"/>
      <c r="AC270"/>
    </row>
    <row r="271" spans="1:29" ht="15.75">
      <c r="A271" s="28"/>
      <c r="B271" s="346">
        <f t="shared" si="27"/>
        <v>235</v>
      </c>
      <c r="C271" s="347">
        <f t="shared" si="28"/>
        <v>0</v>
      </c>
      <c r="D271" s="347">
        <f t="shared" si="29"/>
        <v>0</v>
      </c>
      <c r="E271" s="347">
        <f t="shared" si="30"/>
        <v>0</v>
      </c>
      <c r="F271" s="347">
        <f t="shared" si="31"/>
        <v>399999.99999999965</v>
      </c>
      <c r="G271" s="347">
        <f t="shared" si="32"/>
        <v>0</v>
      </c>
      <c r="H271" s="347">
        <f t="shared" si="33"/>
        <v>380617.22096331924</v>
      </c>
      <c r="I271" s="347">
        <f t="shared" si="34"/>
        <v>0</v>
      </c>
      <c r="J271" s="347">
        <f t="shared" si="35"/>
        <v>0</v>
      </c>
      <c r="K271"/>
      <c r="L271"/>
      <c r="M271"/>
      <c r="N271"/>
      <c r="O271"/>
      <c r="P271"/>
      <c r="Q271"/>
      <c r="R271"/>
      <c r="S271"/>
      <c r="T271"/>
      <c r="U271"/>
      <c r="V271"/>
      <c r="W271"/>
      <c r="X271"/>
      <c r="Y271"/>
      <c r="Z271"/>
      <c r="AA271"/>
      <c r="AB271"/>
      <c r="AC271"/>
    </row>
    <row r="272" spans="1:29" ht="15.75">
      <c r="A272" s="28"/>
      <c r="B272" s="346">
        <f t="shared" si="27"/>
        <v>236</v>
      </c>
      <c r="C272" s="347">
        <f t="shared" si="28"/>
        <v>0</v>
      </c>
      <c r="D272" s="347">
        <f t="shared" si="29"/>
        <v>0</v>
      </c>
      <c r="E272" s="347">
        <f t="shared" si="30"/>
        <v>0</v>
      </c>
      <c r="F272" s="347">
        <f t="shared" si="31"/>
        <v>399999.99999999965</v>
      </c>
      <c r="G272" s="347">
        <f t="shared" si="32"/>
        <v>0</v>
      </c>
      <c r="H272" s="347">
        <f t="shared" si="33"/>
        <v>380617.22096331924</v>
      </c>
      <c r="I272" s="347">
        <f t="shared" si="34"/>
        <v>0</v>
      </c>
      <c r="J272" s="347">
        <f t="shared" si="35"/>
        <v>0</v>
      </c>
      <c r="K272"/>
      <c r="L272"/>
      <c r="M272"/>
      <c r="N272"/>
      <c r="O272"/>
      <c r="P272"/>
      <c r="Q272"/>
      <c r="R272"/>
      <c r="S272"/>
      <c r="T272"/>
      <c r="U272"/>
      <c r="V272"/>
      <c r="W272"/>
      <c r="X272"/>
      <c r="Y272"/>
      <c r="Z272"/>
      <c r="AA272"/>
      <c r="AB272"/>
      <c r="AC272"/>
    </row>
    <row r="273" spans="1:29" ht="15.75">
      <c r="A273" s="28"/>
      <c r="B273" s="346">
        <f t="shared" si="27"/>
        <v>237</v>
      </c>
      <c r="C273" s="347">
        <f t="shared" si="28"/>
        <v>0</v>
      </c>
      <c r="D273" s="347">
        <f t="shared" si="29"/>
        <v>0</v>
      </c>
      <c r="E273" s="347">
        <f t="shared" si="30"/>
        <v>0</v>
      </c>
      <c r="F273" s="347">
        <f t="shared" si="31"/>
        <v>399999.99999999965</v>
      </c>
      <c r="G273" s="347">
        <f t="shared" si="32"/>
        <v>0</v>
      </c>
      <c r="H273" s="347">
        <f t="shared" si="33"/>
        <v>380617.22096331924</v>
      </c>
      <c r="I273" s="347">
        <f t="shared" si="34"/>
        <v>0</v>
      </c>
      <c r="J273" s="347">
        <f t="shared" si="35"/>
        <v>0</v>
      </c>
      <c r="K273"/>
      <c r="L273"/>
      <c r="M273"/>
      <c r="N273"/>
      <c r="O273"/>
      <c r="P273"/>
      <c r="Q273"/>
      <c r="R273"/>
      <c r="S273"/>
      <c r="T273"/>
      <c r="U273"/>
      <c r="V273"/>
      <c r="W273"/>
      <c r="X273"/>
      <c r="Y273"/>
      <c r="Z273"/>
      <c r="AA273"/>
      <c r="AB273"/>
      <c r="AC273"/>
    </row>
    <row r="274" spans="1:29" ht="15.75">
      <c r="A274" s="28"/>
      <c r="B274" s="346">
        <f t="shared" si="27"/>
        <v>238</v>
      </c>
      <c r="C274" s="347">
        <f t="shared" si="28"/>
        <v>0</v>
      </c>
      <c r="D274" s="347">
        <f t="shared" si="29"/>
        <v>0</v>
      </c>
      <c r="E274" s="347">
        <f t="shared" si="30"/>
        <v>0</v>
      </c>
      <c r="F274" s="347">
        <f t="shared" si="31"/>
        <v>399999.99999999965</v>
      </c>
      <c r="G274" s="347">
        <f t="shared" si="32"/>
        <v>0</v>
      </c>
      <c r="H274" s="347">
        <f t="shared" si="33"/>
        <v>380617.22096331924</v>
      </c>
      <c r="I274" s="347">
        <f t="shared" si="34"/>
        <v>0</v>
      </c>
      <c r="J274" s="347">
        <f t="shared" si="35"/>
        <v>0</v>
      </c>
      <c r="K274"/>
      <c r="L274"/>
      <c r="M274"/>
      <c r="N274"/>
      <c r="O274"/>
      <c r="P274"/>
      <c r="Q274"/>
      <c r="R274"/>
      <c r="S274"/>
      <c r="T274"/>
      <c r="U274"/>
      <c r="V274"/>
      <c r="W274"/>
      <c r="X274"/>
      <c r="Y274"/>
      <c r="Z274"/>
      <c r="AA274"/>
      <c r="AB274"/>
      <c r="AC274"/>
    </row>
    <row r="275" spans="1:29" ht="15.75">
      <c r="A275" s="28"/>
      <c r="B275" s="346">
        <f t="shared" si="27"/>
        <v>239</v>
      </c>
      <c r="C275" s="347">
        <f t="shared" si="28"/>
        <v>0</v>
      </c>
      <c r="D275" s="347">
        <f t="shared" si="29"/>
        <v>0</v>
      </c>
      <c r="E275" s="347">
        <f t="shared" si="30"/>
        <v>0</v>
      </c>
      <c r="F275" s="347">
        <f t="shared" si="31"/>
        <v>399999.99999999965</v>
      </c>
      <c r="G275" s="347">
        <f t="shared" si="32"/>
        <v>0</v>
      </c>
      <c r="H275" s="347">
        <f t="shared" si="33"/>
        <v>380617.22096331924</v>
      </c>
      <c r="I275" s="347">
        <f t="shared" si="34"/>
        <v>0</v>
      </c>
      <c r="J275" s="347">
        <f t="shared" si="35"/>
        <v>0</v>
      </c>
      <c r="K275"/>
      <c r="L275"/>
      <c r="M275"/>
      <c r="N275"/>
      <c r="O275"/>
      <c r="P275"/>
      <c r="Q275"/>
      <c r="R275"/>
      <c r="S275"/>
      <c r="T275"/>
      <c r="U275"/>
      <c r="V275"/>
      <c r="W275"/>
      <c r="X275"/>
      <c r="Y275"/>
      <c r="Z275"/>
      <c r="AA275"/>
      <c r="AB275"/>
      <c r="AC275"/>
    </row>
    <row r="276" spans="1:29" ht="15.75">
      <c r="A276" s="28"/>
      <c r="B276" s="346">
        <f t="shared" si="27"/>
        <v>240</v>
      </c>
      <c r="C276" s="347">
        <f t="shared" si="28"/>
        <v>0</v>
      </c>
      <c r="D276" s="347">
        <f t="shared" si="29"/>
        <v>0</v>
      </c>
      <c r="E276" s="347">
        <f t="shared" si="30"/>
        <v>0</v>
      </c>
      <c r="F276" s="347">
        <f t="shared" si="31"/>
        <v>399999.99999999965</v>
      </c>
      <c r="G276" s="347">
        <f t="shared" si="32"/>
        <v>0</v>
      </c>
      <c r="H276" s="347">
        <f t="shared" si="33"/>
        <v>380617.22096331924</v>
      </c>
      <c r="I276" s="347">
        <f t="shared" si="34"/>
        <v>0</v>
      </c>
      <c r="J276" s="347">
        <f t="shared" si="35"/>
        <v>0</v>
      </c>
      <c r="K276"/>
      <c r="L276"/>
      <c r="M276"/>
      <c r="N276"/>
      <c r="O276"/>
      <c r="P276"/>
      <c r="Q276"/>
      <c r="R276"/>
      <c r="S276"/>
      <c r="T276"/>
      <c r="U276"/>
      <c r="V276"/>
      <c r="W276"/>
      <c r="X276"/>
      <c r="Y276"/>
      <c r="Z276"/>
      <c r="AA276"/>
      <c r="AB276"/>
      <c r="AC276"/>
    </row>
    <row r="277" spans="1:29" ht="15.75">
      <c r="A277" s="28"/>
      <c r="B277" s="346">
        <f t="shared" si="27"/>
        <v>241</v>
      </c>
      <c r="C277" s="347">
        <f t="shared" si="28"/>
        <v>0</v>
      </c>
      <c r="D277" s="347">
        <f t="shared" si="29"/>
        <v>0</v>
      </c>
      <c r="E277" s="347">
        <f t="shared" si="30"/>
        <v>0</v>
      </c>
      <c r="F277" s="347">
        <f t="shared" si="31"/>
        <v>399999.99999999965</v>
      </c>
      <c r="G277" s="347">
        <f t="shared" si="32"/>
        <v>0</v>
      </c>
      <c r="H277" s="347">
        <f t="shared" si="33"/>
        <v>380617.22096331924</v>
      </c>
      <c r="I277" s="347">
        <f t="shared" si="34"/>
        <v>0</v>
      </c>
      <c r="J277" s="347">
        <f t="shared" si="35"/>
        <v>0</v>
      </c>
      <c r="K277"/>
      <c r="L277"/>
      <c r="M277"/>
      <c r="N277"/>
      <c r="O277"/>
      <c r="P277"/>
      <c r="Q277"/>
      <c r="R277"/>
      <c r="S277"/>
      <c r="T277"/>
      <c r="U277"/>
      <c r="V277"/>
      <c r="W277"/>
      <c r="X277"/>
      <c r="Y277"/>
      <c r="Z277"/>
      <c r="AA277"/>
      <c r="AB277"/>
      <c r="AC277"/>
    </row>
    <row r="278" spans="1:29" ht="15.75">
      <c r="A278" s="28"/>
      <c r="B278" s="346">
        <f t="shared" si="27"/>
        <v>242</v>
      </c>
      <c r="C278" s="347">
        <f t="shared" si="28"/>
        <v>0</v>
      </c>
      <c r="D278" s="347">
        <f t="shared" si="29"/>
        <v>0</v>
      </c>
      <c r="E278" s="347">
        <f t="shared" si="30"/>
        <v>0</v>
      </c>
      <c r="F278" s="347">
        <f t="shared" si="31"/>
        <v>399999.99999999965</v>
      </c>
      <c r="G278" s="347">
        <f t="shared" si="32"/>
        <v>0</v>
      </c>
      <c r="H278" s="347">
        <f t="shared" si="33"/>
        <v>380617.22096331924</v>
      </c>
      <c r="I278" s="347">
        <f t="shared" si="34"/>
        <v>0</v>
      </c>
      <c r="J278" s="347">
        <f t="shared" si="35"/>
        <v>0</v>
      </c>
      <c r="K278"/>
      <c r="L278"/>
      <c r="M278"/>
      <c r="N278"/>
      <c r="O278"/>
      <c r="P278"/>
      <c r="Q278"/>
      <c r="R278"/>
      <c r="S278"/>
      <c r="T278"/>
      <c r="U278"/>
      <c r="V278"/>
      <c r="W278"/>
      <c r="X278"/>
      <c r="Y278"/>
      <c r="Z278"/>
      <c r="AA278"/>
      <c r="AB278"/>
      <c r="AC278"/>
    </row>
    <row r="279" spans="1:29" ht="15.75">
      <c r="A279" s="28"/>
      <c r="B279" s="346">
        <f t="shared" si="27"/>
        <v>243</v>
      </c>
      <c r="C279" s="347">
        <f t="shared" si="28"/>
        <v>0</v>
      </c>
      <c r="D279" s="347">
        <f t="shared" si="29"/>
        <v>0</v>
      </c>
      <c r="E279" s="347">
        <f t="shared" si="30"/>
        <v>0</v>
      </c>
      <c r="F279" s="347">
        <f t="shared" si="31"/>
        <v>399999.99999999965</v>
      </c>
      <c r="G279" s="347">
        <f t="shared" si="32"/>
        <v>0</v>
      </c>
      <c r="H279" s="347">
        <f t="shared" si="33"/>
        <v>380617.22096331924</v>
      </c>
      <c r="I279" s="347">
        <f t="shared" si="34"/>
        <v>0</v>
      </c>
      <c r="J279" s="347">
        <f t="shared" si="35"/>
        <v>0</v>
      </c>
      <c r="K279"/>
      <c r="L279"/>
      <c r="M279"/>
      <c r="N279"/>
      <c r="O279"/>
      <c r="P279"/>
      <c r="Q279"/>
      <c r="R279"/>
      <c r="S279"/>
      <c r="T279"/>
      <c r="U279"/>
      <c r="V279"/>
      <c r="W279"/>
      <c r="X279"/>
      <c r="Y279"/>
      <c r="Z279"/>
      <c r="AA279"/>
      <c r="AB279"/>
      <c r="AC279"/>
    </row>
    <row r="280" spans="1:29" ht="15.75">
      <c r="A280" s="28"/>
      <c r="B280" s="346">
        <f t="shared" si="27"/>
        <v>244</v>
      </c>
      <c r="C280" s="347">
        <f t="shared" si="28"/>
        <v>0</v>
      </c>
      <c r="D280" s="347">
        <f t="shared" si="29"/>
        <v>0</v>
      </c>
      <c r="E280" s="347">
        <f t="shared" si="30"/>
        <v>0</v>
      </c>
      <c r="F280" s="347">
        <f t="shared" si="31"/>
        <v>399999.99999999965</v>
      </c>
      <c r="G280" s="347">
        <f t="shared" si="32"/>
        <v>0</v>
      </c>
      <c r="H280" s="347">
        <f t="shared" si="33"/>
        <v>380617.22096331924</v>
      </c>
      <c r="I280" s="347">
        <f t="shared" si="34"/>
        <v>0</v>
      </c>
      <c r="J280" s="347">
        <f t="shared" si="35"/>
        <v>0</v>
      </c>
      <c r="K280"/>
      <c r="L280"/>
      <c r="M280"/>
      <c r="N280"/>
      <c r="O280"/>
      <c r="P280"/>
      <c r="Q280"/>
      <c r="R280"/>
      <c r="S280"/>
      <c r="T280"/>
      <c r="U280"/>
      <c r="V280"/>
      <c r="W280"/>
      <c r="X280"/>
      <c r="Y280"/>
      <c r="Z280"/>
      <c r="AA280"/>
      <c r="AB280"/>
      <c r="AC280"/>
    </row>
    <row r="281" spans="1:29" ht="15.75">
      <c r="A281" s="28"/>
      <c r="B281" s="346">
        <f t="shared" si="27"/>
        <v>245</v>
      </c>
      <c r="C281" s="347">
        <f t="shared" si="28"/>
        <v>0</v>
      </c>
      <c r="D281" s="347">
        <f t="shared" si="29"/>
        <v>0</v>
      </c>
      <c r="E281" s="347">
        <f t="shared" si="30"/>
        <v>0</v>
      </c>
      <c r="F281" s="347">
        <f t="shared" si="31"/>
        <v>399999.99999999965</v>
      </c>
      <c r="G281" s="347">
        <f t="shared" si="32"/>
        <v>0</v>
      </c>
      <c r="H281" s="347">
        <f t="shared" si="33"/>
        <v>380617.22096331924</v>
      </c>
      <c r="I281" s="347">
        <f t="shared" si="34"/>
        <v>0</v>
      </c>
      <c r="J281" s="347">
        <f t="shared" si="35"/>
        <v>0</v>
      </c>
      <c r="K281"/>
      <c r="L281"/>
      <c r="M281"/>
      <c r="N281"/>
      <c r="O281"/>
      <c r="P281"/>
      <c r="Q281"/>
      <c r="R281"/>
      <c r="S281"/>
      <c r="T281"/>
      <c r="U281"/>
      <c r="V281"/>
      <c r="W281"/>
      <c r="X281"/>
      <c r="Y281"/>
      <c r="Z281"/>
      <c r="AA281"/>
      <c r="AB281"/>
      <c r="AC281"/>
    </row>
    <row r="282" spans="1:29" ht="15.75">
      <c r="A282" s="28"/>
      <c r="B282" s="346">
        <f t="shared" si="27"/>
        <v>246</v>
      </c>
      <c r="C282" s="347">
        <f t="shared" si="28"/>
        <v>0</v>
      </c>
      <c r="D282" s="347">
        <f t="shared" si="29"/>
        <v>0</v>
      </c>
      <c r="E282" s="347">
        <f t="shared" si="30"/>
        <v>0</v>
      </c>
      <c r="F282" s="347">
        <f t="shared" si="31"/>
        <v>399999.99999999965</v>
      </c>
      <c r="G282" s="347">
        <f t="shared" si="32"/>
        <v>0</v>
      </c>
      <c r="H282" s="347">
        <f t="shared" si="33"/>
        <v>380617.22096331924</v>
      </c>
      <c r="I282" s="347">
        <f t="shared" si="34"/>
        <v>0</v>
      </c>
      <c r="J282" s="347">
        <f t="shared" si="35"/>
        <v>0</v>
      </c>
      <c r="K282"/>
      <c r="L282"/>
      <c r="M282"/>
      <c r="N282"/>
      <c r="O282"/>
      <c r="P282"/>
      <c r="Q282"/>
      <c r="R282"/>
      <c r="S282"/>
      <c r="T282"/>
      <c r="U282"/>
      <c r="V282"/>
      <c r="W282"/>
      <c r="X282"/>
      <c r="Y282"/>
      <c r="Z282"/>
      <c r="AA282"/>
      <c r="AB282"/>
      <c r="AC282"/>
    </row>
    <row r="283" spans="1:29" ht="15.75">
      <c r="A283" s="28"/>
      <c r="B283" s="346">
        <f t="shared" si="27"/>
        <v>247</v>
      </c>
      <c r="C283" s="347">
        <f t="shared" si="28"/>
        <v>0</v>
      </c>
      <c r="D283" s="347">
        <f t="shared" si="29"/>
        <v>0</v>
      </c>
      <c r="E283" s="347">
        <f t="shared" si="30"/>
        <v>0</v>
      </c>
      <c r="F283" s="347">
        <f t="shared" si="31"/>
        <v>399999.99999999965</v>
      </c>
      <c r="G283" s="347">
        <f t="shared" si="32"/>
        <v>0</v>
      </c>
      <c r="H283" s="347">
        <f t="shared" si="33"/>
        <v>380617.22096331924</v>
      </c>
      <c r="I283" s="347">
        <f t="shared" si="34"/>
        <v>0</v>
      </c>
      <c r="J283" s="347">
        <f t="shared" si="35"/>
        <v>0</v>
      </c>
      <c r="K283"/>
      <c r="L283"/>
      <c r="M283"/>
      <c r="N283"/>
      <c r="O283"/>
      <c r="P283"/>
      <c r="Q283"/>
      <c r="R283"/>
      <c r="S283"/>
      <c r="T283"/>
      <c r="U283"/>
      <c r="V283"/>
      <c r="W283"/>
      <c r="X283"/>
      <c r="Y283"/>
      <c r="Z283"/>
      <c r="AA283"/>
      <c r="AB283"/>
      <c r="AC283"/>
    </row>
    <row r="284" spans="1:29" ht="15.75">
      <c r="A284" s="28"/>
      <c r="B284" s="346">
        <f t="shared" si="27"/>
        <v>248</v>
      </c>
      <c r="C284" s="347">
        <f t="shared" si="28"/>
        <v>0</v>
      </c>
      <c r="D284" s="347">
        <f t="shared" si="29"/>
        <v>0</v>
      </c>
      <c r="E284" s="347">
        <f t="shared" si="30"/>
        <v>0</v>
      </c>
      <c r="F284" s="347">
        <f t="shared" si="31"/>
        <v>399999.99999999965</v>
      </c>
      <c r="G284" s="347">
        <f t="shared" si="32"/>
        <v>0</v>
      </c>
      <c r="H284" s="347">
        <f t="shared" si="33"/>
        <v>380617.22096331924</v>
      </c>
      <c r="I284" s="347">
        <f t="shared" si="34"/>
        <v>0</v>
      </c>
      <c r="J284" s="347">
        <f t="shared" si="35"/>
        <v>0</v>
      </c>
      <c r="K284"/>
      <c r="L284"/>
      <c r="M284"/>
      <c r="N284"/>
      <c r="O284"/>
      <c r="P284"/>
      <c r="Q284"/>
      <c r="R284"/>
      <c r="S284"/>
      <c r="T284"/>
      <c r="U284"/>
      <c r="V284"/>
      <c r="W284"/>
      <c r="X284"/>
      <c r="Y284"/>
      <c r="Z284"/>
      <c r="AA284"/>
      <c r="AB284"/>
      <c r="AC284"/>
    </row>
    <row r="285" spans="1:29" ht="15.75">
      <c r="A285" s="28"/>
      <c r="B285" s="346">
        <f t="shared" si="27"/>
        <v>249</v>
      </c>
      <c r="C285" s="347">
        <f t="shared" si="28"/>
        <v>0</v>
      </c>
      <c r="D285" s="347">
        <f t="shared" si="29"/>
        <v>0</v>
      </c>
      <c r="E285" s="347">
        <f t="shared" si="30"/>
        <v>0</v>
      </c>
      <c r="F285" s="347">
        <f t="shared" si="31"/>
        <v>399999.99999999965</v>
      </c>
      <c r="G285" s="347">
        <f t="shared" si="32"/>
        <v>0</v>
      </c>
      <c r="H285" s="347">
        <f t="shared" si="33"/>
        <v>380617.22096331924</v>
      </c>
      <c r="I285" s="347">
        <f t="shared" si="34"/>
        <v>0</v>
      </c>
      <c r="J285" s="347">
        <f t="shared" si="35"/>
        <v>0</v>
      </c>
      <c r="K285"/>
      <c r="L285"/>
      <c r="M285"/>
      <c r="N285"/>
      <c r="O285"/>
      <c r="P285"/>
      <c r="Q285"/>
      <c r="R285"/>
      <c r="S285"/>
      <c r="T285"/>
      <c r="U285"/>
      <c r="V285"/>
      <c r="W285"/>
      <c r="X285"/>
      <c r="Y285"/>
      <c r="Z285"/>
      <c r="AA285"/>
      <c r="AB285"/>
      <c r="AC285"/>
    </row>
    <row r="286" spans="1:29" ht="15.75">
      <c r="A286" s="28"/>
      <c r="B286" s="346">
        <f t="shared" si="27"/>
        <v>250</v>
      </c>
      <c r="C286" s="347">
        <f t="shared" si="28"/>
        <v>0</v>
      </c>
      <c r="D286" s="347">
        <f t="shared" si="29"/>
        <v>0</v>
      </c>
      <c r="E286" s="347">
        <f t="shared" si="30"/>
        <v>0</v>
      </c>
      <c r="F286" s="347">
        <f t="shared" si="31"/>
        <v>399999.99999999965</v>
      </c>
      <c r="G286" s="347">
        <f t="shared" si="32"/>
        <v>0</v>
      </c>
      <c r="H286" s="347">
        <f t="shared" si="33"/>
        <v>380617.22096331924</v>
      </c>
      <c r="I286" s="347">
        <f t="shared" si="34"/>
        <v>0</v>
      </c>
      <c r="J286" s="347">
        <f t="shared" si="35"/>
        <v>0</v>
      </c>
      <c r="K286"/>
      <c r="L286"/>
      <c r="M286"/>
      <c r="N286"/>
      <c r="O286"/>
      <c r="P286"/>
      <c r="Q286"/>
      <c r="R286"/>
      <c r="S286"/>
      <c r="T286"/>
      <c r="U286"/>
      <c r="V286"/>
      <c r="W286"/>
      <c r="X286"/>
      <c r="Y286"/>
      <c r="Z286"/>
      <c r="AA286"/>
      <c r="AB286"/>
      <c r="AC286"/>
    </row>
    <row r="287" spans="1:29" ht="15.75">
      <c r="A287" s="28"/>
      <c r="B287" s="346">
        <f t="shared" si="27"/>
        <v>251</v>
      </c>
      <c r="C287" s="347">
        <f t="shared" si="28"/>
        <v>0</v>
      </c>
      <c r="D287" s="347">
        <f t="shared" si="29"/>
        <v>0</v>
      </c>
      <c r="E287" s="347">
        <f t="shared" si="30"/>
        <v>0</v>
      </c>
      <c r="F287" s="347">
        <f t="shared" si="31"/>
        <v>399999.99999999965</v>
      </c>
      <c r="G287" s="347">
        <f t="shared" si="32"/>
        <v>0</v>
      </c>
      <c r="H287" s="347">
        <f t="shared" si="33"/>
        <v>380617.22096331924</v>
      </c>
      <c r="I287" s="347">
        <f t="shared" si="34"/>
        <v>0</v>
      </c>
      <c r="J287" s="347">
        <f t="shared" si="35"/>
        <v>0</v>
      </c>
      <c r="K287"/>
      <c r="L287"/>
      <c r="M287"/>
      <c r="N287"/>
      <c r="O287"/>
      <c r="P287"/>
      <c r="Q287"/>
      <c r="R287"/>
      <c r="S287"/>
      <c r="T287"/>
      <c r="U287"/>
      <c r="V287"/>
      <c r="W287"/>
      <c r="X287"/>
      <c r="Y287"/>
      <c r="Z287"/>
      <c r="AA287"/>
      <c r="AB287"/>
      <c r="AC287"/>
    </row>
    <row r="288" spans="1:29" ht="15.75">
      <c r="A288" s="28"/>
      <c r="B288" s="346">
        <f t="shared" si="27"/>
        <v>252</v>
      </c>
      <c r="C288" s="347">
        <f t="shared" si="28"/>
        <v>0</v>
      </c>
      <c r="D288" s="347">
        <f t="shared" si="29"/>
        <v>0</v>
      </c>
      <c r="E288" s="347">
        <f t="shared" si="30"/>
        <v>0</v>
      </c>
      <c r="F288" s="347">
        <f t="shared" si="31"/>
        <v>399999.99999999965</v>
      </c>
      <c r="G288" s="347">
        <f t="shared" si="32"/>
        <v>0</v>
      </c>
      <c r="H288" s="347">
        <f t="shared" si="33"/>
        <v>380617.22096331924</v>
      </c>
      <c r="I288" s="347">
        <f t="shared" si="34"/>
        <v>0</v>
      </c>
      <c r="J288" s="347">
        <f t="shared" si="35"/>
        <v>0</v>
      </c>
      <c r="K288"/>
      <c r="L288"/>
      <c r="M288"/>
      <c r="N288"/>
      <c r="O288"/>
      <c r="P288"/>
      <c r="Q288"/>
      <c r="R288"/>
      <c r="S288"/>
      <c r="T288"/>
      <c r="U288"/>
      <c r="V288"/>
      <c r="W288"/>
      <c r="X288"/>
      <c r="Y288"/>
      <c r="Z288"/>
      <c r="AA288"/>
      <c r="AB288"/>
      <c r="AC288"/>
    </row>
    <row r="289" spans="1:29" ht="15.75">
      <c r="A289" s="28"/>
      <c r="B289" s="346">
        <f t="shared" si="27"/>
        <v>253</v>
      </c>
      <c r="C289" s="347">
        <f t="shared" si="28"/>
        <v>0</v>
      </c>
      <c r="D289" s="347">
        <f t="shared" si="29"/>
        <v>0</v>
      </c>
      <c r="E289" s="347">
        <f t="shared" si="30"/>
        <v>0</v>
      </c>
      <c r="F289" s="347">
        <f t="shared" si="31"/>
        <v>399999.99999999965</v>
      </c>
      <c r="G289" s="347">
        <f t="shared" si="32"/>
        <v>0</v>
      </c>
      <c r="H289" s="347">
        <f t="shared" si="33"/>
        <v>380617.22096331924</v>
      </c>
      <c r="I289" s="347">
        <f t="shared" si="34"/>
        <v>0</v>
      </c>
      <c r="J289" s="347">
        <f t="shared" si="35"/>
        <v>0</v>
      </c>
      <c r="K289"/>
      <c r="L289"/>
      <c r="M289"/>
      <c r="N289"/>
      <c r="O289"/>
      <c r="P289"/>
      <c r="Q289"/>
      <c r="R289"/>
      <c r="S289"/>
      <c r="T289"/>
      <c r="U289"/>
      <c r="V289"/>
      <c r="W289"/>
      <c r="X289"/>
      <c r="Y289"/>
      <c r="Z289"/>
      <c r="AA289"/>
      <c r="AB289"/>
      <c r="AC289"/>
    </row>
    <row r="290" spans="1:29" ht="15.75">
      <c r="A290" s="28"/>
      <c r="B290" s="346">
        <f t="shared" si="27"/>
        <v>254</v>
      </c>
      <c r="C290" s="347">
        <f t="shared" si="28"/>
        <v>0</v>
      </c>
      <c r="D290" s="347">
        <f t="shared" si="29"/>
        <v>0</v>
      </c>
      <c r="E290" s="347">
        <f t="shared" si="30"/>
        <v>0</v>
      </c>
      <c r="F290" s="347">
        <f t="shared" si="31"/>
        <v>399999.99999999965</v>
      </c>
      <c r="G290" s="347">
        <f t="shared" si="32"/>
        <v>0</v>
      </c>
      <c r="H290" s="347">
        <f t="shared" si="33"/>
        <v>380617.22096331924</v>
      </c>
      <c r="I290" s="347">
        <f t="shared" si="34"/>
        <v>0</v>
      </c>
      <c r="J290" s="347">
        <f t="shared" si="35"/>
        <v>0</v>
      </c>
      <c r="K290"/>
      <c r="L290"/>
      <c r="M290"/>
      <c r="N290"/>
      <c r="O290"/>
      <c r="P290"/>
      <c r="Q290"/>
      <c r="R290"/>
      <c r="S290"/>
      <c r="T290"/>
      <c r="U290"/>
      <c r="V290"/>
      <c r="W290"/>
      <c r="X290"/>
      <c r="Y290"/>
      <c r="Z290"/>
      <c r="AA290"/>
      <c r="AB290"/>
      <c r="AC290"/>
    </row>
    <row r="291" spans="1:29" ht="15.75">
      <c r="A291" s="28"/>
      <c r="B291" s="346">
        <f t="shared" si="27"/>
        <v>255</v>
      </c>
      <c r="C291" s="347">
        <f t="shared" si="28"/>
        <v>0</v>
      </c>
      <c r="D291" s="347">
        <f t="shared" si="29"/>
        <v>0</v>
      </c>
      <c r="E291" s="347">
        <f t="shared" si="30"/>
        <v>0</v>
      </c>
      <c r="F291" s="347">
        <f t="shared" si="31"/>
        <v>399999.99999999965</v>
      </c>
      <c r="G291" s="347">
        <f t="shared" si="32"/>
        <v>0</v>
      </c>
      <c r="H291" s="347">
        <f t="shared" si="33"/>
        <v>380617.22096331924</v>
      </c>
      <c r="I291" s="347">
        <f t="shared" si="34"/>
        <v>0</v>
      </c>
      <c r="J291" s="347">
        <f t="shared" si="35"/>
        <v>0</v>
      </c>
      <c r="K291"/>
      <c r="L291"/>
      <c r="M291"/>
      <c r="N291"/>
      <c r="O291"/>
      <c r="P291"/>
      <c r="Q291"/>
      <c r="R291"/>
      <c r="S291"/>
      <c r="T291"/>
      <c r="U291"/>
      <c r="V291"/>
      <c r="W291"/>
      <c r="X291"/>
      <c r="Y291"/>
      <c r="Z291"/>
      <c r="AA291"/>
      <c r="AB291"/>
      <c r="AC291"/>
    </row>
    <row r="292" spans="1:29" ht="15.75">
      <c r="A292" s="28"/>
      <c r="B292" s="346">
        <f t="shared" si="27"/>
        <v>256</v>
      </c>
      <c r="C292" s="347">
        <f t="shared" si="28"/>
        <v>0</v>
      </c>
      <c r="D292" s="347">
        <f t="shared" si="29"/>
        <v>0</v>
      </c>
      <c r="E292" s="347">
        <f t="shared" si="30"/>
        <v>0</v>
      </c>
      <c r="F292" s="347">
        <f t="shared" si="31"/>
        <v>399999.99999999965</v>
      </c>
      <c r="G292" s="347">
        <f t="shared" si="32"/>
        <v>0</v>
      </c>
      <c r="H292" s="347">
        <f t="shared" si="33"/>
        <v>380617.22096331924</v>
      </c>
      <c r="I292" s="347">
        <f t="shared" si="34"/>
        <v>0</v>
      </c>
      <c r="J292" s="347">
        <f t="shared" si="35"/>
        <v>0</v>
      </c>
      <c r="K292"/>
      <c r="L292"/>
      <c r="M292"/>
      <c r="N292"/>
      <c r="O292"/>
      <c r="P292"/>
      <c r="Q292"/>
      <c r="R292"/>
      <c r="S292"/>
      <c r="T292"/>
      <c r="U292"/>
      <c r="V292"/>
      <c r="W292"/>
      <c r="X292"/>
      <c r="Y292"/>
      <c r="Z292"/>
      <c r="AA292"/>
      <c r="AB292"/>
      <c r="AC292"/>
    </row>
    <row r="293" spans="1:29" ht="15.75">
      <c r="A293" s="28"/>
      <c r="B293" s="346">
        <f t="shared" si="27"/>
        <v>257</v>
      </c>
      <c r="C293" s="347">
        <f t="shared" si="28"/>
        <v>0</v>
      </c>
      <c r="D293" s="347">
        <f t="shared" si="29"/>
        <v>0</v>
      </c>
      <c r="E293" s="347">
        <f t="shared" si="30"/>
        <v>0</v>
      </c>
      <c r="F293" s="347">
        <f t="shared" si="31"/>
        <v>399999.99999999965</v>
      </c>
      <c r="G293" s="347">
        <f t="shared" si="32"/>
        <v>0</v>
      </c>
      <c r="H293" s="347">
        <f t="shared" si="33"/>
        <v>380617.22096331924</v>
      </c>
      <c r="I293" s="347">
        <f t="shared" si="34"/>
        <v>0</v>
      </c>
      <c r="J293" s="347">
        <f t="shared" si="35"/>
        <v>0</v>
      </c>
      <c r="K293"/>
      <c r="L293"/>
      <c r="M293"/>
      <c r="N293"/>
      <c r="O293"/>
      <c r="P293"/>
      <c r="Q293"/>
      <c r="R293"/>
      <c r="S293"/>
      <c r="T293"/>
      <c r="U293"/>
      <c r="V293"/>
      <c r="W293"/>
      <c r="X293"/>
      <c r="Y293"/>
      <c r="Z293"/>
      <c r="AA293"/>
      <c r="AB293"/>
      <c r="AC293"/>
    </row>
    <row r="294" spans="1:29" ht="15.75">
      <c r="A294" s="28"/>
      <c r="B294" s="346">
        <f aca="true" t="shared" si="36" ref="B294:B357">1+B293</f>
        <v>258</v>
      </c>
      <c r="C294" s="347">
        <f aca="true" t="shared" si="37" ref="C294:C357">IF((E293&lt;$C$24-G294),E293,$C$24-G294)</f>
        <v>0</v>
      </c>
      <c r="D294" s="347">
        <f aca="true" t="shared" si="38" ref="D294:D357">IF(AND($C$20&lt;=B294,E293&gt;C294+$C$18),IF(MOD($B294,$C$19)=0,$C$18,0),0)</f>
        <v>0</v>
      </c>
      <c r="E294" s="347">
        <f aca="true" t="shared" si="39" ref="E294:E357">IF(E293-C294&lt;=1,0,E293-C294-D294)</f>
        <v>0</v>
      </c>
      <c r="F294" s="347">
        <f aca="true" t="shared" si="40" ref="F294:F357">F293+C294+D294</f>
        <v>399999.99999999965</v>
      </c>
      <c r="G294" s="347">
        <f aca="true" t="shared" si="41" ref="G294:G357">E293*($C$13/$C$15)</f>
        <v>0</v>
      </c>
      <c r="H294" s="347">
        <f aca="true" t="shared" si="42" ref="H294:H357">H293+G294</f>
        <v>380617.22096331924</v>
      </c>
      <c r="I294" s="347">
        <f aca="true" t="shared" si="43" ref="I294:I357">IF(I293-($C$24-J294)&lt;=1,0,I293-($C$24-J294))</f>
        <v>0</v>
      </c>
      <c r="J294" s="347">
        <f aca="true" t="shared" si="44" ref="J294:J357">I293*($C$13/$C$15)</f>
        <v>0</v>
      </c>
      <c r="K294"/>
      <c r="L294"/>
      <c r="M294"/>
      <c r="N294"/>
      <c r="O294"/>
      <c r="P294"/>
      <c r="Q294"/>
      <c r="R294"/>
      <c r="S294"/>
      <c r="T294"/>
      <c r="U294"/>
      <c r="V294"/>
      <c r="W294"/>
      <c r="X294"/>
      <c r="Y294"/>
      <c r="Z294"/>
      <c r="AA294"/>
      <c r="AB294"/>
      <c r="AC294"/>
    </row>
    <row r="295" spans="1:29" ht="15.75">
      <c r="A295" s="28"/>
      <c r="B295" s="346">
        <f t="shared" si="36"/>
        <v>259</v>
      </c>
      <c r="C295" s="347">
        <f t="shared" si="37"/>
        <v>0</v>
      </c>
      <c r="D295" s="347">
        <f t="shared" si="38"/>
        <v>0</v>
      </c>
      <c r="E295" s="347">
        <f t="shared" si="39"/>
        <v>0</v>
      </c>
      <c r="F295" s="347">
        <f t="shared" si="40"/>
        <v>399999.99999999965</v>
      </c>
      <c r="G295" s="347">
        <f t="shared" si="41"/>
        <v>0</v>
      </c>
      <c r="H295" s="347">
        <f t="shared" si="42"/>
        <v>380617.22096331924</v>
      </c>
      <c r="I295" s="347">
        <f t="shared" si="43"/>
        <v>0</v>
      </c>
      <c r="J295" s="347">
        <f t="shared" si="44"/>
        <v>0</v>
      </c>
      <c r="K295"/>
      <c r="L295"/>
      <c r="M295"/>
      <c r="N295"/>
      <c r="O295"/>
      <c r="P295"/>
      <c r="Q295"/>
      <c r="R295"/>
      <c r="S295"/>
      <c r="T295"/>
      <c r="U295"/>
      <c r="V295"/>
      <c r="W295"/>
      <c r="X295"/>
      <c r="Y295"/>
      <c r="Z295"/>
      <c r="AA295"/>
      <c r="AB295"/>
      <c r="AC295"/>
    </row>
    <row r="296" spans="1:29" ht="15.75">
      <c r="A296" s="28"/>
      <c r="B296" s="346">
        <f t="shared" si="36"/>
        <v>260</v>
      </c>
      <c r="C296" s="347">
        <f t="shared" si="37"/>
        <v>0</v>
      </c>
      <c r="D296" s="347">
        <f t="shared" si="38"/>
        <v>0</v>
      </c>
      <c r="E296" s="347">
        <f t="shared" si="39"/>
        <v>0</v>
      </c>
      <c r="F296" s="347">
        <f t="shared" si="40"/>
        <v>399999.99999999965</v>
      </c>
      <c r="G296" s="347">
        <f t="shared" si="41"/>
        <v>0</v>
      </c>
      <c r="H296" s="347">
        <f t="shared" si="42"/>
        <v>380617.22096331924</v>
      </c>
      <c r="I296" s="347">
        <f t="shared" si="43"/>
        <v>0</v>
      </c>
      <c r="J296" s="347">
        <f t="shared" si="44"/>
        <v>0</v>
      </c>
      <c r="K296"/>
      <c r="L296"/>
      <c r="M296"/>
      <c r="N296"/>
      <c r="O296"/>
      <c r="P296"/>
      <c r="Q296"/>
      <c r="R296"/>
      <c r="S296"/>
      <c r="T296"/>
      <c r="U296"/>
      <c r="V296"/>
      <c r="W296"/>
      <c r="X296"/>
      <c r="Y296"/>
      <c r="Z296"/>
      <c r="AA296"/>
      <c r="AB296"/>
      <c r="AC296"/>
    </row>
    <row r="297" spans="1:29" ht="15.75">
      <c r="A297" s="28"/>
      <c r="B297" s="346">
        <f t="shared" si="36"/>
        <v>261</v>
      </c>
      <c r="C297" s="347">
        <f t="shared" si="37"/>
        <v>0</v>
      </c>
      <c r="D297" s="347">
        <f t="shared" si="38"/>
        <v>0</v>
      </c>
      <c r="E297" s="347">
        <f t="shared" si="39"/>
        <v>0</v>
      </c>
      <c r="F297" s="347">
        <f t="shared" si="40"/>
        <v>399999.99999999965</v>
      </c>
      <c r="G297" s="347">
        <f t="shared" si="41"/>
        <v>0</v>
      </c>
      <c r="H297" s="347">
        <f t="shared" si="42"/>
        <v>380617.22096331924</v>
      </c>
      <c r="I297" s="347">
        <f t="shared" si="43"/>
        <v>0</v>
      </c>
      <c r="J297" s="347">
        <f t="shared" si="44"/>
        <v>0</v>
      </c>
      <c r="K297"/>
      <c r="L297"/>
      <c r="M297"/>
      <c r="N297"/>
      <c r="O297"/>
      <c r="P297"/>
      <c r="Q297"/>
      <c r="R297"/>
      <c r="S297"/>
      <c r="T297"/>
      <c r="U297"/>
      <c r="V297"/>
      <c r="W297"/>
      <c r="X297"/>
      <c r="Y297"/>
      <c r="Z297"/>
      <c r="AA297"/>
      <c r="AB297"/>
      <c r="AC297"/>
    </row>
    <row r="298" spans="1:29" ht="15.75">
      <c r="A298" s="28"/>
      <c r="B298" s="346">
        <f t="shared" si="36"/>
        <v>262</v>
      </c>
      <c r="C298" s="347">
        <f t="shared" si="37"/>
        <v>0</v>
      </c>
      <c r="D298" s="347">
        <f t="shared" si="38"/>
        <v>0</v>
      </c>
      <c r="E298" s="347">
        <f t="shared" si="39"/>
        <v>0</v>
      </c>
      <c r="F298" s="347">
        <f t="shared" si="40"/>
        <v>399999.99999999965</v>
      </c>
      <c r="G298" s="347">
        <f t="shared" si="41"/>
        <v>0</v>
      </c>
      <c r="H298" s="347">
        <f t="shared" si="42"/>
        <v>380617.22096331924</v>
      </c>
      <c r="I298" s="347">
        <f t="shared" si="43"/>
        <v>0</v>
      </c>
      <c r="J298" s="347">
        <f t="shared" si="44"/>
        <v>0</v>
      </c>
      <c r="K298"/>
      <c r="L298"/>
      <c r="M298"/>
      <c r="N298"/>
      <c r="O298"/>
      <c r="P298"/>
      <c r="Q298"/>
      <c r="R298"/>
      <c r="S298"/>
      <c r="T298"/>
      <c r="U298"/>
      <c r="V298"/>
      <c r="W298"/>
      <c r="X298"/>
      <c r="Y298"/>
      <c r="Z298"/>
      <c r="AA298"/>
      <c r="AB298"/>
      <c r="AC298"/>
    </row>
    <row r="299" spans="1:29" ht="15.75">
      <c r="A299" s="28"/>
      <c r="B299" s="346">
        <f t="shared" si="36"/>
        <v>263</v>
      </c>
      <c r="C299" s="347">
        <f t="shared" si="37"/>
        <v>0</v>
      </c>
      <c r="D299" s="347">
        <f t="shared" si="38"/>
        <v>0</v>
      </c>
      <c r="E299" s="347">
        <f t="shared" si="39"/>
        <v>0</v>
      </c>
      <c r="F299" s="347">
        <f t="shared" si="40"/>
        <v>399999.99999999965</v>
      </c>
      <c r="G299" s="347">
        <f t="shared" si="41"/>
        <v>0</v>
      </c>
      <c r="H299" s="347">
        <f t="shared" si="42"/>
        <v>380617.22096331924</v>
      </c>
      <c r="I299" s="347">
        <f t="shared" si="43"/>
        <v>0</v>
      </c>
      <c r="J299" s="347">
        <f t="shared" si="44"/>
        <v>0</v>
      </c>
      <c r="K299"/>
      <c r="L299"/>
      <c r="M299"/>
      <c r="N299"/>
      <c r="O299"/>
      <c r="P299"/>
      <c r="Q299"/>
      <c r="R299"/>
      <c r="S299"/>
      <c r="T299"/>
      <c r="U299"/>
      <c r="V299"/>
      <c r="W299"/>
      <c r="X299"/>
      <c r="Y299"/>
      <c r="Z299"/>
      <c r="AA299"/>
      <c r="AB299"/>
      <c r="AC299"/>
    </row>
    <row r="300" spans="1:29" ht="15.75">
      <c r="A300" s="28"/>
      <c r="B300" s="346">
        <f t="shared" si="36"/>
        <v>264</v>
      </c>
      <c r="C300" s="347">
        <f t="shared" si="37"/>
        <v>0</v>
      </c>
      <c r="D300" s="347">
        <f t="shared" si="38"/>
        <v>0</v>
      </c>
      <c r="E300" s="347">
        <f t="shared" si="39"/>
        <v>0</v>
      </c>
      <c r="F300" s="347">
        <f t="shared" si="40"/>
        <v>399999.99999999965</v>
      </c>
      <c r="G300" s="347">
        <f t="shared" si="41"/>
        <v>0</v>
      </c>
      <c r="H300" s="347">
        <f t="shared" si="42"/>
        <v>380617.22096331924</v>
      </c>
      <c r="I300" s="347">
        <f t="shared" si="43"/>
        <v>0</v>
      </c>
      <c r="J300" s="347">
        <f t="shared" si="44"/>
        <v>0</v>
      </c>
      <c r="K300"/>
      <c r="L300"/>
      <c r="M300"/>
      <c r="N300"/>
      <c r="O300"/>
      <c r="P300"/>
      <c r="Q300"/>
      <c r="R300"/>
      <c r="S300"/>
      <c r="T300"/>
      <c r="U300"/>
      <c r="V300"/>
      <c r="W300"/>
      <c r="X300"/>
      <c r="Y300"/>
      <c r="Z300"/>
      <c r="AA300"/>
      <c r="AB300"/>
      <c r="AC300"/>
    </row>
    <row r="301" spans="1:29" ht="15.75">
      <c r="A301" s="28"/>
      <c r="B301" s="346">
        <f t="shared" si="36"/>
        <v>265</v>
      </c>
      <c r="C301" s="347">
        <f t="shared" si="37"/>
        <v>0</v>
      </c>
      <c r="D301" s="347">
        <f t="shared" si="38"/>
        <v>0</v>
      </c>
      <c r="E301" s="347">
        <f t="shared" si="39"/>
        <v>0</v>
      </c>
      <c r="F301" s="347">
        <f t="shared" si="40"/>
        <v>399999.99999999965</v>
      </c>
      <c r="G301" s="347">
        <f t="shared" si="41"/>
        <v>0</v>
      </c>
      <c r="H301" s="347">
        <f t="shared" si="42"/>
        <v>380617.22096331924</v>
      </c>
      <c r="I301" s="347">
        <f t="shared" si="43"/>
        <v>0</v>
      </c>
      <c r="J301" s="347">
        <f t="shared" si="44"/>
        <v>0</v>
      </c>
      <c r="K301"/>
      <c r="L301"/>
      <c r="M301"/>
      <c r="N301"/>
      <c r="O301"/>
      <c r="P301"/>
      <c r="Q301"/>
      <c r="R301"/>
      <c r="S301"/>
      <c r="T301"/>
      <c r="U301"/>
      <c r="V301"/>
      <c r="W301"/>
      <c r="X301"/>
      <c r="Y301"/>
      <c r="Z301"/>
      <c r="AA301"/>
      <c r="AB301"/>
      <c r="AC301"/>
    </row>
    <row r="302" spans="1:29" ht="15.75">
      <c r="A302" s="28"/>
      <c r="B302" s="346">
        <f t="shared" si="36"/>
        <v>266</v>
      </c>
      <c r="C302" s="347">
        <f t="shared" si="37"/>
        <v>0</v>
      </c>
      <c r="D302" s="347">
        <f t="shared" si="38"/>
        <v>0</v>
      </c>
      <c r="E302" s="347">
        <f t="shared" si="39"/>
        <v>0</v>
      </c>
      <c r="F302" s="347">
        <f t="shared" si="40"/>
        <v>399999.99999999965</v>
      </c>
      <c r="G302" s="347">
        <f t="shared" si="41"/>
        <v>0</v>
      </c>
      <c r="H302" s="347">
        <f t="shared" si="42"/>
        <v>380617.22096331924</v>
      </c>
      <c r="I302" s="347">
        <f t="shared" si="43"/>
        <v>0</v>
      </c>
      <c r="J302" s="347">
        <f t="shared" si="44"/>
        <v>0</v>
      </c>
      <c r="K302"/>
      <c r="L302"/>
      <c r="M302"/>
      <c r="N302"/>
      <c r="O302"/>
      <c r="P302"/>
      <c r="Q302"/>
      <c r="R302"/>
      <c r="S302"/>
      <c r="T302"/>
      <c r="U302"/>
      <c r="V302"/>
      <c r="W302"/>
      <c r="X302"/>
      <c r="Y302"/>
      <c r="Z302"/>
      <c r="AA302"/>
      <c r="AB302"/>
      <c r="AC302"/>
    </row>
    <row r="303" spans="1:29" ht="15.75">
      <c r="A303" s="28"/>
      <c r="B303" s="346">
        <f t="shared" si="36"/>
        <v>267</v>
      </c>
      <c r="C303" s="347">
        <f t="shared" si="37"/>
        <v>0</v>
      </c>
      <c r="D303" s="347">
        <f t="shared" si="38"/>
        <v>0</v>
      </c>
      <c r="E303" s="347">
        <f t="shared" si="39"/>
        <v>0</v>
      </c>
      <c r="F303" s="347">
        <f t="shared" si="40"/>
        <v>399999.99999999965</v>
      </c>
      <c r="G303" s="347">
        <f t="shared" si="41"/>
        <v>0</v>
      </c>
      <c r="H303" s="347">
        <f t="shared" si="42"/>
        <v>380617.22096331924</v>
      </c>
      <c r="I303" s="347">
        <f t="shared" si="43"/>
        <v>0</v>
      </c>
      <c r="J303" s="347">
        <f t="shared" si="44"/>
        <v>0</v>
      </c>
      <c r="K303"/>
      <c r="L303"/>
      <c r="M303"/>
      <c r="N303"/>
      <c r="O303"/>
      <c r="P303"/>
      <c r="Q303"/>
      <c r="R303"/>
      <c r="S303"/>
      <c r="T303"/>
      <c r="U303"/>
      <c r="V303"/>
      <c r="W303"/>
      <c r="X303"/>
      <c r="Y303"/>
      <c r="Z303"/>
      <c r="AA303"/>
      <c r="AB303"/>
      <c r="AC303"/>
    </row>
    <row r="304" spans="1:29" ht="15.75">
      <c r="A304" s="28"/>
      <c r="B304" s="346">
        <f t="shared" si="36"/>
        <v>268</v>
      </c>
      <c r="C304" s="347">
        <f t="shared" si="37"/>
        <v>0</v>
      </c>
      <c r="D304" s="347">
        <f t="shared" si="38"/>
        <v>0</v>
      </c>
      <c r="E304" s="347">
        <f t="shared" si="39"/>
        <v>0</v>
      </c>
      <c r="F304" s="347">
        <f t="shared" si="40"/>
        <v>399999.99999999965</v>
      </c>
      <c r="G304" s="347">
        <f t="shared" si="41"/>
        <v>0</v>
      </c>
      <c r="H304" s="347">
        <f t="shared" si="42"/>
        <v>380617.22096331924</v>
      </c>
      <c r="I304" s="347">
        <f t="shared" si="43"/>
        <v>0</v>
      </c>
      <c r="J304" s="347">
        <f t="shared" si="44"/>
        <v>0</v>
      </c>
      <c r="K304"/>
      <c r="L304"/>
      <c r="M304"/>
      <c r="N304"/>
      <c r="O304"/>
      <c r="P304"/>
      <c r="Q304"/>
      <c r="R304"/>
      <c r="S304"/>
      <c r="T304"/>
      <c r="U304"/>
      <c r="V304"/>
      <c r="W304"/>
      <c r="X304"/>
      <c r="Y304"/>
      <c r="Z304"/>
      <c r="AA304"/>
      <c r="AB304"/>
      <c r="AC304"/>
    </row>
    <row r="305" spans="1:29" ht="15.75">
      <c r="A305" s="28"/>
      <c r="B305" s="346">
        <f t="shared" si="36"/>
        <v>269</v>
      </c>
      <c r="C305" s="347">
        <f t="shared" si="37"/>
        <v>0</v>
      </c>
      <c r="D305" s="347">
        <f t="shared" si="38"/>
        <v>0</v>
      </c>
      <c r="E305" s="347">
        <f t="shared" si="39"/>
        <v>0</v>
      </c>
      <c r="F305" s="347">
        <f t="shared" si="40"/>
        <v>399999.99999999965</v>
      </c>
      <c r="G305" s="347">
        <f t="shared" si="41"/>
        <v>0</v>
      </c>
      <c r="H305" s="347">
        <f t="shared" si="42"/>
        <v>380617.22096331924</v>
      </c>
      <c r="I305" s="347">
        <f t="shared" si="43"/>
        <v>0</v>
      </c>
      <c r="J305" s="347">
        <f t="shared" si="44"/>
        <v>0</v>
      </c>
      <c r="K305"/>
      <c r="L305"/>
      <c r="M305"/>
      <c r="N305"/>
      <c r="O305"/>
      <c r="P305"/>
      <c r="Q305"/>
      <c r="R305"/>
      <c r="S305"/>
      <c r="T305"/>
      <c r="U305"/>
      <c r="V305"/>
      <c r="W305"/>
      <c r="X305"/>
      <c r="Y305"/>
      <c r="Z305"/>
      <c r="AA305"/>
      <c r="AB305"/>
      <c r="AC305"/>
    </row>
    <row r="306" spans="1:29" ht="15.75">
      <c r="A306" s="28"/>
      <c r="B306" s="346">
        <f t="shared" si="36"/>
        <v>270</v>
      </c>
      <c r="C306" s="347">
        <f t="shared" si="37"/>
        <v>0</v>
      </c>
      <c r="D306" s="347">
        <f t="shared" si="38"/>
        <v>0</v>
      </c>
      <c r="E306" s="347">
        <f t="shared" si="39"/>
        <v>0</v>
      </c>
      <c r="F306" s="347">
        <f t="shared" si="40"/>
        <v>399999.99999999965</v>
      </c>
      <c r="G306" s="347">
        <f t="shared" si="41"/>
        <v>0</v>
      </c>
      <c r="H306" s="347">
        <f t="shared" si="42"/>
        <v>380617.22096331924</v>
      </c>
      <c r="I306" s="347">
        <f t="shared" si="43"/>
        <v>0</v>
      </c>
      <c r="J306" s="347">
        <f t="shared" si="44"/>
        <v>0</v>
      </c>
      <c r="K306"/>
      <c r="L306"/>
      <c r="M306"/>
      <c r="N306"/>
      <c r="O306"/>
      <c r="P306"/>
      <c r="Q306"/>
      <c r="R306"/>
      <c r="S306"/>
      <c r="T306"/>
      <c r="U306"/>
      <c r="V306"/>
      <c r="W306"/>
      <c r="X306"/>
      <c r="Y306"/>
      <c r="Z306"/>
      <c r="AA306"/>
      <c r="AB306"/>
      <c r="AC306"/>
    </row>
    <row r="307" spans="1:29" ht="15.75">
      <c r="A307" s="28"/>
      <c r="B307" s="346">
        <f t="shared" si="36"/>
        <v>271</v>
      </c>
      <c r="C307" s="347">
        <f t="shared" si="37"/>
        <v>0</v>
      </c>
      <c r="D307" s="347">
        <f t="shared" si="38"/>
        <v>0</v>
      </c>
      <c r="E307" s="347">
        <f t="shared" si="39"/>
        <v>0</v>
      </c>
      <c r="F307" s="347">
        <f t="shared" si="40"/>
        <v>399999.99999999965</v>
      </c>
      <c r="G307" s="347">
        <f t="shared" si="41"/>
        <v>0</v>
      </c>
      <c r="H307" s="347">
        <f t="shared" si="42"/>
        <v>380617.22096331924</v>
      </c>
      <c r="I307" s="347">
        <f t="shared" si="43"/>
        <v>0</v>
      </c>
      <c r="J307" s="347">
        <f t="shared" si="44"/>
        <v>0</v>
      </c>
      <c r="K307"/>
      <c r="L307"/>
      <c r="M307"/>
      <c r="N307"/>
      <c r="O307"/>
      <c r="P307"/>
      <c r="Q307"/>
      <c r="R307"/>
      <c r="S307"/>
      <c r="T307"/>
      <c r="U307"/>
      <c r="V307"/>
      <c r="W307"/>
      <c r="X307"/>
      <c r="Y307"/>
      <c r="Z307"/>
      <c r="AA307"/>
      <c r="AB307"/>
      <c r="AC307"/>
    </row>
    <row r="308" spans="1:29" ht="15.75">
      <c r="A308" s="28"/>
      <c r="B308" s="346">
        <f t="shared" si="36"/>
        <v>272</v>
      </c>
      <c r="C308" s="347">
        <f t="shared" si="37"/>
        <v>0</v>
      </c>
      <c r="D308" s="347">
        <f t="shared" si="38"/>
        <v>0</v>
      </c>
      <c r="E308" s="347">
        <f t="shared" si="39"/>
        <v>0</v>
      </c>
      <c r="F308" s="347">
        <f t="shared" si="40"/>
        <v>399999.99999999965</v>
      </c>
      <c r="G308" s="347">
        <f t="shared" si="41"/>
        <v>0</v>
      </c>
      <c r="H308" s="347">
        <f t="shared" si="42"/>
        <v>380617.22096331924</v>
      </c>
      <c r="I308" s="347">
        <f t="shared" si="43"/>
        <v>0</v>
      </c>
      <c r="J308" s="347">
        <f t="shared" si="44"/>
        <v>0</v>
      </c>
      <c r="K308"/>
      <c r="L308"/>
      <c r="M308"/>
      <c r="N308"/>
      <c r="O308"/>
      <c r="P308"/>
      <c r="Q308"/>
      <c r="R308"/>
      <c r="S308"/>
      <c r="T308"/>
      <c r="U308"/>
      <c r="V308"/>
      <c r="W308"/>
      <c r="X308"/>
      <c r="Y308"/>
      <c r="Z308"/>
      <c r="AA308"/>
      <c r="AB308"/>
      <c r="AC308"/>
    </row>
    <row r="309" spans="1:29" ht="15.75">
      <c r="A309" s="28"/>
      <c r="B309" s="346">
        <f t="shared" si="36"/>
        <v>273</v>
      </c>
      <c r="C309" s="347">
        <f t="shared" si="37"/>
        <v>0</v>
      </c>
      <c r="D309" s="347">
        <f t="shared" si="38"/>
        <v>0</v>
      </c>
      <c r="E309" s="347">
        <f t="shared" si="39"/>
        <v>0</v>
      </c>
      <c r="F309" s="347">
        <f t="shared" si="40"/>
        <v>399999.99999999965</v>
      </c>
      <c r="G309" s="347">
        <f t="shared" si="41"/>
        <v>0</v>
      </c>
      <c r="H309" s="347">
        <f t="shared" si="42"/>
        <v>380617.22096331924</v>
      </c>
      <c r="I309" s="347">
        <f t="shared" si="43"/>
        <v>0</v>
      </c>
      <c r="J309" s="347">
        <f t="shared" si="44"/>
        <v>0</v>
      </c>
      <c r="K309"/>
      <c r="L309"/>
      <c r="M309"/>
      <c r="N309"/>
      <c r="O309"/>
      <c r="P309"/>
      <c r="Q309"/>
      <c r="R309"/>
      <c r="S309"/>
      <c r="T309"/>
      <c r="U309"/>
      <c r="V309"/>
      <c r="W309"/>
      <c r="X309"/>
      <c r="Y309"/>
      <c r="Z309"/>
      <c r="AA309"/>
      <c r="AB309"/>
      <c r="AC309"/>
    </row>
    <row r="310" spans="1:29" ht="15.75">
      <c r="A310" s="28"/>
      <c r="B310" s="346">
        <f t="shared" si="36"/>
        <v>274</v>
      </c>
      <c r="C310" s="347">
        <f t="shared" si="37"/>
        <v>0</v>
      </c>
      <c r="D310" s="347">
        <f t="shared" si="38"/>
        <v>0</v>
      </c>
      <c r="E310" s="347">
        <f t="shared" si="39"/>
        <v>0</v>
      </c>
      <c r="F310" s="347">
        <f t="shared" si="40"/>
        <v>399999.99999999965</v>
      </c>
      <c r="G310" s="347">
        <f t="shared" si="41"/>
        <v>0</v>
      </c>
      <c r="H310" s="347">
        <f t="shared" si="42"/>
        <v>380617.22096331924</v>
      </c>
      <c r="I310" s="347">
        <f t="shared" si="43"/>
        <v>0</v>
      </c>
      <c r="J310" s="347">
        <f t="shared" si="44"/>
        <v>0</v>
      </c>
      <c r="K310"/>
      <c r="L310"/>
      <c r="M310"/>
      <c r="N310"/>
      <c r="O310"/>
      <c r="P310"/>
      <c r="Q310"/>
      <c r="R310"/>
      <c r="S310"/>
      <c r="T310"/>
      <c r="U310"/>
      <c r="V310"/>
      <c r="W310"/>
      <c r="X310"/>
      <c r="Y310"/>
      <c r="Z310"/>
      <c r="AA310"/>
      <c r="AB310"/>
      <c r="AC310"/>
    </row>
    <row r="311" spans="1:29" ht="15.75">
      <c r="A311" s="28"/>
      <c r="B311" s="346">
        <f t="shared" si="36"/>
        <v>275</v>
      </c>
      <c r="C311" s="347">
        <f t="shared" si="37"/>
        <v>0</v>
      </c>
      <c r="D311" s="347">
        <f t="shared" si="38"/>
        <v>0</v>
      </c>
      <c r="E311" s="347">
        <f t="shared" si="39"/>
        <v>0</v>
      </c>
      <c r="F311" s="347">
        <f t="shared" si="40"/>
        <v>399999.99999999965</v>
      </c>
      <c r="G311" s="347">
        <f t="shared" si="41"/>
        <v>0</v>
      </c>
      <c r="H311" s="347">
        <f t="shared" si="42"/>
        <v>380617.22096331924</v>
      </c>
      <c r="I311" s="347">
        <f t="shared" si="43"/>
        <v>0</v>
      </c>
      <c r="J311" s="347">
        <f t="shared" si="44"/>
        <v>0</v>
      </c>
      <c r="K311"/>
      <c r="L311"/>
      <c r="M311"/>
      <c r="N311"/>
      <c r="O311"/>
      <c r="P311"/>
      <c r="Q311"/>
      <c r="R311"/>
      <c r="S311"/>
      <c r="T311"/>
      <c r="U311"/>
      <c r="V311"/>
      <c r="W311"/>
      <c r="X311"/>
      <c r="Y311"/>
      <c r="Z311"/>
      <c r="AA311"/>
      <c r="AB311"/>
      <c r="AC311"/>
    </row>
    <row r="312" spans="1:29" ht="15.75">
      <c r="A312" s="28"/>
      <c r="B312" s="346">
        <f t="shared" si="36"/>
        <v>276</v>
      </c>
      <c r="C312" s="347">
        <f t="shared" si="37"/>
        <v>0</v>
      </c>
      <c r="D312" s="347">
        <f t="shared" si="38"/>
        <v>0</v>
      </c>
      <c r="E312" s="347">
        <f t="shared" si="39"/>
        <v>0</v>
      </c>
      <c r="F312" s="347">
        <f t="shared" si="40"/>
        <v>399999.99999999965</v>
      </c>
      <c r="G312" s="347">
        <f t="shared" si="41"/>
        <v>0</v>
      </c>
      <c r="H312" s="347">
        <f t="shared" si="42"/>
        <v>380617.22096331924</v>
      </c>
      <c r="I312" s="347">
        <f t="shared" si="43"/>
        <v>0</v>
      </c>
      <c r="J312" s="347">
        <f t="shared" si="44"/>
        <v>0</v>
      </c>
      <c r="K312"/>
      <c r="L312"/>
      <c r="M312"/>
      <c r="N312"/>
      <c r="O312"/>
      <c r="P312"/>
      <c r="Q312"/>
      <c r="R312"/>
      <c r="S312"/>
      <c r="T312"/>
      <c r="U312"/>
      <c r="V312"/>
      <c r="W312"/>
      <c r="X312"/>
      <c r="Y312"/>
      <c r="Z312"/>
      <c r="AA312"/>
      <c r="AB312"/>
      <c r="AC312"/>
    </row>
    <row r="313" spans="1:29" ht="15.75">
      <c r="A313" s="28"/>
      <c r="B313" s="346">
        <f t="shared" si="36"/>
        <v>277</v>
      </c>
      <c r="C313" s="347">
        <f t="shared" si="37"/>
        <v>0</v>
      </c>
      <c r="D313" s="347">
        <f t="shared" si="38"/>
        <v>0</v>
      </c>
      <c r="E313" s="347">
        <f t="shared" si="39"/>
        <v>0</v>
      </c>
      <c r="F313" s="347">
        <f t="shared" si="40"/>
        <v>399999.99999999965</v>
      </c>
      <c r="G313" s="347">
        <f t="shared" si="41"/>
        <v>0</v>
      </c>
      <c r="H313" s="347">
        <f t="shared" si="42"/>
        <v>380617.22096331924</v>
      </c>
      <c r="I313" s="347">
        <f t="shared" si="43"/>
        <v>0</v>
      </c>
      <c r="J313" s="347">
        <f t="shared" si="44"/>
        <v>0</v>
      </c>
      <c r="K313"/>
      <c r="L313"/>
      <c r="M313"/>
      <c r="N313"/>
      <c r="O313"/>
      <c r="P313"/>
      <c r="Q313"/>
      <c r="R313"/>
      <c r="S313"/>
      <c r="T313"/>
      <c r="U313"/>
      <c r="V313"/>
      <c r="W313"/>
      <c r="X313"/>
      <c r="Y313"/>
      <c r="Z313"/>
      <c r="AA313"/>
      <c r="AB313"/>
      <c r="AC313"/>
    </row>
    <row r="314" spans="1:29" ht="15.75">
      <c r="A314" s="28"/>
      <c r="B314" s="346">
        <f t="shared" si="36"/>
        <v>278</v>
      </c>
      <c r="C314" s="347">
        <f t="shared" si="37"/>
        <v>0</v>
      </c>
      <c r="D314" s="347">
        <f t="shared" si="38"/>
        <v>0</v>
      </c>
      <c r="E314" s="347">
        <f t="shared" si="39"/>
        <v>0</v>
      </c>
      <c r="F314" s="347">
        <f t="shared" si="40"/>
        <v>399999.99999999965</v>
      </c>
      <c r="G314" s="347">
        <f t="shared" si="41"/>
        <v>0</v>
      </c>
      <c r="H314" s="347">
        <f t="shared" si="42"/>
        <v>380617.22096331924</v>
      </c>
      <c r="I314" s="347">
        <f t="shared" si="43"/>
        <v>0</v>
      </c>
      <c r="J314" s="347">
        <f t="shared" si="44"/>
        <v>0</v>
      </c>
      <c r="K314"/>
      <c r="L314"/>
      <c r="M314"/>
      <c r="N314"/>
      <c r="O314"/>
      <c r="P314"/>
      <c r="Q314"/>
      <c r="R314"/>
      <c r="S314"/>
      <c r="T314"/>
      <c r="U314"/>
      <c r="V314"/>
      <c r="W314"/>
      <c r="X314"/>
      <c r="Y314"/>
      <c r="Z314"/>
      <c r="AA314"/>
      <c r="AB314"/>
      <c r="AC314"/>
    </row>
    <row r="315" spans="1:29" ht="15.75">
      <c r="A315" s="28"/>
      <c r="B315" s="346">
        <f t="shared" si="36"/>
        <v>279</v>
      </c>
      <c r="C315" s="347">
        <f t="shared" si="37"/>
        <v>0</v>
      </c>
      <c r="D315" s="347">
        <f t="shared" si="38"/>
        <v>0</v>
      </c>
      <c r="E315" s="347">
        <f t="shared" si="39"/>
        <v>0</v>
      </c>
      <c r="F315" s="347">
        <f t="shared" si="40"/>
        <v>399999.99999999965</v>
      </c>
      <c r="G315" s="347">
        <f t="shared" si="41"/>
        <v>0</v>
      </c>
      <c r="H315" s="347">
        <f t="shared" si="42"/>
        <v>380617.22096331924</v>
      </c>
      <c r="I315" s="347">
        <f t="shared" si="43"/>
        <v>0</v>
      </c>
      <c r="J315" s="347">
        <f t="shared" si="44"/>
        <v>0</v>
      </c>
      <c r="K315"/>
      <c r="L315"/>
      <c r="M315"/>
      <c r="N315"/>
      <c r="O315"/>
      <c r="P315"/>
      <c r="Q315"/>
      <c r="R315"/>
      <c r="S315"/>
      <c r="T315"/>
      <c r="U315"/>
      <c r="V315"/>
      <c r="W315"/>
      <c r="X315"/>
      <c r="Y315"/>
      <c r="Z315"/>
      <c r="AA315"/>
      <c r="AB315"/>
      <c r="AC315"/>
    </row>
    <row r="316" spans="1:29" ht="15.75">
      <c r="A316" s="28"/>
      <c r="B316" s="346">
        <f t="shared" si="36"/>
        <v>280</v>
      </c>
      <c r="C316" s="347">
        <f t="shared" si="37"/>
        <v>0</v>
      </c>
      <c r="D316" s="347">
        <f t="shared" si="38"/>
        <v>0</v>
      </c>
      <c r="E316" s="347">
        <f t="shared" si="39"/>
        <v>0</v>
      </c>
      <c r="F316" s="347">
        <f t="shared" si="40"/>
        <v>399999.99999999965</v>
      </c>
      <c r="G316" s="347">
        <f t="shared" si="41"/>
        <v>0</v>
      </c>
      <c r="H316" s="347">
        <f t="shared" si="42"/>
        <v>380617.22096331924</v>
      </c>
      <c r="I316" s="347">
        <f t="shared" si="43"/>
        <v>0</v>
      </c>
      <c r="J316" s="347">
        <f t="shared" si="44"/>
        <v>0</v>
      </c>
      <c r="K316"/>
      <c r="L316"/>
      <c r="M316"/>
      <c r="N316"/>
      <c r="O316"/>
      <c r="P316"/>
      <c r="Q316"/>
      <c r="R316"/>
      <c r="S316"/>
      <c r="T316"/>
      <c r="U316"/>
      <c r="V316"/>
      <c r="W316"/>
      <c r="X316"/>
      <c r="Y316"/>
      <c r="Z316"/>
      <c r="AA316"/>
      <c r="AB316"/>
      <c r="AC316"/>
    </row>
    <row r="317" spans="1:29" ht="15.75">
      <c r="A317" s="28"/>
      <c r="B317" s="346">
        <f t="shared" si="36"/>
        <v>281</v>
      </c>
      <c r="C317" s="347">
        <f t="shared" si="37"/>
        <v>0</v>
      </c>
      <c r="D317" s="347">
        <f t="shared" si="38"/>
        <v>0</v>
      </c>
      <c r="E317" s="347">
        <f t="shared" si="39"/>
        <v>0</v>
      </c>
      <c r="F317" s="347">
        <f t="shared" si="40"/>
        <v>399999.99999999965</v>
      </c>
      <c r="G317" s="347">
        <f t="shared" si="41"/>
        <v>0</v>
      </c>
      <c r="H317" s="347">
        <f t="shared" si="42"/>
        <v>380617.22096331924</v>
      </c>
      <c r="I317" s="347">
        <f t="shared" si="43"/>
        <v>0</v>
      </c>
      <c r="J317" s="347">
        <f t="shared" si="44"/>
        <v>0</v>
      </c>
      <c r="K317"/>
      <c r="L317"/>
      <c r="M317"/>
      <c r="N317"/>
      <c r="O317"/>
      <c r="P317"/>
      <c r="Q317"/>
      <c r="R317"/>
      <c r="S317"/>
      <c r="T317"/>
      <c r="U317"/>
      <c r="V317"/>
      <c r="W317"/>
      <c r="X317"/>
      <c r="Y317"/>
      <c r="Z317"/>
      <c r="AA317"/>
      <c r="AB317"/>
      <c r="AC317"/>
    </row>
    <row r="318" spans="1:29" ht="15.75">
      <c r="A318" s="28"/>
      <c r="B318" s="346">
        <f t="shared" si="36"/>
        <v>282</v>
      </c>
      <c r="C318" s="347">
        <f t="shared" si="37"/>
        <v>0</v>
      </c>
      <c r="D318" s="347">
        <f t="shared" si="38"/>
        <v>0</v>
      </c>
      <c r="E318" s="347">
        <f t="shared" si="39"/>
        <v>0</v>
      </c>
      <c r="F318" s="347">
        <f t="shared" si="40"/>
        <v>399999.99999999965</v>
      </c>
      <c r="G318" s="347">
        <f t="shared" si="41"/>
        <v>0</v>
      </c>
      <c r="H318" s="347">
        <f t="shared" si="42"/>
        <v>380617.22096331924</v>
      </c>
      <c r="I318" s="347">
        <f t="shared" si="43"/>
        <v>0</v>
      </c>
      <c r="J318" s="347">
        <f t="shared" si="44"/>
        <v>0</v>
      </c>
      <c r="K318"/>
      <c r="L318"/>
      <c r="M318"/>
      <c r="N318"/>
      <c r="O318"/>
      <c r="P318"/>
      <c r="Q318"/>
      <c r="R318"/>
      <c r="S318"/>
      <c r="T318"/>
      <c r="U318"/>
      <c r="V318"/>
      <c r="W318"/>
      <c r="X318"/>
      <c r="Y318"/>
      <c r="Z318"/>
      <c r="AA318"/>
      <c r="AB318"/>
      <c r="AC318"/>
    </row>
    <row r="319" spans="1:29" ht="15.75">
      <c r="A319" s="28"/>
      <c r="B319" s="346">
        <f t="shared" si="36"/>
        <v>283</v>
      </c>
      <c r="C319" s="347">
        <f t="shared" si="37"/>
        <v>0</v>
      </c>
      <c r="D319" s="347">
        <f t="shared" si="38"/>
        <v>0</v>
      </c>
      <c r="E319" s="347">
        <f t="shared" si="39"/>
        <v>0</v>
      </c>
      <c r="F319" s="347">
        <f t="shared" si="40"/>
        <v>399999.99999999965</v>
      </c>
      <c r="G319" s="347">
        <f t="shared" si="41"/>
        <v>0</v>
      </c>
      <c r="H319" s="347">
        <f t="shared" si="42"/>
        <v>380617.22096331924</v>
      </c>
      <c r="I319" s="347">
        <f t="shared" si="43"/>
        <v>0</v>
      </c>
      <c r="J319" s="347">
        <f t="shared" si="44"/>
        <v>0</v>
      </c>
      <c r="K319"/>
      <c r="L319"/>
      <c r="M319"/>
      <c r="N319"/>
      <c r="O319"/>
      <c r="P319"/>
      <c r="Q319"/>
      <c r="R319"/>
      <c r="S319"/>
      <c r="T319"/>
      <c r="U319"/>
      <c r="V319"/>
      <c r="W319"/>
      <c r="X319"/>
      <c r="Y319"/>
      <c r="Z319"/>
      <c r="AA319"/>
      <c r="AB319"/>
      <c r="AC319"/>
    </row>
    <row r="320" spans="1:29" ht="15.75">
      <c r="A320" s="28"/>
      <c r="B320" s="346">
        <f t="shared" si="36"/>
        <v>284</v>
      </c>
      <c r="C320" s="347">
        <f t="shared" si="37"/>
        <v>0</v>
      </c>
      <c r="D320" s="347">
        <f t="shared" si="38"/>
        <v>0</v>
      </c>
      <c r="E320" s="347">
        <f t="shared" si="39"/>
        <v>0</v>
      </c>
      <c r="F320" s="347">
        <f t="shared" si="40"/>
        <v>399999.99999999965</v>
      </c>
      <c r="G320" s="347">
        <f t="shared" si="41"/>
        <v>0</v>
      </c>
      <c r="H320" s="347">
        <f t="shared" si="42"/>
        <v>380617.22096331924</v>
      </c>
      <c r="I320" s="347">
        <f t="shared" si="43"/>
        <v>0</v>
      </c>
      <c r="J320" s="347">
        <f t="shared" si="44"/>
        <v>0</v>
      </c>
      <c r="K320"/>
      <c r="L320"/>
      <c r="M320"/>
      <c r="N320"/>
      <c r="O320"/>
      <c r="P320"/>
      <c r="Q320"/>
      <c r="R320"/>
      <c r="S320"/>
      <c r="T320"/>
      <c r="U320"/>
      <c r="V320"/>
      <c r="W320"/>
      <c r="X320"/>
      <c r="Y320"/>
      <c r="Z320"/>
      <c r="AA320"/>
      <c r="AB320"/>
      <c r="AC320"/>
    </row>
    <row r="321" spans="1:29" ht="15.75">
      <c r="A321" s="28"/>
      <c r="B321" s="346">
        <f t="shared" si="36"/>
        <v>285</v>
      </c>
      <c r="C321" s="347">
        <f t="shared" si="37"/>
        <v>0</v>
      </c>
      <c r="D321" s="347">
        <f t="shared" si="38"/>
        <v>0</v>
      </c>
      <c r="E321" s="347">
        <f t="shared" si="39"/>
        <v>0</v>
      </c>
      <c r="F321" s="347">
        <f t="shared" si="40"/>
        <v>399999.99999999965</v>
      </c>
      <c r="G321" s="347">
        <f t="shared" si="41"/>
        <v>0</v>
      </c>
      <c r="H321" s="347">
        <f t="shared" si="42"/>
        <v>380617.22096331924</v>
      </c>
      <c r="I321" s="347">
        <f t="shared" si="43"/>
        <v>0</v>
      </c>
      <c r="J321" s="347">
        <f t="shared" si="44"/>
        <v>0</v>
      </c>
      <c r="K321"/>
      <c r="L321"/>
      <c r="M321"/>
      <c r="N321"/>
      <c r="O321"/>
      <c r="P321"/>
      <c r="Q321"/>
      <c r="R321"/>
      <c r="S321"/>
      <c r="T321"/>
      <c r="U321"/>
      <c r="V321"/>
      <c r="W321"/>
      <c r="X321"/>
      <c r="Y321"/>
      <c r="Z321"/>
      <c r="AA321"/>
      <c r="AB321"/>
      <c r="AC321"/>
    </row>
    <row r="322" spans="1:29" ht="15.75">
      <c r="A322" s="28"/>
      <c r="B322" s="346">
        <f t="shared" si="36"/>
        <v>286</v>
      </c>
      <c r="C322" s="347">
        <f t="shared" si="37"/>
        <v>0</v>
      </c>
      <c r="D322" s="347">
        <f t="shared" si="38"/>
        <v>0</v>
      </c>
      <c r="E322" s="347">
        <f t="shared" si="39"/>
        <v>0</v>
      </c>
      <c r="F322" s="347">
        <f t="shared" si="40"/>
        <v>399999.99999999965</v>
      </c>
      <c r="G322" s="347">
        <f t="shared" si="41"/>
        <v>0</v>
      </c>
      <c r="H322" s="347">
        <f t="shared" si="42"/>
        <v>380617.22096331924</v>
      </c>
      <c r="I322" s="347">
        <f t="shared" si="43"/>
        <v>0</v>
      </c>
      <c r="J322" s="347">
        <f t="shared" si="44"/>
        <v>0</v>
      </c>
      <c r="K322"/>
      <c r="L322"/>
      <c r="M322"/>
      <c r="N322"/>
      <c r="O322"/>
      <c r="P322"/>
      <c r="Q322"/>
      <c r="R322"/>
      <c r="S322"/>
      <c r="T322"/>
      <c r="U322"/>
      <c r="V322"/>
      <c r="W322"/>
      <c r="X322"/>
      <c r="Y322"/>
      <c r="Z322"/>
      <c r="AA322"/>
      <c r="AB322"/>
      <c r="AC322"/>
    </row>
    <row r="323" spans="1:29" ht="15.75">
      <c r="A323" s="28"/>
      <c r="B323" s="346">
        <f t="shared" si="36"/>
        <v>287</v>
      </c>
      <c r="C323" s="347">
        <f t="shared" si="37"/>
        <v>0</v>
      </c>
      <c r="D323" s="347">
        <f t="shared" si="38"/>
        <v>0</v>
      </c>
      <c r="E323" s="347">
        <f t="shared" si="39"/>
        <v>0</v>
      </c>
      <c r="F323" s="347">
        <f t="shared" si="40"/>
        <v>399999.99999999965</v>
      </c>
      <c r="G323" s="347">
        <f t="shared" si="41"/>
        <v>0</v>
      </c>
      <c r="H323" s="347">
        <f t="shared" si="42"/>
        <v>380617.22096331924</v>
      </c>
      <c r="I323" s="347">
        <f t="shared" si="43"/>
        <v>0</v>
      </c>
      <c r="J323" s="347">
        <f t="shared" si="44"/>
        <v>0</v>
      </c>
      <c r="K323"/>
      <c r="L323"/>
      <c r="M323"/>
      <c r="N323"/>
      <c r="O323"/>
      <c r="P323"/>
      <c r="Q323"/>
      <c r="R323"/>
      <c r="S323"/>
      <c r="T323"/>
      <c r="U323"/>
      <c r="V323"/>
      <c r="W323"/>
      <c r="X323"/>
      <c r="Y323"/>
      <c r="Z323"/>
      <c r="AA323"/>
      <c r="AB323"/>
      <c r="AC323"/>
    </row>
    <row r="324" spans="1:29" ht="15.75">
      <c r="A324" s="28"/>
      <c r="B324" s="346">
        <f t="shared" si="36"/>
        <v>288</v>
      </c>
      <c r="C324" s="347">
        <f t="shared" si="37"/>
        <v>0</v>
      </c>
      <c r="D324" s="347">
        <f t="shared" si="38"/>
        <v>0</v>
      </c>
      <c r="E324" s="347">
        <f t="shared" si="39"/>
        <v>0</v>
      </c>
      <c r="F324" s="347">
        <f t="shared" si="40"/>
        <v>399999.99999999965</v>
      </c>
      <c r="G324" s="347">
        <f t="shared" si="41"/>
        <v>0</v>
      </c>
      <c r="H324" s="347">
        <f t="shared" si="42"/>
        <v>380617.22096331924</v>
      </c>
      <c r="I324" s="347">
        <f t="shared" si="43"/>
        <v>0</v>
      </c>
      <c r="J324" s="347">
        <f t="shared" si="44"/>
        <v>0</v>
      </c>
      <c r="K324"/>
      <c r="L324"/>
      <c r="M324"/>
      <c r="N324"/>
      <c r="O324"/>
      <c r="P324"/>
      <c r="Q324"/>
      <c r="R324"/>
      <c r="S324"/>
      <c r="T324"/>
      <c r="U324"/>
      <c r="V324"/>
      <c r="W324"/>
      <c r="X324"/>
      <c r="Y324"/>
      <c r="Z324"/>
      <c r="AA324"/>
      <c r="AB324"/>
      <c r="AC324"/>
    </row>
    <row r="325" spans="1:29" ht="15.75">
      <c r="A325" s="28"/>
      <c r="B325" s="346">
        <f t="shared" si="36"/>
        <v>289</v>
      </c>
      <c r="C325" s="347">
        <f t="shared" si="37"/>
        <v>0</v>
      </c>
      <c r="D325" s="347">
        <f t="shared" si="38"/>
        <v>0</v>
      </c>
      <c r="E325" s="347">
        <f t="shared" si="39"/>
        <v>0</v>
      </c>
      <c r="F325" s="347">
        <f t="shared" si="40"/>
        <v>399999.99999999965</v>
      </c>
      <c r="G325" s="347">
        <f t="shared" si="41"/>
        <v>0</v>
      </c>
      <c r="H325" s="347">
        <f t="shared" si="42"/>
        <v>380617.22096331924</v>
      </c>
      <c r="I325" s="347">
        <f t="shared" si="43"/>
        <v>0</v>
      </c>
      <c r="J325" s="347">
        <f t="shared" si="44"/>
        <v>0</v>
      </c>
      <c r="K325"/>
      <c r="L325"/>
      <c r="M325"/>
      <c r="N325"/>
      <c r="O325"/>
      <c r="P325"/>
      <c r="Q325"/>
      <c r="R325"/>
      <c r="S325"/>
      <c r="T325"/>
      <c r="U325"/>
      <c r="V325"/>
      <c r="W325"/>
      <c r="X325"/>
      <c r="Y325"/>
      <c r="Z325"/>
      <c r="AA325"/>
      <c r="AB325"/>
      <c r="AC325"/>
    </row>
    <row r="326" spans="1:29" ht="15.75">
      <c r="A326" s="28"/>
      <c r="B326" s="346">
        <f t="shared" si="36"/>
        <v>290</v>
      </c>
      <c r="C326" s="347">
        <f t="shared" si="37"/>
        <v>0</v>
      </c>
      <c r="D326" s="347">
        <f t="shared" si="38"/>
        <v>0</v>
      </c>
      <c r="E326" s="347">
        <f t="shared" si="39"/>
        <v>0</v>
      </c>
      <c r="F326" s="347">
        <f t="shared" si="40"/>
        <v>399999.99999999965</v>
      </c>
      <c r="G326" s="347">
        <f t="shared" si="41"/>
        <v>0</v>
      </c>
      <c r="H326" s="347">
        <f t="shared" si="42"/>
        <v>380617.22096331924</v>
      </c>
      <c r="I326" s="347">
        <f t="shared" si="43"/>
        <v>0</v>
      </c>
      <c r="J326" s="347">
        <f t="shared" si="44"/>
        <v>0</v>
      </c>
      <c r="K326"/>
      <c r="L326"/>
      <c r="M326"/>
      <c r="N326"/>
      <c r="O326"/>
      <c r="P326"/>
      <c r="Q326"/>
      <c r="R326"/>
      <c r="S326"/>
      <c r="T326"/>
      <c r="U326"/>
      <c r="V326"/>
      <c r="W326"/>
      <c r="X326"/>
      <c r="Y326"/>
      <c r="Z326"/>
      <c r="AA326"/>
      <c r="AB326"/>
      <c r="AC326"/>
    </row>
    <row r="327" spans="1:29" ht="15.75">
      <c r="A327" s="28"/>
      <c r="B327" s="346">
        <f t="shared" si="36"/>
        <v>291</v>
      </c>
      <c r="C327" s="347">
        <f t="shared" si="37"/>
        <v>0</v>
      </c>
      <c r="D327" s="347">
        <f t="shared" si="38"/>
        <v>0</v>
      </c>
      <c r="E327" s="347">
        <f t="shared" si="39"/>
        <v>0</v>
      </c>
      <c r="F327" s="347">
        <f t="shared" si="40"/>
        <v>399999.99999999965</v>
      </c>
      <c r="G327" s="347">
        <f t="shared" si="41"/>
        <v>0</v>
      </c>
      <c r="H327" s="347">
        <f t="shared" si="42"/>
        <v>380617.22096331924</v>
      </c>
      <c r="I327" s="347">
        <f t="shared" si="43"/>
        <v>0</v>
      </c>
      <c r="J327" s="347">
        <f t="shared" si="44"/>
        <v>0</v>
      </c>
      <c r="K327"/>
      <c r="L327"/>
      <c r="M327"/>
      <c r="N327"/>
      <c r="O327"/>
      <c r="P327"/>
      <c r="Q327"/>
      <c r="R327"/>
      <c r="S327"/>
      <c r="T327"/>
      <c r="U327"/>
      <c r="V327"/>
      <c r="W327"/>
      <c r="X327"/>
      <c r="Y327"/>
      <c r="Z327"/>
      <c r="AA327"/>
      <c r="AB327"/>
      <c r="AC327"/>
    </row>
    <row r="328" spans="1:29" ht="15.75">
      <c r="A328" s="28"/>
      <c r="B328" s="346">
        <f t="shared" si="36"/>
        <v>292</v>
      </c>
      <c r="C328" s="347">
        <f t="shared" si="37"/>
        <v>0</v>
      </c>
      <c r="D328" s="347">
        <f t="shared" si="38"/>
        <v>0</v>
      </c>
      <c r="E328" s="347">
        <f t="shared" si="39"/>
        <v>0</v>
      </c>
      <c r="F328" s="347">
        <f t="shared" si="40"/>
        <v>399999.99999999965</v>
      </c>
      <c r="G328" s="347">
        <f t="shared" si="41"/>
        <v>0</v>
      </c>
      <c r="H328" s="347">
        <f t="shared" si="42"/>
        <v>380617.22096331924</v>
      </c>
      <c r="I328" s="347">
        <f t="shared" si="43"/>
        <v>0</v>
      </c>
      <c r="J328" s="347">
        <f t="shared" si="44"/>
        <v>0</v>
      </c>
      <c r="K328"/>
      <c r="L328"/>
      <c r="M328"/>
      <c r="N328"/>
      <c r="O328"/>
      <c r="P328"/>
      <c r="Q328"/>
      <c r="R328"/>
      <c r="S328"/>
      <c r="T328"/>
      <c r="U328"/>
      <c r="V328"/>
      <c r="W328"/>
      <c r="X328"/>
      <c r="Y328"/>
      <c r="Z328"/>
      <c r="AA328"/>
      <c r="AB328"/>
      <c r="AC328"/>
    </row>
    <row r="329" spans="1:29" ht="15.75">
      <c r="A329" s="28"/>
      <c r="B329" s="346">
        <f t="shared" si="36"/>
        <v>293</v>
      </c>
      <c r="C329" s="347">
        <f t="shared" si="37"/>
        <v>0</v>
      </c>
      <c r="D329" s="347">
        <f t="shared" si="38"/>
        <v>0</v>
      </c>
      <c r="E329" s="347">
        <f t="shared" si="39"/>
        <v>0</v>
      </c>
      <c r="F329" s="347">
        <f t="shared" si="40"/>
        <v>399999.99999999965</v>
      </c>
      <c r="G329" s="347">
        <f t="shared" si="41"/>
        <v>0</v>
      </c>
      <c r="H329" s="347">
        <f t="shared" si="42"/>
        <v>380617.22096331924</v>
      </c>
      <c r="I329" s="347">
        <f t="shared" si="43"/>
        <v>0</v>
      </c>
      <c r="J329" s="347">
        <f t="shared" si="44"/>
        <v>0</v>
      </c>
      <c r="K329"/>
      <c r="L329"/>
      <c r="M329"/>
      <c r="N329"/>
      <c r="O329"/>
      <c r="P329"/>
      <c r="Q329"/>
      <c r="R329"/>
      <c r="S329"/>
      <c r="T329"/>
      <c r="U329"/>
      <c r="V329"/>
      <c r="W329"/>
      <c r="X329"/>
      <c r="Y329"/>
      <c r="Z329"/>
      <c r="AA329"/>
      <c r="AB329"/>
      <c r="AC329"/>
    </row>
    <row r="330" spans="1:29" ht="15.75">
      <c r="A330" s="28"/>
      <c r="B330" s="346">
        <f t="shared" si="36"/>
        <v>294</v>
      </c>
      <c r="C330" s="347">
        <f t="shared" si="37"/>
        <v>0</v>
      </c>
      <c r="D330" s="347">
        <f t="shared" si="38"/>
        <v>0</v>
      </c>
      <c r="E330" s="347">
        <f t="shared" si="39"/>
        <v>0</v>
      </c>
      <c r="F330" s="347">
        <f t="shared" si="40"/>
        <v>399999.99999999965</v>
      </c>
      <c r="G330" s="347">
        <f t="shared" si="41"/>
        <v>0</v>
      </c>
      <c r="H330" s="347">
        <f t="shared" si="42"/>
        <v>380617.22096331924</v>
      </c>
      <c r="I330" s="347">
        <f t="shared" si="43"/>
        <v>0</v>
      </c>
      <c r="J330" s="347">
        <f t="shared" si="44"/>
        <v>0</v>
      </c>
      <c r="K330"/>
      <c r="L330"/>
      <c r="M330"/>
      <c r="N330"/>
      <c r="O330"/>
      <c r="P330"/>
      <c r="Q330"/>
      <c r="R330"/>
      <c r="S330"/>
      <c r="T330"/>
      <c r="U330"/>
      <c r="V330"/>
      <c r="W330"/>
      <c r="X330"/>
      <c r="Y330"/>
      <c r="Z330"/>
      <c r="AA330"/>
      <c r="AB330"/>
      <c r="AC330"/>
    </row>
    <row r="331" spans="1:29" ht="15.75">
      <c r="A331" s="28"/>
      <c r="B331" s="346">
        <f t="shared" si="36"/>
        <v>295</v>
      </c>
      <c r="C331" s="347">
        <f t="shared" si="37"/>
        <v>0</v>
      </c>
      <c r="D331" s="347">
        <f t="shared" si="38"/>
        <v>0</v>
      </c>
      <c r="E331" s="347">
        <f t="shared" si="39"/>
        <v>0</v>
      </c>
      <c r="F331" s="347">
        <f t="shared" si="40"/>
        <v>399999.99999999965</v>
      </c>
      <c r="G331" s="347">
        <f t="shared" si="41"/>
        <v>0</v>
      </c>
      <c r="H331" s="347">
        <f t="shared" si="42"/>
        <v>380617.22096331924</v>
      </c>
      <c r="I331" s="347">
        <f t="shared" si="43"/>
        <v>0</v>
      </c>
      <c r="J331" s="347">
        <f t="shared" si="44"/>
        <v>0</v>
      </c>
      <c r="K331"/>
      <c r="L331"/>
      <c r="M331"/>
      <c r="N331"/>
      <c r="O331"/>
      <c r="P331"/>
      <c r="Q331"/>
      <c r="R331"/>
      <c r="S331"/>
      <c r="T331"/>
      <c r="U331"/>
      <c r="V331"/>
      <c r="W331"/>
      <c r="X331"/>
      <c r="Y331"/>
      <c r="Z331"/>
      <c r="AA331"/>
      <c r="AB331"/>
      <c r="AC331"/>
    </row>
    <row r="332" spans="1:29" ht="15.75">
      <c r="A332" s="28"/>
      <c r="B332" s="346">
        <f t="shared" si="36"/>
        <v>296</v>
      </c>
      <c r="C332" s="347">
        <f t="shared" si="37"/>
        <v>0</v>
      </c>
      <c r="D332" s="347">
        <f t="shared" si="38"/>
        <v>0</v>
      </c>
      <c r="E332" s="347">
        <f t="shared" si="39"/>
        <v>0</v>
      </c>
      <c r="F332" s="347">
        <f t="shared" si="40"/>
        <v>399999.99999999965</v>
      </c>
      <c r="G332" s="347">
        <f t="shared" si="41"/>
        <v>0</v>
      </c>
      <c r="H332" s="347">
        <f t="shared" si="42"/>
        <v>380617.22096331924</v>
      </c>
      <c r="I332" s="347">
        <f t="shared" si="43"/>
        <v>0</v>
      </c>
      <c r="J332" s="347">
        <f t="shared" si="44"/>
        <v>0</v>
      </c>
      <c r="K332"/>
      <c r="L332"/>
      <c r="M332"/>
      <c r="N332"/>
      <c r="O332"/>
      <c r="P332"/>
      <c r="Q332"/>
      <c r="R332"/>
      <c r="S332"/>
      <c r="T332"/>
      <c r="U332"/>
      <c r="V332"/>
      <c r="W332"/>
      <c r="X332"/>
      <c r="Y332"/>
      <c r="Z332"/>
      <c r="AA332"/>
      <c r="AB332"/>
      <c r="AC332"/>
    </row>
    <row r="333" spans="1:29" ht="15.75">
      <c r="A333" s="28"/>
      <c r="B333" s="346">
        <f t="shared" si="36"/>
        <v>297</v>
      </c>
      <c r="C333" s="347">
        <f t="shared" si="37"/>
        <v>0</v>
      </c>
      <c r="D333" s="347">
        <f t="shared" si="38"/>
        <v>0</v>
      </c>
      <c r="E333" s="347">
        <f t="shared" si="39"/>
        <v>0</v>
      </c>
      <c r="F333" s="347">
        <f t="shared" si="40"/>
        <v>399999.99999999965</v>
      </c>
      <c r="G333" s="347">
        <f t="shared" si="41"/>
        <v>0</v>
      </c>
      <c r="H333" s="347">
        <f t="shared" si="42"/>
        <v>380617.22096331924</v>
      </c>
      <c r="I333" s="347">
        <f t="shared" si="43"/>
        <v>0</v>
      </c>
      <c r="J333" s="347">
        <f t="shared" si="44"/>
        <v>0</v>
      </c>
      <c r="K333"/>
      <c r="L333"/>
      <c r="M333"/>
      <c r="N333"/>
      <c r="O333"/>
      <c r="P333"/>
      <c r="Q333"/>
      <c r="R333"/>
      <c r="S333"/>
      <c r="T333"/>
      <c r="U333"/>
      <c r="V333"/>
      <c r="W333"/>
      <c r="X333"/>
      <c r="Y333"/>
      <c r="Z333"/>
      <c r="AA333"/>
      <c r="AB333"/>
      <c r="AC333"/>
    </row>
    <row r="334" spans="1:29" ht="15.75">
      <c r="A334" s="28"/>
      <c r="B334" s="346">
        <f t="shared" si="36"/>
        <v>298</v>
      </c>
      <c r="C334" s="347">
        <f t="shared" si="37"/>
        <v>0</v>
      </c>
      <c r="D334" s="347">
        <f t="shared" si="38"/>
        <v>0</v>
      </c>
      <c r="E334" s="347">
        <f t="shared" si="39"/>
        <v>0</v>
      </c>
      <c r="F334" s="347">
        <f t="shared" si="40"/>
        <v>399999.99999999965</v>
      </c>
      <c r="G334" s="347">
        <f t="shared" si="41"/>
        <v>0</v>
      </c>
      <c r="H334" s="347">
        <f t="shared" si="42"/>
        <v>380617.22096331924</v>
      </c>
      <c r="I334" s="347">
        <f t="shared" si="43"/>
        <v>0</v>
      </c>
      <c r="J334" s="347">
        <f t="shared" si="44"/>
        <v>0</v>
      </c>
      <c r="K334"/>
      <c r="L334"/>
      <c r="M334"/>
      <c r="N334"/>
      <c r="O334"/>
      <c r="P334"/>
      <c r="Q334"/>
      <c r="R334"/>
      <c r="S334"/>
      <c r="T334"/>
      <c r="U334"/>
      <c r="V334"/>
      <c r="W334"/>
      <c r="X334"/>
      <c r="Y334"/>
      <c r="Z334"/>
      <c r="AA334"/>
      <c r="AB334"/>
      <c r="AC334"/>
    </row>
    <row r="335" spans="1:29" ht="15.75">
      <c r="A335" s="28"/>
      <c r="B335" s="346">
        <f t="shared" si="36"/>
        <v>299</v>
      </c>
      <c r="C335" s="347">
        <f t="shared" si="37"/>
        <v>0</v>
      </c>
      <c r="D335" s="347">
        <f t="shared" si="38"/>
        <v>0</v>
      </c>
      <c r="E335" s="347">
        <f t="shared" si="39"/>
        <v>0</v>
      </c>
      <c r="F335" s="347">
        <f t="shared" si="40"/>
        <v>399999.99999999965</v>
      </c>
      <c r="G335" s="347">
        <f t="shared" si="41"/>
        <v>0</v>
      </c>
      <c r="H335" s="347">
        <f t="shared" si="42"/>
        <v>380617.22096331924</v>
      </c>
      <c r="I335" s="347">
        <f t="shared" si="43"/>
        <v>0</v>
      </c>
      <c r="J335" s="347">
        <f t="shared" si="44"/>
        <v>0</v>
      </c>
      <c r="K335"/>
      <c r="L335"/>
      <c r="M335"/>
      <c r="N335"/>
      <c r="O335"/>
      <c r="P335"/>
      <c r="Q335"/>
      <c r="R335"/>
      <c r="S335"/>
      <c r="T335"/>
      <c r="U335"/>
      <c r="V335"/>
      <c r="W335"/>
      <c r="X335"/>
      <c r="Y335"/>
      <c r="Z335"/>
      <c r="AA335"/>
      <c r="AB335"/>
      <c r="AC335"/>
    </row>
    <row r="336" spans="1:29" ht="15.75">
      <c r="A336" s="28"/>
      <c r="B336" s="346">
        <f t="shared" si="36"/>
        <v>300</v>
      </c>
      <c r="C336" s="347">
        <f t="shared" si="37"/>
        <v>0</v>
      </c>
      <c r="D336" s="347">
        <f t="shared" si="38"/>
        <v>0</v>
      </c>
      <c r="E336" s="347">
        <f t="shared" si="39"/>
        <v>0</v>
      </c>
      <c r="F336" s="347">
        <f t="shared" si="40"/>
        <v>399999.99999999965</v>
      </c>
      <c r="G336" s="347">
        <f t="shared" si="41"/>
        <v>0</v>
      </c>
      <c r="H336" s="347">
        <f t="shared" si="42"/>
        <v>380617.22096331924</v>
      </c>
      <c r="I336" s="347">
        <f t="shared" si="43"/>
        <v>0</v>
      </c>
      <c r="J336" s="347">
        <f t="shared" si="44"/>
        <v>0</v>
      </c>
      <c r="K336"/>
      <c r="L336"/>
      <c r="M336"/>
      <c r="N336"/>
      <c r="O336"/>
      <c r="P336"/>
      <c r="Q336"/>
      <c r="R336"/>
      <c r="S336"/>
      <c r="T336"/>
      <c r="U336"/>
      <c r="V336"/>
      <c r="W336"/>
      <c r="X336"/>
      <c r="Y336"/>
      <c r="Z336"/>
      <c r="AA336"/>
      <c r="AB336"/>
      <c r="AC336"/>
    </row>
    <row r="337" spans="1:29" ht="15.75">
      <c r="A337" s="28"/>
      <c r="B337" s="346">
        <f t="shared" si="36"/>
        <v>301</v>
      </c>
      <c r="C337" s="347">
        <f t="shared" si="37"/>
        <v>0</v>
      </c>
      <c r="D337" s="347">
        <f t="shared" si="38"/>
        <v>0</v>
      </c>
      <c r="E337" s="347">
        <f t="shared" si="39"/>
        <v>0</v>
      </c>
      <c r="F337" s="347">
        <f t="shared" si="40"/>
        <v>399999.99999999965</v>
      </c>
      <c r="G337" s="347">
        <f t="shared" si="41"/>
        <v>0</v>
      </c>
      <c r="H337" s="347">
        <f t="shared" si="42"/>
        <v>380617.22096331924</v>
      </c>
      <c r="I337" s="347">
        <f t="shared" si="43"/>
        <v>0</v>
      </c>
      <c r="J337" s="347">
        <f t="shared" si="44"/>
        <v>0</v>
      </c>
      <c r="K337"/>
      <c r="L337"/>
      <c r="M337"/>
      <c r="N337"/>
      <c r="O337"/>
      <c r="P337"/>
      <c r="Q337"/>
      <c r="R337"/>
      <c r="S337"/>
      <c r="T337"/>
      <c r="U337"/>
      <c r="V337"/>
      <c r="W337"/>
      <c r="X337"/>
      <c r="Y337"/>
      <c r="Z337"/>
      <c r="AA337"/>
      <c r="AB337"/>
      <c r="AC337"/>
    </row>
    <row r="338" spans="1:29" ht="15.75">
      <c r="A338" s="28"/>
      <c r="B338" s="346">
        <f t="shared" si="36"/>
        <v>302</v>
      </c>
      <c r="C338" s="347">
        <f t="shared" si="37"/>
        <v>0</v>
      </c>
      <c r="D338" s="347">
        <f t="shared" si="38"/>
        <v>0</v>
      </c>
      <c r="E338" s="347">
        <f t="shared" si="39"/>
        <v>0</v>
      </c>
      <c r="F338" s="347">
        <f t="shared" si="40"/>
        <v>399999.99999999965</v>
      </c>
      <c r="G338" s="347">
        <f t="shared" si="41"/>
        <v>0</v>
      </c>
      <c r="H338" s="347">
        <f t="shared" si="42"/>
        <v>380617.22096331924</v>
      </c>
      <c r="I338" s="347">
        <f t="shared" si="43"/>
        <v>0</v>
      </c>
      <c r="J338" s="347">
        <f t="shared" si="44"/>
        <v>0</v>
      </c>
      <c r="K338"/>
      <c r="L338"/>
      <c r="M338"/>
      <c r="N338"/>
      <c r="O338"/>
      <c r="P338"/>
      <c r="Q338"/>
      <c r="R338"/>
      <c r="S338"/>
      <c r="T338"/>
      <c r="U338"/>
      <c r="V338"/>
      <c r="W338"/>
      <c r="X338"/>
      <c r="Y338"/>
      <c r="Z338"/>
      <c r="AA338"/>
      <c r="AB338"/>
      <c r="AC338"/>
    </row>
    <row r="339" spans="1:29" ht="15.75">
      <c r="A339" s="28"/>
      <c r="B339" s="346">
        <f t="shared" si="36"/>
        <v>303</v>
      </c>
      <c r="C339" s="347">
        <f t="shared" si="37"/>
        <v>0</v>
      </c>
      <c r="D339" s="347">
        <f t="shared" si="38"/>
        <v>0</v>
      </c>
      <c r="E339" s="347">
        <f t="shared" si="39"/>
        <v>0</v>
      </c>
      <c r="F339" s="347">
        <f t="shared" si="40"/>
        <v>399999.99999999965</v>
      </c>
      <c r="G339" s="347">
        <f t="shared" si="41"/>
        <v>0</v>
      </c>
      <c r="H339" s="347">
        <f t="shared" si="42"/>
        <v>380617.22096331924</v>
      </c>
      <c r="I339" s="347">
        <f t="shared" si="43"/>
        <v>0</v>
      </c>
      <c r="J339" s="347">
        <f t="shared" si="44"/>
        <v>0</v>
      </c>
      <c r="K339"/>
      <c r="L339"/>
      <c r="M339"/>
      <c r="N339"/>
      <c r="O339"/>
      <c r="P339"/>
      <c r="Q339"/>
      <c r="R339"/>
      <c r="S339"/>
      <c r="T339"/>
      <c r="U339"/>
      <c r="V339"/>
      <c r="W339"/>
      <c r="X339"/>
      <c r="Y339"/>
      <c r="Z339"/>
      <c r="AA339"/>
      <c r="AB339"/>
      <c r="AC339"/>
    </row>
    <row r="340" spans="1:29" ht="15.75">
      <c r="A340" s="28"/>
      <c r="B340" s="346">
        <f t="shared" si="36"/>
        <v>304</v>
      </c>
      <c r="C340" s="347">
        <f t="shared" si="37"/>
        <v>0</v>
      </c>
      <c r="D340" s="347">
        <f t="shared" si="38"/>
        <v>0</v>
      </c>
      <c r="E340" s="347">
        <f t="shared" si="39"/>
        <v>0</v>
      </c>
      <c r="F340" s="347">
        <f t="shared" si="40"/>
        <v>399999.99999999965</v>
      </c>
      <c r="G340" s="347">
        <f t="shared" si="41"/>
        <v>0</v>
      </c>
      <c r="H340" s="347">
        <f t="shared" si="42"/>
        <v>380617.22096331924</v>
      </c>
      <c r="I340" s="347">
        <f t="shared" si="43"/>
        <v>0</v>
      </c>
      <c r="J340" s="347">
        <f t="shared" si="44"/>
        <v>0</v>
      </c>
      <c r="K340"/>
      <c r="L340"/>
      <c r="M340"/>
      <c r="N340"/>
      <c r="O340"/>
      <c r="P340"/>
      <c r="Q340"/>
      <c r="R340"/>
      <c r="S340"/>
      <c r="T340"/>
      <c r="U340"/>
      <c r="V340"/>
      <c r="W340"/>
      <c r="X340"/>
      <c r="Y340"/>
      <c r="Z340"/>
      <c r="AA340"/>
      <c r="AB340"/>
      <c r="AC340"/>
    </row>
    <row r="341" spans="1:29" ht="15.75">
      <c r="A341" s="28"/>
      <c r="B341" s="346">
        <f t="shared" si="36"/>
        <v>305</v>
      </c>
      <c r="C341" s="347">
        <f t="shared" si="37"/>
        <v>0</v>
      </c>
      <c r="D341" s="347">
        <f t="shared" si="38"/>
        <v>0</v>
      </c>
      <c r="E341" s="347">
        <f t="shared" si="39"/>
        <v>0</v>
      </c>
      <c r="F341" s="347">
        <f t="shared" si="40"/>
        <v>399999.99999999965</v>
      </c>
      <c r="G341" s="347">
        <f t="shared" si="41"/>
        <v>0</v>
      </c>
      <c r="H341" s="347">
        <f t="shared" si="42"/>
        <v>380617.22096331924</v>
      </c>
      <c r="I341" s="347">
        <f t="shared" si="43"/>
        <v>0</v>
      </c>
      <c r="J341" s="347">
        <f t="shared" si="44"/>
        <v>0</v>
      </c>
      <c r="K341"/>
      <c r="L341"/>
      <c r="M341"/>
      <c r="N341"/>
      <c r="O341"/>
      <c r="P341"/>
      <c r="Q341"/>
      <c r="R341"/>
      <c r="S341"/>
      <c r="T341"/>
      <c r="U341"/>
      <c r="V341"/>
      <c r="W341"/>
      <c r="X341"/>
      <c r="Y341"/>
      <c r="Z341"/>
      <c r="AA341"/>
      <c r="AB341"/>
      <c r="AC341"/>
    </row>
    <row r="342" spans="1:29" ht="15.75">
      <c r="A342" s="28"/>
      <c r="B342" s="346">
        <f t="shared" si="36"/>
        <v>306</v>
      </c>
      <c r="C342" s="347">
        <f t="shared" si="37"/>
        <v>0</v>
      </c>
      <c r="D342" s="347">
        <f t="shared" si="38"/>
        <v>0</v>
      </c>
      <c r="E342" s="347">
        <f t="shared" si="39"/>
        <v>0</v>
      </c>
      <c r="F342" s="347">
        <f t="shared" si="40"/>
        <v>399999.99999999965</v>
      </c>
      <c r="G342" s="347">
        <f t="shared" si="41"/>
        <v>0</v>
      </c>
      <c r="H342" s="347">
        <f t="shared" si="42"/>
        <v>380617.22096331924</v>
      </c>
      <c r="I342" s="347">
        <f t="shared" si="43"/>
        <v>0</v>
      </c>
      <c r="J342" s="347">
        <f t="shared" si="44"/>
        <v>0</v>
      </c>
      <c r="K342"/>
      <c r="L342"/>
      <c r="M342"/>
      <c r="N342"/>
      <c r="O342"/>
      <c r="P342"/>
      <c r="Q342"/>
      <c r="R342"/>
      <c r="S342"/>
      <c r="T342"/>
      <c r="U342"/>
      <c r="V342"/>
      <c r="W342"/>
      <c r="X342"/>
      <c r="Y342"/>
      <c r="Z342"/>
      <c r="AA342"/>
      <c r="AB342"/>
      <c r="AC342"/>
    </row>
    <row r="343" spans="1:29" ht="15.75">
      <c r="A343" s="28"/>
      <c r="B343" s="346">
        <f t="shared" si="36"/>
        <v>307</v>
      </c>
      <c r="C343" s="347">
        <f t="shared" si="37"/>
        <v>0</v>
      </c>
      <c r="D343" s="347">
        <f t="shared" si="38"/>
        <v>0</v>
      </c>
      <c r="E343" s="347">
        <f t="shared" si="39"/>
        <v>0</v>
      </c>
      <c r="F343" s="347">
        <f t="shared" si="40"/>
        <v>399999.99999999965</v>
      </c>
      <c r="G343" s="347">
        <f t="shared" si="41"/>
        <v>0</v>
      </c>
      <c r="H343" s="347">
        <f t="shared" si="42"/>
        <v>380617.22096331924</v>
      </c>
      <c r="I343" s="347">
        <f t="shared" si="43"/>
        <v>0</v>
      </c>
      <c r="J343" s="347">
        <f t="shared" si="44"/>
        <v>0</v>
      </c>
      <c r="K343"/>
      <c r="L343"/>
      <c r="M343"/>
      <c r="N343"/>
      <c r="O343"/>
      <c r="P343"/>
      <c r="Q343"/>
      <c r="R343"/>
      <c r="S343"/>
      <c r="T343"/>
      <c r="U343"/>
      <c r="V343"/>
      <c r="W343"/>
      <c r="X343"/>
      <c r="Y343"/>
      <c r="Z343"/>
      <c r="AA343"/>
      <c r="AB343"/>
      <c r="AC343"/>
    </row>
    <row r="344" spans="1:29" ht="15.75">
      <c r="A344" s="28"/>
      <c r="B344" s="346">
        <f t="shared" si="36"/>
        <v>308</v>
      </c>
      <c r="C344" s="347">
        <f t="shared" si="37"/>
        <v>0</v>
      </c>
      <c r="D344" s="347">
        <f t="shared" si="38"/>
        <v>0</v>
      </c>
      <c r="E344" s="347">
        <f t="shared" si="39"/>
        <v>0</v>
      </c>
      <c r="F344" s="347">
        <f t="shared" si="40"/>
        <v>399999.99999999965</v>
      </c>
      <c r="G344" s="347">
        <f t="shared" si="41"/>
        <v>0</v>
      </c>
      <c r="H344" s="347">
        <f t="shared" si="42"/>
        <v>380617.22096331924</v>
      </c>
      <c r="I344" s="347">
        <f t="shared" si="43"/>
        <v>0</v>
      </c>
      <c r="J344" s="347">
        <f t="shared" si="44"/>
        <v>0</v>
      </c>
      <c r="K344"/>
      <c r="L344"/>
      <c r="M344"/>
      <c r="N344"/>
      <c r="O344"/>
      <c r="P344"/>
      <c r="Q344"/>
      <c r="R344"/>
      <c r="S344"/>
      <c r="T344"/>
      <c r="U344"/>
      <c r="V344"/>
      <c r="W344"/>
      <c r="X344"/>
      <c r="Y344"/>
      <c r="Z344"/>
      <c r="AA344"/>
      <c r="AB344"/>
      <c r="AC344"/>
    </row>
    <row r="345" spans="1:29" ht="15.75">
      <c r="A345" s="28"/>
      <c r="B345" s="346">
        <f t="shared" si="36"/>
        <v>309</v>
      </c>
      <c r="C345" s="347">
        <f t="shared" si="37"/>
        <v>0</v>
      </c>
      <c r="D345" s="347">
        <f t="shared" si="38"/>
        <v>0</v>
      </c>
      <c r="E345" s="347">
        <f t="shared" si="39"/>
        <v>0</v>
      </c>
      <c r="F345" s="347">
        <f t="shared" si="40"/>
        <v>399999.99999999965</v>
      </c>
      <c r="G345" s="347">
        <f t="shared" si="41"/>
        <v>0</v>
      </c>
      <c r="H345" s="347">
        <f t="shared" si="42"/>
        <v>380617.22096331924</v>
      </c>
      <c r="I345" s="347">
        <f t="shared" si="43"/>
        <v>0</v>
      </c>
      <c r="J345" s="347">
        <f t="shared" si="44"/>
        <v>0</v>
      </c>
      <c r="K345"/>
      <c r="L345"/>
      <c r="M345"/>
      <c r="N345"/>
      <c r="O345"/>
      <c r="P345"/>
      <c r="Q345"/>
      <c r="R345"/>
      <c r="S345"/>
      <c r="T345"/>
      <c r="U345"/>
      <c r="V345"/>
      <c r="W345"/>
      <c r="X345"/>
      <c r="Y345"/>
      <c r="Z345"/>
      <c r="AA345"/>
      <c r="AB345"/>
      <c r="AC345"/>
    </row>
    <row r="346" spans="1:29" ht="15.75">
      <c r="A346" s="28"/>
      <c r="B346" s="346">
        <f t="shared" si="36"/>
        <v>310</v>
      </c>
      <c r="C346" s="347">
        <f t="shared" si="37"/>
        <v>0</v>
      </c>
      <c r="D346" s="347">
        <f t="shared" si="38"/>
        <v>0</v>
      </c>
      <c r="E346" s="347">
        <f t="shared" si="39"/>
        <v>0</v>
      </c>
      <c r="F346" s="347">
        <f t="shared" si="40"/>
        <v>399999.99999999965</v>
      </c>
      <c r="G346" s="347">
        <f t="shared" si="41"/>
        <v>0</v>
      </c>
      <c r="H346" s="347">
        <f t="shared" si="42"/>
        <v>380617.22096331924</v>
      </c>
      <c r="I346" s="347">
        <f t="shared" si="43"/>
        <v>0</v>
      </c>
      <c r="J346" s="347">
        <f t="shared" si="44"/>
        <v>0</v>
      </c>
      <c r="K346"/>
      <c r="L346"/>
      <c r="M346"/>
      <c r="N346"/>
      <c r="O346"/>
      <c r="P346"/>
      <c r="Q346"/>
      <c r="R346"/>
      <c r="S346"/>
      <c r="T346"/>
      <c r="U346"/>
      <c r="V346"/>
      <c r="W346"/>
      <c r="X346"/>
      <c r="Y346"/>
      <c r="Z346"/>
      <c r="AA346"/>
      <c r="AB346"/>
      <c r="AC346"/>
    </row>
    <row r="347" spans="1:29" ht="15.75">
      <c r="A347" s="28"/>
      <c r="B347" s="346">
        <f t="shared" si="36"/>
        <v>311</v>
      </c>
      <c r="C347" s="347">
        <f t="shared" si="37"/>
        <v>0</v>
      </c>
      <c r="D347" s="347">
        <f t="shared" si="38"/>
        <v>0</v>
      </c>
      <c r="E347" s="347">
        <f t="shared" si="39"/>
        <v>0</v>
      </c>
      <c r="F347" s="347">
        <f t="shared" si="40"/>
        <v>399999.99999999965</v>
      </c>
      <c r="G347" s="347">
        <f t="shared" si="41"/>
        <v>0</v>
      </c>
      <c r="H347" s="347">
        <f t="shared" si="42"/>
        <v>380617.22096331924</v>
      </c>
      <c r="I347" s="347">
        <f t="shared" si="43"/>
        <v>0</v>
      </c>
      <c r="J347" s="347">
        <f t="shared" si="44"/>
        <v>0</v>
      </c>
      <c r="K347"/>
      <c r="L347"/>
      <c r="M347"/>
      <c r="N347"/>
      <c r="O347"/>
      <c r="P347"/>
      <c r="Q347"/>
      <c r="R347"/>
      <c r="S347"/>
      <c r="T347"/>
      <c r="U347"/>
      <c r="V347"/>
      <c r="W347"/>
      <c r="X347"/>
      <c r="Y347"/>
      <c r="Z347"/>
      <c r="AA347"/>
      <c r="AB347"/>
      <c r="AC347"/>
    </row>
    <row r="348" spans="1:29" ht="15.75">
      <c r="A348" s="28"/>
      <c r="B348" s="346">
        <f t="shared" si="36"/>
        <v>312</v>
      </c>
      <c r="C348" s="347">
        <f t="shared" si="37"/>
        <v>0</v>
      </c>
      <c r="D348" s="347">
        <f t="shared" si="38"/>
        <v>0</v>
      </c>
      <c r="E348" s="347">
        <f t="shared" si="39"/>
        <v>0</v>
      </c>
      <c r="F348" s="347">
        <f t="shared" si="40"/>
        <v>399999.99999999965</v>
      </c>
      <c r="G348" s="347">
        <f t="shared" si="41"/>
        <v>0</v>
      </c>
      <c r="H348" s="347">
        <f t="shared" si="42"/>
        <v>380617.22096331924</v>
      </c>
      <c r="I348" s="347">
        <f t="shared" si="43"/>
        <v>0</v>
      </c>
      <c r="J348" s="347">
        <f t="shared" si="44"/>
        <v>0</v>
      </c>
      <c r="K348"/>
      <c r="L348"/>
      <c r="M348"/>
      <c r="N348"/>
      <c r="O348"/>
      <c r="P348"/>
      <c r="Q348"/>
      <c r="R348"/>
      <c r="S348"/>
      <c r="T348"/>
      <c r="U348"/>
      <c r="V348"/>
      <c r="W348"/>
      <c r="X348"/>
      <c r="Y348"/>
      <c r="Z348"/>
      <c r="AA348"/>
      <c r="AB348"/>
      <c r="AC348"/>
    </row>
    <row r="349" spans="1:29" ht="15.75">
      <c r="A349" s="28"/>
      <c r="B349" s="346">
        <f t="shared" si="36"/>
        <v>313</v>
      </c>
      <c r="C349" s="347">
        <f t="shared" si="37"/>
        <v>0</v>
      </c>
      <c r="D349" s="347">
        <f t="shared" si="38"/>
        <v>0</v>
      </c>
      <c r="E349" s="347">
        <f t="shared" si="39"/>
        <v>0</v>
      </c>
      <c r="F349" s="347">
        <f t="shared" si="40"/>
        <v>399999.99999999965</v>
      </c>
      <c r="G349" s="347">
        <f t="shared" si="41"/>
        <v>0</v>
      </c>
      <c r="H349" s="347">
        <f t="shared" si="42"/>
        <v>380617.22096331924</v>
      </c>
      <c r="I349" s="347">
        <f t="shared" si="43"/>
        <v>0</v>
      </c>
      <c r="J349" s="347">
        <f t="shared" si="44"/>
        <v>0</v>
      </c>
      <c r="K349"/>
      <c r="L349"/>
      <c r="M349"/>
      <c r="N349"/>
      <c r="O349"/>
      <c r="P349"/>
      <c r="Q349"/>
      <c r="R349"/>
      <c r="S349"/>
      <c r="T349"/>
      <c r="U349"/>
      <c r="V349"/>
      <c r="W349"/>
      <c r="X349"/>
      <c r="Y349"/>
      <c r="Z349"/>
      <c r="AA349"/>
      <c r="AB349"/>
      <c r="AC349"/>
    </row>
    <row r="350" spans="1:29" ht="15.75">
      <c r="A350" s="28"/>
      <c r="B350" s="346">
        <f t="shared" si="36"/>
        <v>314</v>
      </c>
      <c r="C350" s="347">
        <f t="shared" si="37"/>
        <v>0</v>
      </c>
      <c r="D350" s="347">
        <f t="shared" si="38"/>
        <v>0</v>
      </c>
      <c r="E350" s="347">
        <f t="shared" si="39"/>
        <v>0</v>
      </c>
      <c r="F350" s="347">
        <f t="shared" si="40"/>
        <v>399999.99999999965</v>
      </c>
      <c r="G350" s="347">
        <f t="shared" si="41"/>
        <v>0</v>
      </c>
      <c r="H350" s="347">
        <f t="shared" si="42"/>
        <v>380617.22096331924</v>
      </c>
      <c r="I350" s="347">
        <f t="shared" si="43"/>
        <v>0</v>
      </c>
      <c r="J350" s="347">
        <f t="shared" si="44"/>
        <v>0</v>
      </c>
      <c r="K350"/>
      <c r="L350"/>
      <c r="M350"/>
      <c r="N350"/>
      <c r="O350"/>
      <c r="P350"/>
      <c r="Q350"/>
      <c r="R350"/>
      <c r="S350"/>
      <c r="T350"/>
      <c r="U350"/>
      <c r="V350"/>
      <c r="W350"/>
      <c r="X350"/>
      <c r="Y350"/>
      <c r="Z350"/>
      <c r="AA350"/>
      <c r="AB350"/>
      <c r="AC350"/>
    </row>
    <row r="351" spans="1:29" ht="15.75">
      <c r="A351" s="28"/>
      <c r="B351" s="346">
        <f t="shared" si="36"/>
        <v>315</v>
      </c>
      <c r="C351" s="347">
        <f t="shared" si="37"/>
        <v>0</v>
      </c>
      <c r="D351" s="347">
        <f t="shared" si="38"/>
        <v>0</v>
      </c>
      <c r="E351" s="347">
        <f t="shared" si="39"/>
        <v>0</v>
      </c>
      <c r="F351" s="347">
        <f t="shared" si="40"/>
        <v>399999.99999999965</v>
      </c>
      <c r="G351" s="347">
        <f t="shared" si="41"/>
        <v>0</v>
      </c>
      <c r="H351" s="347">
        <f t="shared" si="42"/>
        <v>380617.22096331924</v>
      </c>
      <c r="I351" s="347">
        <f t="shared" si="43"/>
        <v>0</v>
      </c>
      <c r="J351" s="347">
        <f t="shared" si="44"/>
        <v>0</v>
      </c>
      <c r="K351"/>
      <c r="L351"/>
      <c r="M351"/>
      <c r="N351"/>
      <c r="O351"/>
      <c r="P351"/>
      <c r="Q351"/>
      <c r="R351"/>
      <c r="S351"/>
      <c r="T351"/>
      <c r="U351"/>
      <c r="V351"/>
      <c r="W351"/>
      <c r="X351"/>
      <c r="Y351"/>
      <c r="Z351"/>
      <c r="AA351"/>
      <c r="AB351"/>
      <c r="AC351"/>
    </row>
    <row r="352" spans="1:29" ht="15.75">
      <c r="A352" s="28"/>
      <c r="B352" s="346">
        <f t="shared" si="36"/>
        <v>316</v>
      </c>
      <c r="C352" s="347">
        <f t="shared" si="37"/>
        <v>0</v>
      </c>
      <c r="D352" s="347">
        <f t="shared" si="38"/>
        <v>0</v>
      </c>
      <c r="E352" s="347">
        <f t="shared" si="39"/>
        <v>0</v>
      </c>
      <c r="F352" s="347">
        <f t="shared" si="40"/>
        <v>399999.99999999965</v>
      </c>
      <c r="G352" s="347">
        <f t="shared" si="41"/>
        <v>0</v>
      </c>
      <c r="H352" s="347">
        <f t="shared" si="42"/>
        <v>380617.22096331924</v>
      </c>
      <c r="I352" s="347">
        <f t="shared" si="43"/>
        <v>0</v>
      </c>
      <c r="J352" s="347">
        <f t="shared" si="44"/>
        <v>0</v>
      </c>
      <c r="K352"/>
      <c r="L352"/>
      <c r="M352"/>
      <c r="N352"/>
      <c r="O352"/>
      <c r="P352"/>
      <c r="Q352"/>
      <c r="R352"/>
      <c r="S352"/>
      <c r="T352"/>
      <c r="U352"/>
      <c r="V352"/>
      <c r="W352"/>
      <c r="X352"/>
      <c r="Y352"/>
      <c r="Z352"/>
      <c r="AA352"/>
      <c r="AB352"/>
      <c r="AC352"/>
    </row>
    <row r="353" spans="1:29" ht="15.75">
      <c r="A353" s="28"/>
      <c r="B353" s="346">
        <f t="shared" si="36"/>
        <v>317</v>
      </c>
      <c r="C353" s="347">
        <f t="shared" si="37"/>
        <v>0</v>
      </c>
      <c r="D353" s="347">
        <f t="shared" si="38"/>
        <v>0</v>
      </c>
      <c r="E353" s="347">
        <f t="shared" si="39"/>
        <v>0</v>
      </c>
      <c r="F353" s="347">
        <f t="shared" si="40"/>
        <v>399999.99999999965</v>
      </c>
      <c r="G353" s="347">
        <f t="shared" si="41"/>
        <v>0</v>
      </c>
      <c r="H353" s="347">
        <f t="shared" si="42"/>
        <v>380617.22096331924</v>
      </c>
      <c r="I353" s="347">
        <f t="shared" si="43"/>
        <v>0</v>
      </c>
      <c r="J353" s="347">
        <f t="shared" si="44"/>
        <v>0</v>
      </c>
      <c r="K353"/>
      <c r="L353"/>
      <c r="M353"/>
      <c r="N353"/>
      <c r="O353"/>
      <c r="P353"/>
      <c r="Q353"/>
      <c r="R353"/>
      <c r="S353"/>
      <c r="T353"/>
      <c r="U353"/>
      <c r="V353"/>
      <c r="W353"/>
      <c r="X353"/>
      <c r="Y353"/>
      <c r="Z353"/>
      <c r="AA353"/>
      <c r="AB353"/>
      <c r="AC353"/>
    </row>
    <row r="354" spans="1:29" ht="15.75">
      <c r="A354" s="28"/>
      <c r="B354" s="346">
        <f t="shared" si="36"/>
        <v>318</v>
      </c>
      <c r="C354" s="347">
        <f t="shared" si="37"/>
        <v>0</v>
      </c>
      <c r="D354" s="347">
        <f t="shared" si="38"/>
        <v>0</v>
      </c>
      <c r="E354" s="347">
        <f t="shared" si="39"/>
        <v>0</v>
      </c>
      <c r="F354" s="347">
        <f t="shared" si="40"/>
        <v>399999.99999999965</v>
      </c>
      <c r="G354" s="347">
        <f t="shared" si="41"/>
        <v>0</v>
      </c>
      <c r="H354" s="347">
        <f t="shared" si="42"/>
        <v>380617.22096331924</v>
      </c>
      <c r="I354" s="347">
        <f t="shared" si="43"/>
        <v>0</v>
      </c>
      <c r="J354" s="347">
        <f t="shared" si="44"/>
        <v>0</v>
      </c>
      <c r="K354"/>
      <c r="L354"/>
      <c r="M354"/>
      <c r="N354"/>
      <c r="O354"/>
      <c r="P354"/>
      <c r="Q354"/>
      <c r="R354"/>
      <c r="S354"/>
      <c r="T354"/>
      <c r="U354"/>
      <c r="V354"/>
      <c r="W354"/>
      <c r="X354"/>
      <c r="Y354"/>
      <c r="Z354"/>
      <c r="AA354"/>
      <c r="AB354"/>
      <c r="AC354"/>
    </row>
    <row r="355" spans="1:29" ht="15.75">
      <c r="A355" s="28"/>
      <c r="B355" s="346">
        <f t="shared" si="36"/>
        <v>319</v>
      </c>
      <c r="C355" s="347">
        <f t="shared" si="37"/>
        <v>0</v>
      </c>
      <c r="D355" s="347">
        <f t="shared" si="38"/>
        <v>0</v>
      </c>
      <c r="E355" s="347">
        <f t="shared" si="39"/>
        <v>0</v>
      </c>
      <c r="F355" s="347">
        <f t="shared" si="40"/>
        <v>399999.99999999965</v>
      </c>
      <c r="G355" s="347">
        <f t="shared" si="41"/>
        <v>0</v>
      </c>
      <c r="H355" s="347">
        <f t="shared" si="42"/>
        <v>380617.22096331924</v>
      </c>
      <c r="I355" s="347">
        <f t="shared" si="43"/>
        <v>0</v>
      </c>
      <c r="J355" s="347">
        <f t="shared" si="44"/>
        <v>0</v>
      </c>
      <c r="K355"/>
      <c r="L355"/>
      <c r="M355"/>
      <c r="N355"/>
      <c r="O355"/>
      <c r="P355"/>
      <c r="Q355"/>
      <c r="R355"/>
      <c r="S355"/>
      <c r="T355"/>
      <c r="U355"/>
      <c r="V355"/>
      <c r="W355"/>
      <c r="X355"/>
      <c r="Y355"/>
      <c r="Z355"/>
      <c r="AA355"/>
      <c r="AB355"/>
      <c r="AC355"/>
    </row>
    <row r="356" spans="1:29" ht="15.75">
      <c r="A356" s="28"/>
      <c r="B356" s="346">
        <f t="shared" si="36"/>
        <v>320</v>
      </c>
      <c r="C356" s="347">
        <f t="shared" si="37"/>
        <v>0</v>
      </c>
      <c r="D356" s="347">
        <f t="shared" si="38"/>
        <v>0</v>
      </c>
      <c r="E356" s="347">
        <f t="shared" si="39"/>
        <v>0</v>
      </c>
      <c r="F356" s="347">
        <f t="shared" si="40"/>
        <v>399999.99999999965</v>
      </c>
      <c r="G356" s="347">
        <f t="shared" si="41"/>
        <v>0</v>
      </c>
      <c r="H356" s="347">
        <f t="shared" si="42"/>
        <v>380617.22096331924</v>
      </c>
      <c r="I356" s="347">
        <f t="shared" si="43"/>
        <v>0</v>
      </c>
      <c r="J356" s="347">
        <f t="shared" si="44"/>
        <v>0</v>
      </c>
      <c r="K356"/>
      <c r="L356"/>
      <c r="M356"/>
      <c r="N356"/>
      <c r="O356"/>
      <c r="P356"/>
      <c r="Q356"/>
      <c r="R356"/>
      <c r="S356"/>
      <c r="T356"/>
      <c r="U356"/>
      <c r="V356"/>
      <c r="W356"/>
      <c r="X356"/>
      <c r="Y356"/>
      <c r="Z356"/>
      <c r="AA356"/>
      <c r="AB356"/>
      <c r="AC356"/>
    </row>
    <row r="357" spans="1:29" ht="15.75">
      <c r="A357" s="28"/>
      <c r="B357" s="346">
        <f t="shared" si="36"/>
        <v>321</v>
      </c>
      <c r="C357" s="347">
        <f t="shared" si="37"/>
        <v>0</v>
      </c>
      <c r="D357" s="347">
        <f t="shared" si="38"/>
        <v>0</v>
      </c>
      <c r="E357" s="347">
        <f t="shared" si="39"/>
        <v>0</v>
      </c>
      <c r="F357" s="347">
        <f t="shared" si="40"/>
        <v>399999.99999999965</v>
      </c>
      <c r="G357" s="347">
        <f t="shared" si="41"/>
        <v>0</v>
      </c>
      <c r="H357" s="347">
        <f t="shared" si="42"/>
        <v>380617.22096331924</v>
      </c>
      <c r="I357" s="347">
        <f t="shared" si="43"/>
        <v>0</v>
      </c>
      <c r="J357" s="347">
        <f t="shared" si="44"/>
        <v>0</v>
      </c>
      <c r="K357"/>
      <c r="L357"/>
      <c r="M357"/>
      <c r="N357"/>
      <c r="O357"/>
      <c r="P357"/>
      <c r="Q357"/>
      <c r="R357"/>
      <c r="S357"/>
      <c r="T357"/>
      <c r="U357"/>
      <c r="V357"/>
      <c r="W357"/>
      <c r="X357"/>
      <c r="Y357"/>
      <c r="Z357"/>
      <c r="AA357"/>
      <c r="AB357"/>
      <c r="AC357"/>
    </row>
    <row r="358" spans="1:29" ht="15.75">
      <c r="A358" s="28"/>
      <c r="B358" s="346">
        <f aca="true" t="shared" si="45" ref="B358:B396">1+B357</f>
        <v>322</v>
      </c>
      <c r="C358" s="347">
        <f aca="true" t="shared" si="46" ref="C358:C396">IF((E357&lt;$C$24-G358),E357,$C$24-G358)</f>
        <v>0</v>
      </c>
      <c r="D358" s="347">
        <f aca="true" t="shared" si="47" ref="D358:D396">IF(AND($C$20&lt;=B358,E357&gt;C358+$C$18),IF(MOD($B358,$C$19)=0,$C$18,0),0)</f>
        <v>0</v>
      </c>
      <c r="E358" s="347">
        <f aca="true" t="shared" si="48" ref="E358:E396">IF(E357-C358&lt;=1,0,E357-C358-D358)</f>
        <v>0</v>
      </c>
      <c r="F358" s="347">
        <f aca="true" t="shared" si="49" ref="F358:F396">F357+C358+D358</f>
        <v>399999.99999999965</v>
      </c>
      <c r="G358" s="347">
        <f aca="true" t="shared" si="50" ref="G358:G396">E357*($C$13/$C$15)</f>
        <v>0</v>
      </c>
      <c r="H358" s="347">
        <f aca="true" t="shared" si="51" ref="H358:H396">H357+G358</f>
        <v>380617.22096331924</v>
      </c>
      <c r="I358" s="347">
        <f aca="true" t="shared" si="52" ref="I358:I396">IF(I357-($C$24-J358)&lt;=1,0,I357-($C$24-J358))</f>
        <v>0</v>
      </c>
      <c r="J358" s="347">
        <f aca="true" t="shared" si="53" ref="J358:J396">I357*($C$13/$C$15)</f>
        <v>0</v>
      </c>
      <c r="K358"/>
      <c r="L358"/>
      <c r="M358"/>
      <c r="N358"/>
      <c r="O358"/>
      <c r="P358"/>
      <c r="Q358"/>
      <c r="R358"/>
      <c r="S358"/>
      <c r="T358"/>
      <c r="U358"/>
      <c r="V358"/>
      <c r="W358"/>
      <c r="X358"/>
      <c r="Y358"/>
      <c r="Z358"/>
      <c r="AA358"/>
      <c r="AB358"/>
      <c r="AC358"/>
    </row>
    <row r="359" spans="1:29" ht="15.75">
      <c r="A359" s="28"/>
      <c r="B359" s="346">
        <f t="shared" si="45"/>
        <v>323</v>
      </c>
      <c r="C359" s="347">
        <f t="shared" si="46"/>
        <v>0</v>
      </c>
      <c r="D359" s="347">
        <f t="shared" si="47"/>
        <v>0</v>
      </c>
      <c r="E359" s="347">
        <f t="shared" si="48"/>
        <v>0</v>
      </c>
      <c r="F359" s="347">
        <f t="shared" si="49"/>
        <v>399999.99999999965</v>
      </c>
      <c r="G359" s="347">
        <f t="shared" si="50"/>
        <v>0</v>
      </c>
      <c r="H359" s="347">
        <f t="shared" si="51"/>
        <v>380617.22096331924</v>
      </c>
      <c r="I359" s="347">
        <f t="shared" si="52"/>
        <v>0</v>
      </c>
      <c r="J359" s="347">
        <f t="shared" si="53"/>
        <v>0</v>
      </c>
      <c r="K359"/>
      <c r="L359"/>
      <c r="M359"/>
      <c r="N359"/>
      <c r="O359"/>
      <c r="P359"/>
      <c r="Q359"/>
      <c r="R359"/>
      <c r="S359"/>
      <c r="T359"/>
      <c r="U359"/>
      <c r="V359"/>
      <c r="W359"/>
      <c r="X359"/>
      <c r="Y359"/>
      <c r="Z359"/>
      <c r="AA359"/>
      <c r="AB359"/>
      <c r="AC359"/>
    </row>
    <row r="360" spans="1:29" ht="15.75">
      <c r="A360" s="28"/>
      <c r="B360" s="346">
        <f t="shared" si="45"/>
        <v>324</v>
      </c>
      <c r="C360" s="347">
        <f t="shared" si="46"/>
        <v>0</v>
      </c>
      <c r="D360" s="347">
        <f t="shared" si="47"/>
        <v>0</v>
      </c>
      <c r="E360" s="347">
        <f t="shared" si="48"/>
        <v>0</v>
      </c>
      <c r="F360" s="347">
        <f t="shared" si="49"/>
        <v>399999.99999999965</v>
      </c>
      <c r="G360" s="347">
        <f t="shared" si="50"/>
        <v>0</v>
      </c>
      <c r="H360" s="347">
        <f t="shared" si="51"/>
        <v>380617.22096331924</v>
      </c>
      <c r="I360" s="347">
        <f t="shared" si="52"/>
        <v>0</v>
      </c>
      <c r="J360" s="347">
        <f t="shared" si="53"/>
        <v>0</v>
      </c>
      <c r="K360"/>
      <c r="L360"/>
      <c r="M360"/>
      <c r="N360"/>
      <c r="O360"/>
      <c r="P360"/>
      <c r="Q360"/>
      <c r="R360"/>
      <c r="S360"/>
      <c r="T360"/>
      <c r="U360"/>
      <c r="V360"/>
      <c r="W360"/>
      <c r="X360"/>
      <c r="Y360"/>
      <c r="Z360"/>
      <c r="AA360"/>
      <c r="AB360"/>
      <c r="AC360"/>
    </row>
    <row r="361" spans="1:29" ht="15.75">
      <c r="A361" s="28"/>
      <c r="B361" s="346">
        <f t="shared" si="45"/>
        <v>325</v>
      </c>
      <c r="C361" s="347">
        <f t="shared" si="46"/>
        <v>0</v>
      </c>
      <c r="D361" s="347">
        <f t="shared" si="47"/>
        <v>0</v>
      </c>
      <c r="E361" s="347">
        <f t="shared" si="48"/>
        <v>0</v>
      </c>
      <c r="F361" s="347">
        <f t="shared" si="49"/>
        <v>399999.99999999965</v>
      </c>
      <c r="G361" s="347">
        <f t="shared" si="50"/>
        <v>0</v>
      </c>
      <c r="H361" s="347">
        <f t="shared" si="51"/>
        <v>380617.22096331924</v>
      </c>
      <c r="I361" s="347">
        <f t="shared" si="52"/>
        <v>0</v>
      </c>
      <c r="J361" s="347">
        <f t="shared" si="53"/>
        <v>0</v>
      </c>
      <c r="K361"/>
      <c r="L361"/>
      <c r="M361"/>
      <c r="N361"/>
      <c r="O361"/>
      <c r="P361"/>
      <c r="Q361"/>
      <c r="R361"/>
      <c r="S361"/>
      <c r="T361"/>
      <c r="U361"/>
      <c r="V361"/>
      <c r="W361"/>
      <c r="X361"/>
      <c r="Y361"/>
      <c r="Z361"/>
      <c r="AA361"/>
      <c r="AB361"/>
      <c r="AC361"/>
    </row>
    <row r="362" spans="1:29" ht="15.75">
      <c r="A362" s="28"/>
      <c r="B362" s="346">
        <f t="shared" si="45"/>
        <v>326</v>
      </c>
      <c r="C362" s="347">
        <f t="shared" si="46"/>
        <v>0</v>
      </c>
      <c r="D362" s="347">
        <f t="shared" si="47"/>
        <v>0</v>
      </c>
      <c r="E362" s="347">
        <f t="shared" si="48"/>
        <v>0</v>
      </c>
      <c r="F362" s="347">
        <f t="shared" si="49"/>
        <v>399999.99999999965</v>
      </c>
      <c r="G362" s="347">
        <f t="shared" si="50"/>
        <v>0</v>
      </c>
      <c r="H362" s="347">
        <f t="shared" si="51"/>
        <v>380617.22096331924</v>
      </c>
      <c r="I362" s="347">
        <f t="shared" si="52"/>
        <v>0</v>
      </c>
      <c r="J362" s="347">
        <f t="shared" si="53"/>
        <v>0</v>
      </c>
      <c r="K362"/>
      <c r="L362"/>
      <c r="M362"/>
      <c r="N362"/>
      <c r="O362"/>
      <c r="P362"/>
      <c r="Q362"/>
      <c r="R362"/>
      <c r="S362"/>
      <c r="T362"/>
      <c r="U362"/>
      <c r="V362"/>
      <c r="W362"/>
      <c r="X362"/>
      <c r="Y362"/>
      <c r="Z362"/>
      <c r="AA362"/>
      <c r="AB362"/>
      <c r="AC362"/>
    </row>
    <row r="363" spans="1:29" ht="15.75">
      <c r="A363" s="28"/>
      <c r="B363" s="346">
        <f t="shared" si="45"/>
        <v>327</v>
      </c>
      <c r="C363" s="347">
        <f t="shared" si="46"/>
        <v>0</v>
      </c>
      <c r="D363" s="347">
        <f t="shared" si="47"/>
        <v>0</v>
      </c>
      <c r="E363" s="347">
        <f t="shared" si="48"/>
        <v>0</v>
      </c>
      <c r="F363" s="347">
        <f t="shared" si="49"/>
        <v>399999.99999999965</v>
      </c>
      <c r="G363" s="347">
        <f t="shared" si="50"/>
        <v>0</v>
      </c>
      <c r="H363" s="347">
        <f t="shared" si="51"/>
        <v>380617.22096331924</v>
      </c>
      <c r="I363" s="347">
        <f t="shared" si="52"/>
        <v>0</v>
      </c>
      <c r="J363" s="347">
        <f t="shared" si="53"/>
        <v>0</v>
      </c>
      <c r="K363"/>
      <c r="L363"/>
      <c r="M363"/>
      <c r="N363"/>
      <c r="O363"/>
      <c r="P363"/>
      <c r="Q363"/>
      <c r="R363"/>
      <c r="S363"/>
      <c r="T363"/>
      <c r="U363"/>
      <c r="V363"/>
      <c r="W363"/>
      <c r="X363"/>
      <c r="Y363"/>
      <c r="Z363"/>
      <c r="AA363"/>
      <c r="AB363"/>
      <c r="AC363"/>
    </row>
    <row r="364" spans="1:29" ht="15.75">
      <c r="A364" s="28"/>
      <c r="B364" s="346">
        <f t="shared" si="45"/>
        <v>328</v>
      </c>
      <c r="C364" s="347">
        <f t="shared" si="46"/>
        <v>0</v>
      </c>
      <c r="D364" s="347">
        <f t="shared" si="47"/>
        <v>0</v>
      </c>
      <c r="E364" s="347">
        <f t="shared" si="48"/>
        <v>0</v>
      </c>
      <c r="F364" s="347">
        <f t="shared" si="49"/>
        <v>399999.99999999965</v>
      </c>
      <c r="G364" s="347">
        <f t="shared" si="50"/>
        <v>0</v>
      </c>
      <c r="H364" s="347">
        <f t="shared" si="51"/>
        <v>380617.22096331924</v>
      </c>
      <c r="I364" s="347">
        <f t="shared" si="52"/>
        <v>0</v>
      </c>
      <c r="J364" s="347">
        <f t="shared" si="53"/>
        <v>0</v>
      </c>
      <c r="K364"/>
      <c r="L364"/>
      <c r="M364"/>
      <c r="N364"/>
      <c r="O364"/>
      <c r="P364"/>
      <c r="Q364"/>
      <c r="R364"/>
      <c r="S364"/>
      <c r="T364"/>
      <c r="U364"/>
      <c r="V364"/>
      <c r="W364"/>
      <c r="X364"/>
      <c r="Y364"/>
      <c r="Z364"/>
      <c r="AA364"/>
      <c r="AB364"/>
      <c r="AC364"/>
    </row>
    <row r="365" spans="1:29" ht="15.75">
      <c r="A365" s="28"/>
      <c r="B365" s="346">
        <f t="shared" si="45"/>
        <v>329</v>
      </c>
      <c r="C365" s="347">
        <f t="shared" si="46"/>
        <v>0</v>
      </c>
      <c r="D365" s="347">
        <f t="shared" si="47"/>
        <v>0</v>
      </c>
      <c r="E365" s="347">
        <f t="shared" si="48"/>
        <v>0</v>
      </c>
      <c r="F365" s="347">
        <f t="shared" si="49"/>
        <v>399999.99999999965</v>
      </c>
      <c r="G365" s="347">
        <f t="shared" si="50"/>
        <v>0</v>
      </c>
      <c r="H365" s="347">
        <f t="shared" si="51"/>
        <v>380617.22096331924</v>
      </c>
      <c r="I365" s="347">
        <f t="shared" si="52"/>
        <v>0</v>
      </c>
      <c r="J365" s="347">
        <f t="shared" si="53"/>
        <v>0</v>
      </c>
      <c r="K365"/>
      <c r="L365"/>
      <c r="M365"/>
      <c r="N365"/>
      <c r="O365"/>
      <c r="P365"/>
      <c r="Q365"/>
      <c r="R365"/>
      <c r="S365"/>
      <c r="T365"/>
      <c r="U365"/>
      <c r="V365"/>
      <c r="W365"/>
      <c r="X365"/>
      <c r="Y365"/>
      <c r="Z365"/>
      <c r="AA365"/>
      <c r="AB365"/>
      <c r="AC365"/>
    </row>
    <row r="366" spans="1:29" ht="15.75">
      <c r="A366" s="28"/>
      <c r="B366" s="346">
        <f t="shared" si="45"/>
        <v>330</v>
      </c>
      <c r="C366" s="347">
        <f t="shared" si="46"/>
        <v>0</v>
      </c>
      <c r="D366" s="347">
        <f t="shared" si="47"/>
        <v>0</v>
      </c>
      <c r="E366" s="347">
        <f t="shared" si="48"/>
        <v>0</v>
      </c>
      <c r="F366" s="347">
        <f t="shared" si="49"/>
        <v>399999.99999999965</v>
      </c>
      <c r="G366" s="347">
        <f t="shared" si="50"/>
        <v>0</v>
      </c>
      <c r="H366" s="347">
        <f t="shared" si="51"/>
        <v>380617.22096331924</v>
      </c>
      <c r="I366" s="347">
        <f t="shared" si="52"/>
        <v>0</v>
      </c>
      <c r="J366" s="347">
        <f t="shared" si="53"/>
        <v>0</v>
      </c>
      <c r="K366"/>
      <c r="L366"/>
      <c r="M366"/>
      <c r="N366"/>
      <c r="O366"/>
      <c r="P366"/>
      <c r="Q366"/>
      <c r="R366"/>
      <c r="S366"/>
      <c r="T366"/>
      <c r="U366"/>
      <c r="V366"/>
      <c r="W366"/>
      <c r="X366"/>
      <c r="Y366"/>
      <c r="Z366"/>
      <c r="AA366"/>
      <c r="AB366"/>
      <c r="AC366"/>
    </row>
    <row r="367" spans="1:29" ht="15.75">
      <c r="A367" s="28"/>
      <c r="B367" s="346">
        <f t="shared" si="45"/>
        <v>331</v>
      </c>
      <c r="C367" s="347">
        <f t="shared" si="46"/>
        <v>0</v>
      </c>
      <c r="D367" s="347">
        <f t="shared" si="47"/>
        <v>0</v>
      </c>
      <c r="E367" s="347">
        <f t="shared" si="48"/>
        <v>0</v>
      </c>
      <c r="F367" s="347">
        <f t="shared" si="49"/>
        <v>399999.99999999965</v>
      </c>
      <c r="G367" s="347">
        <f t="shared" si="50"/>
        <v>0</v>
      </c>
      <c r="H367" s="347">
        <f t="shared" si="51"/>
        <v>380617.22096331924</v>
      </c>
      <c r="I367" s="347">
        <f t="shared" si="52"/>
        <v>0</v>
      </c>
      <c r="J367" s="347">
        <f t="shared" si="53"/>
        <v>0</v>
      </c>
      <c r="K367"/>
      <c r="L367"/>
      <c r="M367"/>
      <c r="N367"/>
      <c r="O367"/>
      <c r="P367"/>
      <c r="Q367"/>
      <c r="R367"/>
      <c r="S367"/>
      <c r="T367"/>
      <c r="U367"/>
      <c r="V367"/>
      <c r="W367"/>
      <c r="X367"/>
      <c r="Y367"/>
      <c r="Z367"/>
      <c r="AA367"/>
      <c r="AB367"/>
      <c r="AC367"/>
    </row>
    <row r="368" spans="1:29" ht="15.75">
      <c r="A368" s="28"/>
      <c r="B368" s="346">
        <f t="shared" si="45"/>
        <v>332</v>
      </c>
      <c r="C368" s="347">
        <f t="shared" si="46"/>
        <v>0</v>
      </c>
      <c r="D368" s="347">
        <f t="shared" si="47"/>
        <v>0</v>
      </c>
      <c r="E368" s="347">
        <f t="shared" si="48"/>
        <v>0</v>
      </c>
      <c r="F368" s="347">
        <f t="shared" si="49"/>
        <v>399999.99999999965</v>
      </c>
      <c r="G368" s="347">
        <f t="shared" si="50"/>
        <v>0</v>
      </c>
      <c r="H368" s="347">
        <f t="shared" si="51"/>
        <v>380617.22096331924</v>
      </c>
      <c r="I368" s="347">
        <f t="shared" si="52"/>
        <v>0</v>
      </c>
      <c r="J368" s="347">
        <f t="shared" si="53"/>
        <v>0</v>
      </c>
      <c r="K368"/>
      <c r="L368"/>
      <c r="M368"/>
      <c r="N368"/>
      <c r="O368"/>
      <c r="P368"/>
      <c r="Q368"/>
      <c r="R368"/>
      <c r="S368"/>
      <c r="T368"/>
      <c r="U368"/>
      <c r="V368"/>
      <c r="W368"/>
      <c r="X368"/>
      <c r="Y368"/>
      <c r="Z368"/>
      <c r="AA368"/>
      <c r="AB368"/>
      <c r="AC368"/>
    </row>
    <row r="369" spans="1:29" ht="15.75">
      <c r="A369" s="28"/>
      <c r="B369" s="346">
        <f t="shared" si="45"/>
        <v>333</v>
      </c>
      <c r="C369" s="347">
        <f t="shared" si="46"/>
        <v>0</v>
      </c>
      <c r="D369" s="347">
        <f t="shared" si="47"/>
        <v>0</v>
      </c>
      <c r="E369" s="347">
        <f t="shared" si="48"/>
        <v>0</v>
      </c>
      <c r="F369" s="347">
        <f t="shared" si="49"/>
        <v>399999.99999999965</v>
      </c>
      <c r="G369" s="347">
        <f t="shared" si="50"/>
        <v>0</v>
      </c>
      <c r="H369" s="347">
        <f t="shared" si="51"/>
        <v>380617.22096331924</v>
      </c>
      <c r="I369" s="347">
        <f t="shared" si="52"/>
        <v>0</v>
      </c>
      <c r="J369" s="347">
        <f t="shared" si="53"/>
        <v>0</v>
      </c>
      <c r="K369"/>
      <c r="L369"/>
      <c r="M369"/>
      <c r="N369"/>
      <c r="O369"/>
      <c r="P369"/>
      <c r="Q369"/>
      <c r="R369"/>
      <c r="S369"/>
      <c r="T369"/>
      <c r="U369"/>
      <c r="V369"/>
      <c r="W369"/>
      <c r="X369"/>
      <c r="Y369"/>
      <c r="Z369"/>
      <c r="AA369"/>
      <c r="AB369"/>
      <c r="AC369"/>
    </row>
    <row r="370" spans="1:29" ht="15.75">
      <c r="A370" s="28"/>
      <c r="B370" s="346">
        <f t="shared" si="45"/>
        <v>334</v>
      </c>
      <c r="C370" s="347">
        <f t="shared" si="46"/>
        <v>0</v>
      </c>
      <c r="D370" s="347">
        <f t="shared" si="47"/>
        <v>0</v>
      </c>
      <c r="E370" s="347">
        <f t="shared" si="48"/>
        <v>0</v>
      </c>
      <c r="F370" s="347">
        <f t="shared" si="49"/>
        <v>399999.99999999965</v>
      </c>
      <c r="G370" s="347">
        <f t="shared" si="50"/>
        <v>0</v>
      </c>
      <c r="H370" s="347">
        <f t="shared" si="51"/>
        <v>380617.22096331924</v>
      </c>
      <c r="I370" s="347">
        <f t="shared" si="52"/>
        <v>0</v>
      </c>
      <c r="J370" s="347">
        <f t="shared" si="53"/>
        <v>0</v>
      </c>
      <c r="K370"/>
      <c r="L370"/>
      <c r="M370"/>
      <c r="N370"/>
      <c r="O370"/>
      <c r="P370"/>
      <c r="Q370"/>
      <c r="R370"/>
      <c r="S370"/>
      <c r="T370"/>
      <c r="U370"/>
      <c r="V370"/>
      <c r="W370"/>
      <c r="X370"/>
      <c r="Y370"/>
      <c r="Z370"/>
      <c r="AA370"/>
      <c r="AB370"/>
      <c r="AC370"/>
    </row>
    <row r="371" spans="1:29" ht="15.75">
      <c r="A371" s="28"/>
      <c r="B371" s="346">
        <f t="shared" si="45"/>
        <v>335</v>
      </c>
      <c r="C371" s="347">
        <f t="shared" si="46"/>
        <v>0</v>
      </c>
      <c r="D371" s="347">
        <f t="shared" si="47"/>
        <v>0</v>
      </c>
      <c r="E371" s="347">
        <f t="shared" si="48"/>
        <v>0</v>
      </c>
      <c r="F371" s="347">
        <f t="shared" si="49"/>
        <v>399999.99999999965</v>
      </c>
      <c r="G371" s="347">
        <f t="shared" si="50"/>
        <v>0</v>
      </c>
      <c r="H371" s="347">
        <f t="shared" si="51"/>
        <v>380617.22096331924</v>
      </c>
      <c r="I371" s="347">
        <f t="shared" si="52"/>
        <v>0</v>
      </c>
      <c r="J371" s="347">
        <f t="shared" si="53"/>
        <v>0</v>
      </c>
      <c r="K371"/>
      <c r="L371"/>
      <c r="M371"/>
      <c r="N371"/>
      <c r="O371"/>
      <c r="P371"/>
      <c r="Q371"/>
      <c r="R371"/>
      <c r="S371"/>
      <c r="T371"/>
      <c r="U371"/>
      <c r="V371"/>
      <c r="W371"/>
      <c r="X371"/>
      <c r="Y371"/>
      <c r="Z371"/>
      <c r="AA371"/>
      <c r="AB371"/>
      <c r="AC371"/>
    </row>
    <row r="372" spans="1:29" ht="15.75">
      <c r="A372" s="28"/>
      <c r="B372" s="346">
        <f t="shared" si="45"/>
        <v>336</v>
      </c>
      <c r="C372" s="347">
        <f t="shared" si="46"/>
        <v>0</v>
      </c>
      <c r="D372" s="347">
        <f t="shared" si="47"/>
        <v>0</v>
      </c>
      <c r="E372" s="347">
        <f t="shared" si="48"/>
        <v>0</v>
      </c>
      <c r="F372" s="347">
        <f t="shared" si="49"/>
        <v>399999.99999999965</v>
      </c>
      <c r="G372" s="347">
        <f t="shared" si="50"/>
        <v>0</v>
      </c>
      <c r="H372" s="347">
        <f t="shared" si="51"/>
        <v>380617.22096331924</v>
      </c>
      <c r="I372" s="347">
        <f t="shared" si="52"/>
        <v>0</v>
      </c>
      <c r="J372" s="347">
        <f t="shared" si="53"/>
        <v>0</v>
      </c>
      <c r="K372"/>
      <c r="L372"/>
      <c r="M372"/>
      <c r="N372"/>
      <c r="O372"/>
      <c r="P372"/>
      <c r="Q372"/>
      <c r="R372"/>
      <c r="S372"/>
      <c r="T372"/>
      <c r="U372"/>
      <c r="V372"/>
      <c r="W372"/>
      <c r="X372"/>
      <c r="Y372"/>
      <c r="Z372"/>
      <c r="AA372"/>
      <c r="AB372"/>
      <c r="AC372"/>
    </row>
    <row r="373" spans="1:29" ht="15.75">
      <c r="A373" s="28"/>
      <c r="B373" s="346">
        <f t="shared" si="45"/>
        <v>337</v>
      </c>
      <c r="C373" s="347">
        <f t="shared" si="46"/>
        <v>0</v>
      </c>
      <c r="D373" s="347">
        <f t="shared" si="47"/>
        <v>0</v>
      </c>
      <c r="E373" s="347">
        <f t="shared" si="48"/>
        <v>0</v>
      </c>
      <c r="F373" s="347">
        <f t="shared" si="49"/>
        <v>399999.99999999965</v>
      </c>
      <c r="G373" s="347">
        <f t="shared" si="50"/>
        <v>0</v>
      </c>
      <c r="H373" s="347">
        <f t="shared" si="51"/>
        <v>380617.22096331924</v>
      </c>
      <c r="I373" s="347">
        <f t="shared" si="52"/>
        <v>0</v>
      </c>
      <c r="J373" s="347">
        <f t="shared" si="53"/>
        <v>0</v>
      </c>
      <c r="K373"/>
      <c r="L373"/>
      <c r="M373"/>
      <c r="N373"/>
      <c r="O373"/>
      <c r="P373"/>
      <c r="Q373"/>
      <c r="R373"/>
      <c r="S373"/>
      <c r="T373"/>
      <c r="U373"/>
      <c r="V373"/>
      <c r="W373"/>
      <c r="X373"/>
      <c r="Y373"/>
      <c r="Z373"/>
      <c r="AA373"/>
      <c r="AB373"/>
      <c r="AC373"/>
    </row>
    <row r="374" spans="1:29" ht="15.75">
      <c r="A374" s="28"/>
      <c r="B374" s="346">
        <f t="shared" si="45"/>
        <v>338</v>
      </c>
      <c r="C374" s="347">
        <f t="shared" si="46"/>
        <v>0</v>
      </c>
      <c r="D374" s="347">
        <f t="shared" si="47"/>
        <v>0</v>
      </c>
      <c r="E374" s="347">
        <f t="shared" si="48"/>
        <v>0</v>
      </c>
      <c r="F374" s="347">
        <f t="shared" si="49"/>
        <v>399999.99999999965</v>
      </c>
      <c r="G374" s="347">
        <f t="shared" si="50"/>
        <v>0</v>
      </c>
      <c r="H374" s="347">
        <f t="shared" si="51"/>
        <v>380617.22096331924</v>
      </c>
      <c r="I374" s="347">
        <f t="shared" si="52"/>
        <v>0</v>
      </c>
      <c r="J374" s="347">
        <f t="shared" si="53"/>
        <v>0</v>
      </c>
      <c r="K374"/>
      <c r="L374"/>
      <c r="M374"/>
      <c r="N374"/>
      <c r="O374"/>
      <c r="P374"/>
      <c r="Q374"/>
      <c r="R374"/>
      <c r="S374"/>
      <c r="T374"/>
      <c r="U374"/>
      <c r="V374"/>
      <c r="W374"/>
      <c r="X374"/>
      <c r="Y374"/>
      <c r="Z374"/>
      <c r="AA374"/>
      <c r="AB374"/>
      <c r="AC374"/>
    </row>
    <row r="375" spans="1:29" ht="15.75">
      <c r="A375" s="28"/>
      <c r="B375" s="346">
        <f t="shared" si="45"/>
        <v>339</v>
      </c>
      <c r="C375" s="347">
        <f t="shared" si="46"/>
        <v>0</v>
      </c>
      <c r="D375" s="347">
        <f t="shared" si="47"/>
        <v>0</v>
      </c>
      <c r="E375" s="347">
        <f t="shared" si="48"/>
        <v>0</v>
      </c>
      <c r="F375" s="347">
        <f t="shared" si="49"/>
        <v>399999.99999999965</v>
      </c>
      <c r="G375" s="347">
        <f t="shared" si="50"/>
        <v>0</v>
      </c>
      <c r="H375" s="347">
        <f t="shared" si="51"/>
        <v>380617.22096331924</v>
      </c>
      <c r="I375" s="347">
        <f t="shared" si="52"/>
        <v>0</v>
      </c>
      <c r="J375" s="347">
        <f t="shared" si="53"/>
        <v>0</v>
      </c>
      <c r="K375"/>
      <c r="L375"/>
      <c r="M375"/>
      <c r="N375"/>
      <c r="O375"/>
      <c r="P375"/>
      <c r="Q375"/>
      <c r="R375"/>
      <c r="S375"/>
      <c r="T375"/>
      <c r="U375"/>
      <c r="V375"/>
      <c r="W375"/>
      <c r="X375"/>
      <c r="Y375"/>
      <c r="Z375"/>
      <c r="AA375"/>
      <c r="AB375"/>
      <c r="AC375"/>
    </row>
    <row r="376" spans="1:29" ht="15.75">
      <c r="A376" s="28"/>
      <c r="B376" s="346">
        <f t="shared" si="45"/>
        <v>340</v>
      </c>
      <c r="C376" s="347">
        <f t="shared" si="46"/>
        <v>0</v>
      </c>
      <c r="D376" s="347">
        <f t="shared" si="47"/>
        <v>0</v>
      </c>
      <c r="E376" s="347">
        <f t="shared" si="48"/>
        <v>0</v>
      </c>
      <c r="F376" s="347">
        <f t="shared" si="49"/>
        <v>399999.99999999965</v>
      </c>
      <c r="G376" s="347">
        <f t="shared" si="50"/>
        <v>0</v>
      </c>
      <c r="H376" s="347">
        <f t="shared" si="51"/>
        <v>380617.22096331924</v>
      </c>
      <c r="I376" s="347">
        <f t="shared" si="52"/>
        <v>0</v>
      </c>
      <c r="J376" s="347">
        <f t="shared" si="53"/>
        <v>0</v>
      </c>
      <c r="K376"/>
      <c r="L376"/>
      <c r="M376"/>
      <c r="N376"/>
      <c r="O376"/>
      <c r="P376"/>
      <c r="Q376"/>
      <c r="R376"/>
      <c r="S376"/>
      <c r="T376"/>
      <c r="U376"/>
      <c r="V376"/>
      <c r="W376"/>
      <c r="X376"/>
      <c r="Y376"/>
      <c r="Z376"/>
      <c r="AA376"/>
      <c r="AB376"/>
      <c r="AC376"/>
    </row>
    <row r="377" spans="1:29" ht="15.75">
      <c r="A377" s="28"/>
      <c r="B377" s="346">
        <f t="shared" si="45"/>
        <v>341</v>
      </c>
      <c r="C377" s="347">
        <f t="shared" si="46"/>
        <v>0</v>
      </c>
      <c r="D377" s="347">
        <f t="shared" si="47"/>
        <v>0</v>
      </c>
      <c r="E377" s="347">
        <f t="shared" si="48"/>
        <v>0</v>
      </c>
      <c r="F377" s="347">
        <f t="shared" si="49"/>
        <v>399999.99999999965</v>
      </c>
      <c r="G377" s="347">
        <f t="shared" si="50"/>
        <v>0</v>
      </c>
      <c r="H377" s="347">
        <f t="shared" si="51"/>
        <v>380617.22096331924</v>
      </c>
      <c r="I377" s="347">
        <f t="shared" si="52"/>
        <v>0</v>
      </c>
      <c r="J377" s="347">
        <f t="shared" si="53"/>
        <v>0</v>
      </c>
      <c r="K377"/>
      <c r="L377"/>
      <c r="M377"/>
      <c r="N377"/>
      <c r="O377"/>
      <c r="P377"/>
      <c r="Q377"/>
      <c r="R377"/>
      <c r="S377"/>
      <c r="T377"/>
      <c r="U377"/>
      <c r="V377"/>
      <c r="W377"/>
      <c r="X377"/>
      <c r="Y377"/>
      <c r="Z377"/>
      <c r="AA377"/>
      <c r="AB377"/>
      <c r="AC377"/>
    </row>
    <row r="378" spans="1:29" ht="15.75">
      <c r="A378" s="28"/>
      <c r="B378" s="346">
        <f t="shared" si="45"/>
        <v>342</v>
      </c>
      <c r="C378" s="347">
        <f t="shared" si="46"/>
        <v>0</v>
      </c>
      <c r="D378" s="347">
        <f t="shared" si="47"/>
        <v>0</v>
      </c>
      <c r="E378" s="347">
        <f t="shared" si="48"/>
        <v>0</v>
      </c>
      <c r="F378" s="347">
        <f t="shared" si="49"/>
        <v>399999.99999999965</v>
      </c>
      <c r="G378" s="347">
        <f t="shared" si="50"/>
        <v>0</v>
      </c>
      <c r="H378" s="347">
        <f t="shared" si="51"/>
        <v>380617.22096331924</v>
      </c>
      <c r="I378" s="347">
        <f t="shared" si="52"/>
        <v>0</v>
      </c>
      <c r="J378" s="347">
        <f t="shared" si="53"/>
        <v>0</v>
      </c>
      <c r="K378"/>
      <c r="L378"/>
      <c r="M378"/>
      <c r="N378"/>
      <c r="O378"/>
      <c r="P378"/>
      <c r="Q378"/>
      <c r="R378"/>
      <c r="S378"/>
      <c r="T378"/>
      <c r="U378"/>
      <c r="V378"/>
      <c r="W378"/>
      <c r="X378"/>
      <c r="Y378"/>
      <c r="Z378"/>
      <c r="AA378"/>
      <c r="AB378"/>
      <c r="AC378"/>
    </row>
    <row r="379" spans="1:29" ht="15.75">
      <c r="A379" s="28"/>
      <c r="B379" s="346">
        <f t="shared" si="45"/>
        <v>343</v>
      </c>
      <c r="C379" s="347">
        <f t="shared" si="46"/>
        <v>0</v>
      </c>
      <c r="D379" s="347">
        <f t="shared" si="47"/>
        <v>0</v>
      </c>
      <c r="E379" s="347">
        <f t="shared" si="48"/>
        <v>0</v>
      </c>
      <c r="F379" s="347">
        <f t="shared" si="49"/>
        <v>399999.99999999965</v>
      </c>
      <c r="G379" s="347">
        <f t="shared" si="50"/>
        <v>0</v>
      </c>
      <c r="H379" s="347">
        <f t="shared" si="51"/>
        <v>380617.22096331924</v>
      </c>
      <c r="I379" s="347">
        <f t="shared" si="52"/>
        <v>0</v>
      </c>
      <c r="J379" s="347">
        <f t="shared" si="53"/>
        <v>0</v>
      </c>
      <c r="K379"/>
      <c r="L379"/>
      <c r="M379"/>
      <c r="N379"/>
      <c r="O379"/>
      <c r="P379"/>
      <c r="Q379"/>
      <c r="R379"/>
      <c r="S379"/>
      <c r="T379"/>
      <c r="U379"/>
      <c r="V379"/>
      <c r="W379"/>
      <c r="X379"/>
      <c r="Y379"/>
      <c r="Z379"/>
      <c r="AA379"/>
      <c r="AB379"/>
      <c r="AC379"/>
    </row>
    <row r="380" spans="1:29" ht="15.75">
      <c r="A380" s="28"/>
      <c r="B380" s="346">
        <f t="shared" si="45"/>
        <v>344</v>
      </c>
      <c r="C380" s="347">
        <f t="shared" si="46"/>
        <v>0</v>
      </c>
      <c r="D380" s="347">
        <f t="shared" si="47"/>
        <v>0</v>
      </c>
      <c r="E380" s="347">
        <f t="shared" si="48"/>
        <v>0</v>
      </c>
      <c r="F380" s="347">
        <f t="shared" si="49"/>
        <v>399999.99999999965</v>
      </c>
      <c r="G380" s="347">
        <f t="shared" si="50"/>
        <v>0</v>
      </c>
      <c r="H380" s="347">
        <f t="shared" si="51"/>
        <v>380617.22096331924</v>
      </c>
      <c r="I380" s="347">
        <f t="shared" si="52"/>
        <v>0</v>
      </c>
      <c r="J380" s="347">
        <f t="shared" si="53"/>
        <v>0</v>
      </c>
      <c r="K380"/>
      <c r="L380"/>
      <c r="M380"/>
      <c r="N380"/>
      <c r="O380"/>
      <c r="P380"/>
      <c r="Q380"/>
      <c r="R380"/>
      <c r="S380"/>
      <c r="T380"/>
      <c r="U380"/>
      <c r="V380"/>
      <c r="W380"/>
      <c r="X380"/>
      <c r="Y380"/>
      <c r="Z380"/>
      <c r="AA380"/>
      <c r="AB380"/>
      <c r="AC380"/>
    </row>
    <row r="381" spans="1:29" ht="15.75">
      <c r="A381" s="28"/>
      <c r="B381" s="346">
        <f t="shared" si="45"/>
        <v>345</v>
      </c>
      <c r="C381" s="347">
        <f t="shared" si="46"/>
        <v>0</v>
      </c>
      <c r="D381" s="347">
        <f t="shared" si="47"/>
        <v>0</v>
      </c>
      <c r="E381" s="347">
        <f t="shared" si="48"/>
        <v>0</v>
      </c>
      <c r="F381" s="347">
        <f t="shared" si="49"/>
        <v>399999.99999999965</v>
      </c>
      <c r="G381" s="347">
        <f t="shared" si="50"/>
        <v>0</v>
      </c>
      <c r="H381" s="347">
        <f t="shared" si="51"/>
        <v>380617.22096331924</v>
      </c>
      <c r="I381" s="347">
        <f t="shared" si="52"/>
        <v>0</v>
      </c>
      <c r="J381" s="347">
        <f t="shared" si="53"/>
        <v>0</v>
      </c>
      <c r="K381"/>
      <c r="L381"/>
      <c r="M381"/>
      <c r="N381"/>
      <c r="O381"/>
      <c r="P381"/>
      <c r="Q381"/>
      <c r="R381"/>
      <c r="S381"/>
      <c r="T381"/>
      <c r="U381"/>
      <c r="V381"/>
      <c r="W381"/>
      <c r="X381"/>
      <c r="Y381"/>
      <c r="Z381"/>
      <c r="AA381"/>
      <c r="AB381"/>
      <c r="AC381"/>
    </row>
    <row r="382" spans="1:29" ht="15.75">
      <c r="A382" s="28"/>
      <c r="B382" s="346">
        <f t="shared" si="45"/>
        <v>346</v>
      </c>
      <c r="C382" s="347">
        <f t="shared" si="46"/>
        <v>0</v>
      </c>
      <c r="D382" s="347">
        <f t="shared" si="47"/>
        <v>0</v>
      </c>
      <c r="E382" s="347">
        <f t="shared" si="48"/>
        <v>0</v>
      </c>
      <c r="F382" s="347">
        <f t="shared" si="49"/>
        <v>399999.99999999965</v>
      </c>
      <c r="G382" s="347">
        <f t="shared" si="50"/>
        <v>0</v>
      </c>
      <c r="H382" s="347">
        <f t="shared" si="51"/>
        <v>380617.22096331924</v>
      </c>
      <c r="I382" s="347">
        <f t="shared" si="52"/>
        <v>0</v>
      </c>
      <c r="J382" s="347">
        <f t="shared" si="53"/>
        <v>0</v>
      </c>
      <c r="K382"/>
      <c r="L382"/>
      <c r="M382"/>
      <c r="N382"/>
      <c r="O382"/>
      <c r="P382"/>
      <c r="Q382"/>
      <c r="R382"/>
      <c r="S382"/>
      <c r="T382"/>
      <c r="U382"/>
      <c r="V382"/>
      <c r="W382"/>
      <c r="X382"/>
      <c r="Y382"/>
      <c r="Z382"/>
      <c r="AA382"/>
      <c r="AB382"/>
      <c r="AC382"/>
    </row>
    <row r="383" spans="1:29" ht="15.75">
      <c r="A383" s="28"/>
      <c r="B383" s="346">
        <f t="shared" si="45"/>
        <v>347</v>
      </c>
      <c r="C383" s="347">
        <f t="shared" si="46"/>
        <v>0</v>
      </c>
      <c r="D383" s="347">
        <f t="shared" si="47"/>
        <v>0</v>
      </c>
      <c r="E383" s="347">
        <f t="shared" si="48"/>
        <v>0</v>
      </c>
      <c r="F383" s="347">
        <f t="shared" si="49"/>
        <v>399999.99999999965</v>
      </c>
      <c r="G383" s="347">
        <f t="shared" si="50"/>
        <v>0</v>
      </c>
      <c r="H383" s="347">
        <f t="shared" si="51"/>
        <v>380617.22096331924</v>
      </c>
      <c r="I383" s="347">
        <f t="shared" si="52"/>
        <v>0</v>
      </c>
      <c r="J383" s="347">
        <f t="shared" si="53"/>
        <v>0</v>
      </c>
      <c r="K383"/>
      <c r="L383"/>
      <c r="M383"/>
      <c r="N383"/>
      <c r="O383"/>
      <c r="P383"/>
      <c r="Q383"/>
      <c r="R383"/>
      <c r="S383"/>
      <c r="T383"/>
      <c r="U383"/>
      <c r="V383"/>
      <c r="W383"/>
      <c r="X383"/>
      <c r="Y383"/>
      <c r="Z383"/>
      <c r="AA383"/>
      <c r="AB383"/>
      <c r="AC383"/>
    </row>
    <row r="384" spans="1:29" ht="15.75">
      <c r="A384" s="28"/>
      <c r="B384" s="346">
        <f t="shared" si="45"/>
        <v>348</v>
      </c>
      <c r="C384" s="347">
        <f t="shared" si="46"/>
        <v>0</v>
      </c>
      <c r="D384" s="347">
        <f t="shared" si="47"/>
        <v>0</v>
      </c>
      <c r="E384" s="347">
        <f t="shared" si="48"/>
        <v>0</v>
      </c>
      <c r="F384" s="347">
        <f t="shared" si="49"/>
        <v>399999.99999999965</v>
      </c>
      <c r="G384" s="347">
        <f t="shared" si="50"/>
        <v>0</v>
      </c>
      <c r="H384" s="347">
        <f t="shared" si="51"/>
        <v>380617.22096331924</v>
      </c>
      <c r="I384" s="347">
        <f t="shared" si="52"/>
        <v>0</v>
      </c>
      <c r="J384" s="347">
        <f t="shared" si="53"/>
        <v>0</v>
      </c>
      <c r="K384"/>
      <c r="L384"/>
      <c r="M384"/>
      <c r="N384"/>
      <c r="O384"/>
      <c r="P384"/>
      <c r="Q384"/>
      <c r="R384"/>
      <c r="S384"/>
      <c r="T384"/>
      <c r="U384"/>
      <c r="V384"/>
      <c r="W384"/>
      <c r="X384"/>
      <c r="Y384"/>
      <c r="Z384"/>
      <c r="AA384"/>
      <c r="AB384"/>
      <c r="AC384"/>
    </row>
    <row r="385" spans="1:29" ht="15.75">
      <c r="A385" s="28"/>
      <c r="B385" s="346">
        <f t="shared" si="45"/>
        <v>349</v>
      </c>
      <c r="C385" s="347">
        <f t="shared" si="46"/>
        <v>0</v>
      </c>
      <c r="D385" s="347">
        <f t="shared" si="47"/>
        <v>0</v>
      </c>
      <c r="E385" s="347">
        <f t="shared" si="48"/>
        <v>0</v>
      </c>
      <c r="F385" s="347">
        <f t="shared" si="49"/>
        <v>399999.99999999965</v>
      </c>
      <c r="G385" s="347">
        <f t="shared" si="50"/>
        <v>0</v>
      </c>
      <c r="H385" s="347">
        <f t="shared" si="51"/>
        <v>380617.22096331924</v>
      </c>
      <c r="I385" s="347">
        <f t="shared" si="52"/>
        <v>0</v>
      </c>
      <c r="J385" s="347">
        <f t="shared" si="53"/>
        <v>0</v>
      </c>
      <c r="K385"/>
      <c r="L385"/>
      <c r="M385"/>
      <c r="N385"/>
      <c r="O385"/>
      <c r="P385"/>
      <c r="Q385"/>
      <c r="R385"/>
      <c r="S385"/>
      <c r="T385"/>
      <c r="U385"/>
      <c r="V385"/>
      <c r="W385"/>
      <c r="X385"/>
      <c r="Y385"/>
      <c r="Z385"/>
      <c r="AA385"/>
      <c r="AB385"/>
      <c r="AC385"/>
    </row>
    <row r="386" spans="1:29" ht="15.75">
      <c r="A386" s="28"/>
      <c r="B386" s="346">
        <f t="shared" si="45"/>
        <v>350</v>
      </c>
      <c r="C386" s="347">
        <f t="shared" si="46"/>
        <v>0</v>
      </c>
      <c r="D386" s="347">
        <f t="shared" si="47"/>
        <v>0</v>
      </c>
      <c r="E386" s="347">
        <f t="shared" si="48"/>
        <v>0</v>
      </c>
      <c r="F386" s="347">
        <f t="shared" si="49"/>
        <v>399999.99999999965</v>
      </c>
      <c r="G386" s="347">
        <f t="shared" si="50"/>
        <v>0</v>
      </c>
      <c r="H386" s="347">
        <f t="shared" si="51"/>
        <v>380617.22096331924</v>
      </c>
      <c r="I386" s="347">
        <f t="shared" si="52"/>
        <v>0</v>
      </c>
      <c r="J386" s="347">
        <f t="shared" si="53"/>
        <v>0</v>
      </c>
      <c r="K386"/>
      <c r="L386"/>
      <c r="M386"/>
      <c r="N386"/>
      <c r="O386"/>
      <c r="P386"/>
      <c r="Q386"/>
      <c r="R386"/>
      <c r="S386"/>
      <c r="T386"/>
      <c r="U386"/>
      <c r="V386"/>
      <c r="W386"/>
      <c r="X386"/>
      <c r="Y386"/>
      <c r="Z386"/>
      <c r="AA386"/>
      <c r="AB386"/>
      <c r="AC386"/>
    </row>
    <row r="387" spans="1:29" ht="15.75">
      <c r="A387" s="28"/>
      <c r="B387" s="346">
        <f t="shared" si="45"/>
        <v>351</v>
      </c>
      <c r="C387" s="347">
        <f t="shared" si="46"/>
        <v>0</v>
      </c>
      <c r="D387" s="347">
        <f t="shared" si="47"/>
        <v>0</v>
      </c>
      <c r="E387" s="347">
        <f t="shared" si="48"/>
        <v>0</v>
      </c>
      <c r="F387" s="347">
        <f t="shared" si="49"/>
        <v>399999.99999999965</v>
      </c>
      <c r="G387" s="347">
        <f t="shared" si="50"/>
        <v>0</v>
      </c>
      <c r="H387" s="347">
        <f t="shared" si="51"/>
        <v>380617.22096331924</v>
      </c>
      <c r="I387" s="347">
        <f t="shared" si="52"/>
        <v>0</v>
      </c>
      <c r="J387" s="347">
        <f t="shared" si="53"/>
        <v>0</v>
      </c>
      <c r="K387"/>
      <c r="L387"/>
      <c r="M387"/>
      <c r="N387"/>
      <c r="O387"/>
      <c r="P387"/>
      <c r="Q387"/>
      <c r="R387"/>
      <c r="S387"/>
      <c r="T387"/>
      <c r="U387"/>
      <c r="V387"/>
      <c r="W387"/>
      <c r="X387"/>
      <c r="Y387"/>
      <c r="Z387"/>
      <c r="AA387"/>
      <c r="AB387"/>
      <c r="AC387"/>
    </row>
    <row r="388" spans="1:29" ht="15.75">
      <c r="A388" s="28"/>
      <c r="B388" s="346">
        <f t="shared" si="45"/>
        <v>352</v>
      </c>
      <c r="C388" s="347">
        <f t="shared" si="46"/>
        <v>0</v>
      </c>
      <c r="D388" s="347">
        <f t="shared" si="47"/>
        <v>0</v>
      </c>
      <c r="E388" s="347">
        <f t="shared" si="48"/>
        <v>0</v>
      </c>
      <c r="F388" s="347">
        <f t="shared" si="49"/>
        <v>399999.99999999965</v>
      </c>
      <c r="G388" s="347">
        <f t="shared" si="50"/>
        <v>0</v>
      </c>
      <c r="H388" s="347">
        <f t="shared" si="51"/>
        <v>380617.22096331924</v>
      </c>
      <c r="I388" s="347">
        <f t="shared" si="52"/>
        <v>0</v>
      </c>
      <c r="J388" s="347">
        <f t="shared" si="53"/>
        <v>0</v>
      </c>
      <c r="K388"/>
      <c r="L388"/>
      <c r="M388"/>
      <c r="N388"/>
      <c r="O388"/>
      <c r="P388"/>
      <c r="Q388"/>
      <c r="R388"/>
      <c r="S388"/>
      <c r="T388"/>
      <c r="U388"/>
      <c r="V388"/>
      <c r="W388"/>
      <c r="X388"/>
      <c r="Y388"/>
      <c r="Z388"/>
      <c r="AA388"/>
      <c r="AB388"/>
      <c r="AC388"/>
    </row>
    <row r="389" spans="1:29" ht="15.75">
      <c r="A389" s="28"/>
      <c r="B389" s="346">
        <f t="shared" si="45"/>
        <v>353</v>
      </c>
      <c r="C389" s="347">
        <f t="shared" si="46"/>
        <v>0</v>
      </c>
      <c r="D389" s="347">
        <f t="shared" si="47"/>
        <v>0</v>
      </c>
      <c r="E389" s="347">
        <f t="shared" si="48"/>
        <v>0</v>
      </c>
      <c r="F389" s="347">
        <f t="shared" si="49"/>
        <v>399999.99999999965</v>
      </c>
      <c r="G389" s="347">
        <f t="shared" si="50"/>
        <v>0</v>
      </c>
      <c r="H389" s="347">
        <f t="shared" si="51"/>
        <v>380617.22096331924</v>
      </c>
      <c r="I389" s="347">
        <f t="shared" si="52"/>
        <v>0</v>
      </c>
      <c r="J389" s="347">
        <f t="shared" si="53"/>
        <v>0</v>
      </c>
      <c r="K389"/>
      <c r="L389"/>
      <c r="M389"/>
      <c r="N389"/>
      <c r="O389"/>
      <c r="P389"/>
      <c r="Q389"/>
      <c r="R389"/>
      <c r="S389"/>
      <c r="T389"/>
      <c r="U389"/>
      <c r="V389"/>
      <c r="W389"/>
      <c r="X389"/>
      <c r="Y389"/>
      <c r="Z389"/>
      <c r="AA389"/>
      <c r="AB389"/>
      <c r="AC389"/>
    </row>
    <row r="390" spans="1:29" ht="15.75">
      <c r="A390" s="28"/>
      <c r="B390" s="346">
        <f t="shared" si="45"/>
        <v>354</v>
      </c>
      <c r="C390" s="347">
        <f t="shared" si="46"/>
        <v>0</v>
      </c>
      <c r="D390" s="347">
        <f t="shared" si="47"/>
        <v>0</v>
      </c>
      <c r="E390" s="347">
        <f t="shared" si="48"/>
        <v>0</v>
      </c>
      <c r="F390" s="347">
        <f t="shared" si="49"/>
        <v>399999.99999999965</v>
      </c>
      <c r="G390" s="347">
        <f t="shared" si="50"/>
        <v>0</v>
      </c>
      <c r="H390" s="347">
        <f t="shared" si="51"/>
        <v>380617.22096331924</v>
      </c>
      <c r="I390" s="347">
        <f t="shared" si="52"/>
        <v>0</v>
      </c>
      <c r="J390" s="347">
        <f t="shared" si="53"/>
        <v>0</v>
      </c>
      <c r="K390"/>
      <c r="L390"/>
      <c r="M390"/>
      <c r="N390"/>
      <c r="O390"/>
      <c r="P390"/>
      <c r="Q390"/>
      <c r="R390"/>
      <c r="S390"/>
      <c r="T390"/>
      <c r="U390"/>
      <c r="V390"/>
      <c r="W390"/>
      <c r="X390"/>
      <c r="Y390"/>
      <c r="Z390"/>
      <c r="AA390"/>
      <c r="AB390"/>
      <c r="AC390"/>
    </row>
    <row r="391" spans="1:29" ht="15.75">
      <c r="A391" s="28"/>
      <c r="B391" s="346">
        <f t="shared" si="45"/>
        <v>355</v>
      </c>
      <c r="C391" s="347">
        <f t="shared" si="46"/>
        <v>0</v>
      </c>
      <c r="D391" s="347">
        <f t="shared" si="47"/>
        <v>0</v>
      </c>
      <c r="E391" s="347">
        <f t="shared" si="48"/>
        <v>0</v>
      </c>
      <c r="F391" s="347">
        <f t="shared" si="49"/>
        <v>399999.99999999965</v>
      </c>
      <c r="G391" s="347">
        <f t="shared" si="50"/>
        <v>0</v>
      </c>
      <c r="H391" s="347">
        <f t="shared" si="51"/>
        <v>380617.22096331924</v>
      </c>
      <c r="I391" s="347">
        <f t="shared" si="52"/>
        <v>0</v>
      </c>
      <c r="J391" s="347">
        <f t="shared" si="53"/>
        <v>0</v>
      </c>
      <c r="K391"/>
      <c r="L391"/>
      <c r="M391"/>
      <c r="N391"/>
      <c r="O391"/>
      <c r="P391"/>
      <c r="Q391"/>
      <c r="R391"/>
      <c r="S391"/>
      <c r="T391"/>
      <c r="U391"/>
      <c r="V391"/>
      <c r="W391"/>
      <c r="X391"/>
      <c r="Y391"/>
      <c r="Z391"/>
      <c r="AA391"/>
      <c r="AB391"/>
      <c r="AC391"/>
    </row>
    <row r="392" spans="1:29" ht="15.75">
      <c r="A392" s="28"/>
      <c r="B392" s="346">
        <f t="shared" si="45"/>
        <v>356</v>
      </c>
      <c r="C392" s="347">
        <f t="shared" si="46"/>
        <v>0</v>
      </c>
      <c r="D392" s="347">
        <f t="shared" si="47"/>
        <v>0</v>
      </c>
      <c r="E392" s="347">
        <f t="shared" si="48"/>
        <v>0</v>
      </c>
      <c r="F392" s="347">
        <f t="shared" si="49"/>
        <v>399999.99999999965</v>
      </c>
      <c r="G392" s="347">
        <f t="shared" si="50"/>
        <v>0</v>
      </c>
      <c r="H392" s="347">
        <f t="shared" si="51"/>
        <v>380617.22096331924</v>
      </c>
      <c r="I392" s="347">
        <f t="shared" si="52"/>
        <v>0</v>
      </c>
      <c r="J392" s="347">
        <f t="shared" si="53"/>
        <v>0</v>
      </c>
      <c r="K392"/>
      <c r="L392"/>
      <c r="M392"/>
      <c r="N392"/>
      <c r="O392"/>
      <c r="P392"/>
      <c r="Q392"/>
      <c r="R392"/>
      <c r="S392"/>
      <c r="T392"/>
      <c r="U392"/>
      <c r="V392"/>
      <c r="W392"/>
      <c r="X392"/>
      <c r="Y392"/>
      <c r="Z392"/>
      <c r="AA392"/>
      <c r="AB392"/>
      <c r="AC392"/>
    </row>
    <row r="393" spans="1:29" ht="15.75">
      <c r="A393" s="28"/>
      <c r="B393" s="346">
        <f t="shared" si="45"/>
        <v>357</v>
      </c>
      <c r="C393" s="347">
        <f t="shared" si="46"/>
        <v>0</v>
      </c>
      <c r="D393" s="347">
        <f t="shared" si="47"/>
        <v>0</v>
      </c>
      <c r="E393" s="347">
        <f t="shared" si="48"/>
        <v>0</v>
      </c>
      <c r="F393" s="347">
        <f t="shared" si="49"/>
        <v>399999.99999999965</v>
      </c>
      <c r="G393" s="347">
        <f t="shared" si="50"/>
        <v>0</v>
      </c>
      <c r="H393" s="347">
        <f t="shared" si="51"/>
        <v>380617.22096331924</v>
      </c>
      <c r="I393" s="347">
        <f t="shared" si="52"/>
        <v>0</v>
      </c>
      <c r="J393" s="347">
        <f t="shared" si="53"/>
        <v>0</v>
      </c>
      <c r="K393"/>
      <c r="L393"/>
      <c r="M393"/>
      <c r="N393"/>
      <c r="O393"/>
      <c r="P393"/>
      <c r="Q393"/>
      <c r="R393"/>
      <c r="S393"/>
      <c r="T393"/>
      <c r="U393"/>
      <c r="V393"/>
      <c r="W393"/>
      <c r="X393"/>
      <c r="Y393"/>
      <c r="Z393"/>
      <c r="AA393"/>
      <c r="AB393"/>
      <c r="AC393"/>
    </row>
    <row r="394" spans="1:29" ht="15.75">
      <c r="A394" s="28"/>
      <c r="B394" s="346">
        <f t="shared" si="45"/>
        <v>358</v>
      </c>
      <c r="C394" s="347">
        <f t="shared" si="46"/>
        <v>0</v>
      </c>
      <c r="D394" s="347">
        <f t="shared" si="47"/>
        <v>0</v>
      </c>
      <c r="E394" s="347">
        <f t="shared" si="48"/>
        <v>0</v>
      </c>
      <c r="F394" s="347">
        <f t="shared" si="49"/>
        <v>399999.99999999965</v>
      </c>
      <c r="G394" s="347">
        <f t="shared" si="50"/>
        <v>0</v>
      </c>
      <c r="H394" s="347">
        <f t="shared" si="51"/>
        <v>380617.22096331924</v>
      </c>
      <c r="I394" s="347">
        <f t="shared" si="52"/>
        <v>0</v>
      </c>
      <c r="J394" s="347">
        <f t="shared" si="53"/>
        <v>0</v>
      </c>
      <c r="K394"/>
      <c r="L394"/>
      <c r="M394"/>
      <c r="N394"/>
      <c r="O394"/>
      <c r="P394"/>
      <c r="Q394"/>
      <c r="R394"/>
      <c r="S394"/>
      <c r="T394"/>
      <c r="U394"/>
      <c r="V394"/>
      <c r="W394"/>
      <c r="X394"/>
      <c r="Y394"/>
      <c r="Z394"/>
      <c r="AA394"/>
      <c r="AB394"/>
      <c r="AC394"/>
    </row>
    <row r="395" spans="1:29" ht="15.75">
      <c r="A395" s="28"/>
      <c r="B395" s="346">
        <f t="shared" si="45"/>
        <v>359</v>
      </c>
      <c r="C395" s="347">
        <f t="shared" si="46"/>
        <v>0</v>
      </c>
      <c r="D395" s="347">
        <f t="shared" si="47"/>
        <v>0</v>
      </c>
      <c r="E395" s="347">
        <f t="shared" si="48"/>
        <v>0</v>
      </c>
      <c r="F395" s="347">
        <f t="shared" si="49"/>
        <v>399999.99999999965</v>
      </c>
      <c r="G395" s="347">
        <f t="shared" si="50"/>
        <v>0</v>
      </c>
      <c r="H395" s="347">
        <f t="shared" si="51"/>
        <v>380617.22096331924</v>
      </c>
      <c r="I395" s="347">
        <f t="shared" si="52"/>
        <v>0</v>
      </c>
      <c r="J395" s="347">
        <f t="shared" si="53"/>
        <v>0</v>
      </c>
      <c r="K395"/>
      <c r="L395"/>
      <c r="M395"/>
      <c r="N395"/>
      <c r="O395"/>
      <c r="P395"/>
      <c r="Q395"/>
      <c r="R395"/>
      <c r="S395"/>
      <c r="T395"/>
      <c r="U395"/>
      <c r="V395"/>
      <c r="W395"/>
      <c r="X395"/>
      <c r="Y395"/>
      <c r="Z395"/>
      <c r="AA395"/>
      <c r="AB395"/>
      <c r="AC395"/>
    </row>
    <row r="396" spans="1:29" ht="15.75">
      <c r="A396" s="28"/>
      <c r="B396" s="346">
        <f t="shared" si="45"/>
        <v>360</v>
      </c>
      <c r="C396" s="347">
        <f t="shared" si="46"/>
        <v>0</v>
      </c>
      <c r="D396" s="347">
        <f t="shared" si="47"/>
        <v>0</v>
      </c>
      <c r="E396" s="347">
        <f t="shared" si="48"/>
        <v>0</v>
      </c>
      <c r="F396" s="347">
        <f t="shared" si="49"/>
        <v>399999.99999999965</v>
      </c>
      <c r="G396" s="347">
        <f t="shared" si="50"/>
        <v>0</v>
      </c>
      <c r="H396" s="347">
        <f t="shared" si="51"/>
        <v>380617.22096331924</v>
      </c>
      <c r="I396" s="347">
        <f t="shared" si="52"/>
        <v>0</v>
      </c>
      <c r="J396" s="347">
        <f t="shared" si="53"/>
        <v>0</v>
      </c>
      <c r="K396"/>
      <c r="L396"/>
      <c r="M396"/>
      <c r="N396"/>
      <c r="O396"/>
      <c r="P396"/>
      <c r="Q396"/>
      <c r="R396"/>
      <c r="S396"/>
      <c r="T396"/>
      <c r="U396"/>
      <c r="V396"/>
      <c r="W396"/>
      <c r="X396"/>
      <c r="Y396"/>
      <c r="Z396"/>
      <c r="AA396"/>
      <c r="AB396"/>
      <c r="AC396"/>
    </row>
    <row r="397" spans="1:29" ht="15.75">
      <c r="A397"/>
      <c r="B397"/>
      <c r="C397"/>
      <c r="D397"/>
      <c r="E397"/>
      <c r="F397"/>
      <c r="G397"/>
      <c r="H397"/>
      <c r="I397"/>
      <c r="J397"/>
      <c r="K397"/>
      <c r="L397"/>
      <c r="M397"/>
      <c r="N397"/>
      <c r="O397"/>
      <c r="P397"/>
      <c r="Q397"/>
      <c r="R397"/>
      <c r="S397"/>
      <c r="T397"/>
      <c r="U397"/>
      <c r="V397"/>
      <c r="W397"/>
      <c r="X397"/>
      <c r="Y397"/>
      <c r="Z397"/>
      <c r="AA397"/>
      <c r="AB397"/>
      <c r="AC397"/>
    </row>
    <row r="398" spans="1:29" ht="15.75">
      <c r="A398"/>
      <c r="B398"/>
      <c r="C398"/>
      <c r="D398"/>
      <c r="E398"/>
      <c r="F398"/>
      <c r="G398"/>
      <c r="H398"/>
      <c r="I398"/>
      <c r="J398"/>
      <c r="K398"/>
      <c r="L398"/>
      <c r="M398"/>
      <c r="N398"/>
      <c r="O398"/>
      <c r="P398"/>
      <c r="Q398"/>
      <c r="R398"/>
      <c r="S398"/>
      <c r="T398"/>
      <c r="U398"/>
      <c r="V398"/>
      <c r="W398"/>
      <c r="X398"/>
      <c r="Y398"/>
      <c r="Z398"/>
      <c r="AA398"/>
      <c r="AB398"/>
      <c r="AC398"/>
    </row>
    <row r="399" spans="1:29" ht="15.75">
      <c r="A399" s="28"/>
      <c r="B399" s="28"/>
      <c r="C399" s="28"/>
      <c r="D399" s="28"/>
      <c r="E399" s="28"/>
      <c r="F399" s="28"/>
      <c r="G399" s="28"/>
      <c r="H399" s="28"/>
      <c r="I399" s="28"/>
      <c r="J399" s="28"/>
      <c r="K399" s="28"/>
      <c r="L399"/>
      <c r="M399"/>
      <c r="N399"/>
      <c r="O399"/>
      <c r="P399"/>
      <c r="Q399"/>
      <c r="R399"/>
      <c r="S399"/>
      <c r="T399"/>
      <c r="U399"/>
      <c r="V399"/>
      <c r="W399"/>
      <c r="X399"/>
      <c r="Y399"/>
      <c r="Z399"/>
      <c r="AA399"/>
      <c r="AB399"/>
      <c r="AC399"/>
    </row>
    <row r="400" spans="1:29" ht="15.75">
      <c r="A400"/>
      <c r="B400"/>
      <c r="C400"/>
      <c r="D400"/>
      <c r="E400"/>
      <c r="F400"/>
      <c r="G400"/>
      <c r="H400"/>
      <c r="I400"/>
      <c r="J400"/>
      <c r="K400"/>
      <c r="L400"/>
      <c r="M400"/>
      <c r="N400"/>
      <c r="O400"/>
      <c r="P400"/>
      <c r="Q400"/>
      <c r="R400"/>
      <c r="S400"/>
      <c r="T400"/>
      <c r="U400"/>
      <c r="V400"/>
      <c r="W400"/>
      <c r="X400"/>
      <c r="Y400"/>
      <c r="Z400"/>
      <c r="AA400"/>
      <c r="AB400"/>
      <c r="AC400"/>
    </row>
    <row r="401" spans="1:29" ht="15.75">
      <c r="A401"/>
      <c r="B401"/>
      <c r="C401"/>
      <c r="D401"/>
      <c r="E401"/>
      <c r="F401"/>
      <c r="G401"/>
      <c r="H401"/>
      <c r="I401"/>
      <c r="J401"/>
      <c r="K401"/>
      <c r="L401"/>
      <c r="M401"/>
      <c r="N401"/>
      <c r="O401"/>
      <c r="P401"/>
      <c r="Q401"/>
      <c r="R401"/>
      <c r="S401"/>
      <c r="T401"/>
      <c r="U401"/>
      <c r="V401"/>
      <c r="W401"/>
      <c r="X401"/>
      <c r="Y401"/>
      <c r="Z401"/>
      <c r="AA401"/>
      <c r="AB401"/>
      <c r="AC401"/>
    </row>
    <row r="402" spans="1:29" ht="15.75">
      <c r="A402"/>
      <c r="B402"/>
      <c r="C402"/>
      <c r="D402"/>
      <c r="E402"/>
      <c r="F402"/>
      <c r="G402"/>
      <c r="H402"/>
      <c r="I402"/>
      <c r="J402"/>
      <c r="K402"/>
      <c r="L402"/>
      <c r="M402"/>
      <c r="N402"/>
      <c r="O402"/>
      <c r="P402"/>
      <c r="Q402"/>
      <c r="R402"/>
      <c r="S402"/>
      <c r="T402"/>
      <c r="U402"/>
      <c r="V402"/>
      <c r="W402"/>
      <c r="X402"/>
      <c r="Y402"/>
      <c r="Z402"/>
      <c r="AA402"/>
      <c r="AB402"/>
      <c r="AC402"/>
    </row>
    <row r="403" spans="1:29" ht="15.75">
      <c r="A403"/>
      <c r="B403"/>
      <c r="C403"/>
      <c r="D403"/>
      <c r="E403"/>
      <c r="F403"/>
      <c r="G403"/>
      <c r="H403"/>
      <c r="I403"/>
      <c r="J403"/>
      <c r="K403"/>
      <c r="L403"/>
      <c r="M403"/>
      <c r="N403"/>
      <c r="O403"/>
      <c r="P403"/>
      <c r="Q403"/>
      <c r="R403"/>
      <c r="S403"/>
      <c r="T403"/>
      <c r="U403"/>
      <c r="V403"/>
      <c r="W403"/>
      <c r="X403"/>
      <c r="Y403"/>
      <c r="Z403"/>
      <c r="AA403"/>
      <c r="AB403"/>
      <c r="AC403"/>
    </row>
    <row r="404" spans="1:29" ht="15.75">
      <c r="A404"/>
      <c r="B404"/>
      <c r="C404"/>
      <c r="D404"/>
      <c r="E404"/>
      <c r="F404"/>
      <c r="G404"/>
      <c r="H404"/>
      <c r="I404"/>
      <c r="J404"/>
      <c r="K404"/>
      <c r="L404"/>
      <c r="M404"/>
      <c r="N404"/>
      <c r="O404"/>
      <c r="P404"/>
      <c r="Q404"/>
      <c r="R404"/>
      <c r="S404"/>
      <c r="T404"/>
      <c r="U404"/>
      <c r="V404"/>
      <c r="W404"/>
      <c r="X404"/>
      <c r="Y404"/>
      <c r="Z404"/>
      <c r="AA404"/>
      <c r="AB404"/>
      <c r="AC404"/>
    </row>
    <row r="405" spans="1:29" ht="15.75">
      <c r="A405"/>
      <c r="B405"/>
      <c r="C405"/>
      <c r="D405"/>
      <c r="E405"/>
      <c r="F405"/>
      <c r="G405"/>
      <c r="H405"/>
      <c r="I405"/>
      <c r="J405"/>
      <c r="K405"/>
      <c r="L405"/>
      <c r="M405"/>
      <c r="N405"/>
      <c r="O405"/>
      <c r="P405"/>
      <c r="Q405"/>
      <c r="R405"/>
      <c r="S405"/>
      <c r="T405"/>
      <c r="U405"/>
      <c r="V405"/>
      <c r="W405"/>
      <c r="X405"/>
      <c r="Y405"/>
      <c r="Z405"/>
      <c r="AA405"/>
      <c r="AB405"/>
      <c r="AC405"/>
    </row>
    <row r="406" spans="1:29" ht="15.75">
      <c r="A406"/>
      <c r="B406"/>
      <c r="C406"/>
      <c r="D406"/>
      <c r="E406"/>
      <c r="F406"/>
      <c r="G406"/>
      <c r="H406"/>
      <c r="I406"/>
      <c r="J406"/>
      <c r="K406"/>
      <c r="L406"/>
      <c r="M406"/>
      <c r="N406"/>
      <c r="O406"/>
      <c r="P406"/>
      <c r="Q406"/>
      <c r="R406"/>
      <c r="S406"/>
      <c r="T406"/>
      <c r="U406"/>
      <c r="V406"/>
      <c r="W406"/>
      <c r="X406"/>
      <c r="Y406"/>
      <c r="Z406"/>
      <c r="AA406"/>
      <c r="AB406"/>
      <c r="AC406"/>
    </row>
    <row r="407" spans="1:29" ht="15.75">
      <c r="A407"/>
      <c r="B407"/>
      <c r="C407"/>
      <c r="D407"/>
      <c r="E407"/>
      <c r="F407"/>
      <c r="G407"/>
      <c r="H407"/>
      <c r="I407"/>
      <c r="J407"/>
      <c r="K407"/>
      <c r="L407"/>
      <c r="M407"/>
      <c r="N407"/>
      <c r="O407"/>
      <c r="P407"/>
      <c r="Q407"/>
      <c r="R407"/>
      <c r="S407"/>
      <c r="T407"/>
      <c r="U407"/>
      <c r="V407"/>
      <c r="W407"/>
      <c r="X407"/>
      <c r="Y407"/>
      <c r="Z407"/>
      <c r="AA407"/>
      <c r="AB407"/>
      <c r="AC407"/>
    </row>
    <row r="408" spans="1:29" ht="15.75">
      <c r="A408"/>
      <c r="B408"/>
      <c r="C408"/>
      <c r="D408"/>
      <c r="E408"/>
      <c r="F408"/>
      <c r="G408"/>
      <c r="H408"/>
      <c r="I408"/>
      <c r="J408"/>
      <c r="K408"/>
      <c r="L408"/>
      <c r="M408"/>
      <c r="N408"/>
      <c r="O408"/>
      <c r="P408"/>
      <c r="Q408"/>
      <c r="R408"/>
      <c r="S408"/>
      <c r="T408"/>
      <c r="U408"/>
      <c r="V408"/>
      <c r="W408"/>
      <c r="X408"/>
      <c r="Y408"/>
      <c r="Z408"/>
      <c r="AA408"/>
      <c r="AB408"/>
      <c r="AC408"/>
    </row>
  </sheetData>
  <sheetProtection sheet="1" objects="1" scenarios="1" formatCells="0" formatColumns="0" formatRows="0"/>
  <mergeCells count="1">
    <mergeCell ref="D23:F23"/>
  </mergeCells>
  <printOptions/>
  <pageMargins left="0.75" right="0.75" top="1" bottom="1" header="0.5" footer="0.5"/>
  <pageSetup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sheetPr codeName="Sheet5"/>
  <dimension ref="A1:AC408"/>
  <sheetViews>
    <sheetView showGridLines="0" zoomScalePageLayoutView="0" workbookViewId="0" topLeftCell="A6">
      <selection activeCell="F15" sqref="F15"/>
    </sheetView>
  </sheetViews>
  <sheetFormatPr defaultColWidth="10.28125" defaultRowHeight="12.75"/>
  <cols>
    <col min="1" max="1" width="3.57421875" style="95" customWidth="1"/>
    <col min="2" max="2" width="23.7109375" style="95" customWidth="1"/>
    <col min="3" max="3" width="14.7109375" style="95" customWidth="1"/>
    <col min="4" max="4" width="17.7109375" style="95" customWidth="1"/>
    <col min="5" max="6" width="12.7109375" style="95" customWidth="1"/>
    <col min="7" max="8" width="11.7109375" style="95" customWidth="1"/>
    <col min="9" max="9" width="13.421875" style="95" customWidth="1"/>
    <col min="10" max="10" width="11.8515625" style="95" customWidth="1"/>
    <col min="11" max="11" width="35.140625" style="95" customWidth="1"/>
    <col min="12" max="29" width="9.7109375" style="95" customWidth="1"/>
    <col min="30" max="16384" width="10.28125" style="95" customWidth="1"/>
  </cols>
  <sheetData>
    <row r="1" spans="1:29" ht="15.75">
      <c r="A1" s="28"/>
      <c r="B1" s="310" t="s">
        <v>367</v>
      </c>
      <c r="C1" s="28"/>
      <c r="D1" s="28"/>
      <c r="E1" s="28"/>
      <c r="F1" s="34" t="s">
        <v>368</v>
      </c>
      <c r="G1" s="28"/>
      <c r="H1" s="28"/>
      <c r="I1" s="28"/>
      <c r="J1" s="28"/>
      <c r="K1"/>
      <c r="L1" t="s">
        <v>369</v>
      </c>
      <c r="M1"/>
      <c r="N1"/>
      <c r="O1"/>
      <c r="P1"/>
      <c r="Q1"/>
      <c r="R1"/>
      <c r="S1"/>
      <c r="T1"/>
      <c r="U1"/>
      <c r="V1"/>
      <c r="W1"/>
      <c r="X1"/>
      <c r="Y1"/>
      <c r="Z1"/>
      <c r="AA1"/>
      <c r="AB1"/>
      <c r="AC1"/>
    </row>
    <row r="2" spans="1:29" ht="15.75">
      <c r="A2" s="28"/>
      <c r="B2" s="28"/>
      <c r="C2" s="28"/>
      <c r="D2" s="28"/>
      <c r="E2" s="28"/>
      <c r="F2" s="34" t="s">
        <v>370</v>
      </c>
      <c r="G2" s="28"/>
      <c r="H2" s="28"/>
      <c r="I2" s="28"/>
      <c r="J2" s="28"/>
      <c r="K2"/>
      <c r="L2">
        <v>0</v>
      </c>
      <c r="M2"/>
      <c r="N2"/>
      <c r="O2"/>
      <c r="P2"/>
      <c r="Q2"/>
      <c r="R2"/>
      <c r="S2"/>
      <c r="T2"/>
      <c r="U2"/>
      <c r="V2"/>
      <c r="W2"/>
      <c r="X2"/>
      <c r="Y2"/>
      <c r="Z2"/>
      <c r="AA2"/>
      <c r="AB2"/>
      <c r="AC2"/>
    </row>
    <row r="3" spans="1:29" ht="15.75">
      <c r="A3" s="28"/>
      <c r="B3" s="38" t="s">
        <v>371</v>
      </c>
      <c r="C3" s="28"/>
      <c r="D3" s="28"/>
      <c r="E3" s="28"/>
      <c r="F3" s="34" t="s">
        <v>372</v>
      </c>
      <c r="G3" s="28"/>
      <c r="H3" s="28"/>
      <c r="I3" s="28"/>
      <c r="J3" s="28"/>
      <c r="K3"/>
      <c r="L3"/>
      <c r="M3"/>
      <c r="N3"/>
      <c r="O3"/>
      <c r="P3"/>
      <c r="Q3"/>
      <c r="R3"/>
      <c r="S3"/>
      <c r="T3"/>
      <c r="U3"/>
      <c r="V3"/>
      <c r="W3"/>
      <c r="X3"/>
      <c r="Y3"/>
      <c r="Z3"/>
      <c r="AA3"/>
      <c r="AB3"/>
      <c r="AC3"/>
    </row>
    <row r="4" spans="1:29" ht="15.75">
      <c r="A4" s="28"/>
      <c r="B4" s="38" t="s">
        <v>373</v>
      </c>
      <c r="C4" s="28"/>
      <c r="D4" s="28"/>
      <c r="E4" s="28"/>
      <c r="F4" s="34" t="s">
        <v>374</v>
      </c>
      <c r="G4" s="28"/>
      <c r="H4" s="28"/>
      <c r="I4" s="28"/>
      <c r="J4" s="28"/>
      <c r="K4"/>
      <c r="L4"/>
      <c r="M4"/>
      <c r="N4"/>
      <c r="O4"/>
      <c r="P4"/>
      <c r="Q4"/>
      <c r="R4"/>
      <c r="S4"/>
      <c r="T4"/>
      <c r="U4"/>
      <c r="V4"/>
      <c r="W4"/>
      <c r="X4"/>
      <c r="Y4"/>
      <c r="Z4"/>
      <c r="AA4"/>
      <c r="AB4"/>
      <c r="AC4"/>
    </row>
    <row r="5" spans="1:29" ht="15.75">
      <c r="A5" s="28"/>
      <c r="B5" s="38" t="s">
        <v>375</v>
      </c>
      <c r="C5" s="28"/>
      <c r="D5" s="28"/>
      <c r="E5" s="28"/>
      <c r="F5" s="28"/>
      <c r="G5" s="28"/>
      <c r="H5" s="28"/>
      <c r="I5" s="28"/>
      <c r="J5" s="28"/>
      <c r="K5"/>
      <c r="L5"/>
      <c r="M5"/>
      <c r="N5"/>
      <c r="O5"/>
      <c r="P5"/>
      <c r="Q5"/>
      <c r="R5"/>
      <c r="S5"/>
      <c r="T5"/>
      <c r="U5"/>
      <c r="V5"/>
      <c r="W5"/>
      <c r="X5"/>
      <c r="Y5"/>
      <c r="Z5"/>
      <c r="AA5"/>
      <c r="AB5"/>
      <c r="AC5"/>
    </row>
    <row r="6" spans="1:29" ht="15.75">
      <c r="A6" s="28"/>
      <c r="B6" s="38" t="s">
        <v>376</v>
      </c>
      <c r="C6" s="28"/>
      <c r="D6" s="28"/>
      <c r="E6" s="28"/>
      <c r="F6" s="28" t="s">
        <v>377</v>
      </c>
      <c r="G6" s="28"/>
      <c r="H6" s="28"/>
      <c r="I6" s="28"/>
      <c r="J6" s="28"/>
      <c r="K6"/>
      <c r="L6"/>
      <c r="M6"/>
      <c r="N6"/>
      <c r="O6"/>
      <c r="P6"/>
      <c r="Q6"/>
      <c r="R6"/>
      <c r="S6"/>
      <c r="T6"/>
      <c r="U6"/>
      <c r="V6"/>
      <c r="W6"/>
      <c r="X6"/>
      <c r="Y6"/>
      <c r="Z6"/>
      <c r="AA6"/>
      <c r="AB6"/>
      <c r="AC6"/>
    </row>
    <row r="7" spans="1:29" ht="15.75">
      <c r="A7" s="28"/>
      <c r="B7" s="38" t="s">
        <v>378</v>
      </c>
      <c r="C7" s="28"/>
      <c r="D7" s="28"/>
      <c r="E7" s="28"/>
      <c r="F7" s="28" t="s">
        <v>379</v>
      </c>
      <c r="G7" s="28"/>
      <c r="H7" s="28"/>
      <c r="I7" s="28"/>
      <c r="J7" s="28"/>
      <c r="K7"/>
      <c r="L7"/>
      <c r="M7"/>
      <c r="N7"/>
      <c r="O7"/>
      <c r="P7"/>
      <c r="Q7"/>
      <c r="R7"/>
      <c r="S7"/>
      <c r="T7"/>
      <c r="U7"/>
      <c r="V7"/>
      <c r="W7"/>
      <c r="X7"/>
      <c r="Y7"/>
      <c r="Z7"/>
      <c r="AA7"/>
      <c r="AB7"/>
      <c r="AC7"/>
    </row>
    <row r="8" spans="1:29" ht="15.75">
      <c r="A8" s="28"/>
      <c r="B8" s="38" t="s">
        <v>380</v>
      </c>
      <c r="C8" s="28"/>
      <c r="D8" s="28"/>
      <c r="E8" s="28"/>
      <c r="F8" s="28" t="s">
        <v>381</v>
      </c>
      <c r="G8" s="28"/>
      <c r="H8" s="28"/>
      <c r="I8" s="28"/>
      <c r="J8" s="28"/>
      <c r="K8"/>
      <c r="L8"/>
      <c r="M8"/>
      <c r="N8"/>
      <c r="O8"/>
      <c r="P8"/>
      <c r="Q8"/>
      <c r="R8"/>
      <c r="S8"/>
      <c r="T8"/>
      <c r="U8"/>
      <c r="V8"/>
      <c r="W8"/>
      <c r="X8"/>
      <c r="Y8"/>
      <c r="Z8"/>
      <c r="AA8"/>
      <c r="AB8"/>
      <c r="AC8"/>
    </row>
    <row r="9" spans="1:29" ht="15.75">
      <c r="A9" s="28"/>
      <c r="B9" s="28"/>
      <c r="C9" s="28"/>
      <c r="D9" s="28"/>
      <c r="E9" s="28"/>
      <c r="F9" s="28" t="s">
        <v>382</v>
      </c>
      <c r="G9" s="28"/>
      <c r="H9" s="28"/>
      <c r="I9" s="28"/>
      <c r="J9" s="28"/>
      <c r="K9"/>
      <c r="L9"/>
      <c r="M9"/>
      <c r="N9"/>
      <c r="O9"/>
      <c r="P9"/>
      <c r="Q9"/>
      <c r="R9"/>
      <c r="S9"/>
      <c r="T9"/>
      <c r="U9"/>
      <c r="V9"/>
      <c r="W9"/>
      <c r="X9"/>
      <c r="Y9"/>
      <c r="Z9"/>
      <c r="AA9"/>
      <c r="AB9"/>
      <c r="AC9"/>
    </row>
    <row r="10" spans="1:29" ht="15.75">
      <c r="A10" s="28"/>
      <c r="B10" s="38" t="s">
        <v>383</v>
      </c>
      <c r="C10" s="28"/>
      <c r="D10" s="28"/>
      <c r="E10" s="28"/>
      <c r="F10" s="28"/>
      <c r="G10" s="28"/>
      <c r="H10" s="28"/>
      <c r="I10" s="28"/>
      <c r="J10" s="28"/>
      <c r="K10"/>
      <c r="L10"/>
      <c r="M10"/>
      <c r="N10"/>
      <c r="O10"/>
      <c r="P10"/>
      <c r="Q10"/>
      <c r="R10"/>
      <c r="S10"/>
      <c r="T10"/>
      <c r="U10"/>
      <c r="V10"/>
      <c r="W10"/>
      <c r="X10"/>
      <c r="Y10"/>
      <c r="Z10"/>
      <c r="AA10"/>
      <c r="AB10"/>
      <c r="AC10"/>
    </row>
    <row r="11" spans="1:29" ht="16.5" thickBot="1">
      <c r="A11" s="28"/>
      <c r="B11" s="28"/>
      <c r="C11" s="28"/>
      <c r="D11" s="28"/>
      <c r="E11" s="28"/>
      <c r="F11" s="28"/>
      <c r="G11" s="28"/>
      <c r="H11" s="28"/>
      <c r="I11" s="28"/>
      <c r="J11" s="28"/>
      <c r="K11"/>
      <c r="L11"/>
      <c r="M11"/>
      <c r="N11"/>
      <c r="O11"/>
      <c r="P11"/>
      <c r="Q11"/>
      <c r="R11"/>
      <c r="S11"/>
      <c r="T11"/>
      <c r="U11"/>
      <c r="V11"/>
      <c r="W11"/>
      <c r="X11"/>
      <c r="Y11"/>
      <c r="Z11"/>
      <c r="AA11"/>
      <c r="AB11"/>
      <c r="AC11"/>
    </row>
    <row r="12" spans="1:29" ht="15.75">
      <c r="A12" s="28"/>
      <c r="B12" s="38" t="s">
        <v>384</v>
      </c>
      <c r="C12" s="403">
        <v>0</v>
      </c>
      <c r="D12" s="404"/>
      <c r="E12" s="28"/>
      <c r="F12" s="28"/>
      <c r="G12" s="28"/>
      <c r="H12" s="28"/>
      <c r="I12" s="28"/>
      <c r="J12" s="28"/>
      <c r="K12"/>
      <c r="L12"/>
      <c r="M12"/>
      <c r="N12"/>
      <c r="O12"/>
      <c r="P12"/>
      <c r="Q12"/>
      <c r="R12"/>
      <c r="S12"/>
      <c r="T12"/>
      <c r="U12"/>
      <c r="V12"/>
      <c r="W12"/>
      <c r="X12"/>
      <c r="Y12"/>
      <c r="Z12"/>
      <c r="AA12"/>
      <c r="AB12"/>
      <c r="AC12"/>
    </row>
    <row r="13" spans="1:29" ht="15.75">
      <c r="A13" s="28"/>
      <c r="B13" s="38" t="s">
        <v>385</v>
      </c>
      <c r="C13" s="311">
        <v>0.05</v>
      </c>
      <c r="D13" s="28"/>
      <c r="E13" s="28"/>
      <c r="F13" s="28"/>
      <c r="G13" s="28"/>
      <c r="H13" s="28"/>
      <c r="I13" s="28"/>
      <c r="J13" s="28"/>
      <c r="K13"/>
      <c r="L13"/>
      <c r="M13"/>
      <c r="N13"/>
      <c r="O13"/>
      <c r="P13"/>
      <c r="Q13"/>
      <c r="R13"/>
      <c r="S13"/>
      <c r="T13"/>
      <c r="U13"/>
      <c r="V13"/>
      <c r="W13"/>
      <c r="X13"/>
      <c r="Y13"/>
      <c r="Z13"/>
      <c r="AA13"/>
      <c r="AB13"/>
      <c r="AC13"/>
    </row>
    <row r="14" spans="1:29" ht="15.75">
      <c r="A14" s="28"/>
      <c r="B14" s="38" t="s">
        <v>386</v>
      </c>
      <c r="C14" s="312">
        <v>7</v>
      </c>
      <c r="D14" s="28"/>
      <c r="E14" s="28"/>
      <c r="F14" s="28"/>
      <c r="G14" s="28"/>
      <c r="H14" s="28"/>
      <c r="I14" s="28"/>
      <c r="J14" s="28"/>
      <c r="K14"/>
      <c r="L14"/>
      <c r="M14"/>
      <c r="N14"/>
      <c r="O14"/>
      <c r="P14"/>
      <c r="Q14"/>
      <c r="R14"/>
      <c r="S14"/>
      <c r="T14"/>
      <c r="U14"/>
      <c r="V14"/>
      <c r="W14"/>
      <c r="X14"/>
      <c r="Y14"/>
      <c r="Z14"/>
      <c r="AA14"/>
      <c r="AB14"/>
      <c r="AC14"/>
    </row>
    <row r="15" spans="1:29" ht="15.75">
      <c r="A15" s="28"/>
      <c r="B15" s="38" t="s">
        <v>387</v>
      </c>
      <c r="C15" s="312">
        <v>1</v>
      </c>
      <c r="D15" s="28"/>
      <c r="E15" s="28"/>
      <c r="F15" s="28"/>
      <c r="G15" s="28"/>
      <c r="H15" s="28"/>
      <c r="I15" s="28"/>
      <c r="J15" s="28"/>
      <c r="K15"/>
      <c r="L15"/>
      <c r="M15"/>
      <c r="N15"/>
      <c r="O15"/>
      <c r="P15"/>
      <c r="Q15"/>
      <c r="R15"/>
      <c r="S15"/>
      <c r="T15"/>
      <c r="U15"/>
      <c r="V15"/>
      <c r="W15"/>
      <c r="X15"/>
      <c r="Y15"/>
      <c r="Z15"/>
      <c r="AA15"/>
      <c r="AB15"/>
      <c r="AC15"/>
    </row>
    <row r="16" spans="1:29" ht="15.75">
      <c r="A16" s="28"/>
      <c r="B16" s="38" t="s">
        <v>388</v>
      </c>
      <c r="C16" s="313"/>
      <c r="D16" s="28"/>
      <c r="E16" s="28"/>
      <c r="F16" s="28"/>
      <c r="G16" s="28"/>
      <c r="H16" s="28"/>
      <c r="I16" s="28"/>
      <c r="J16" s="28"/>
      <c r="K16"/>
      <c r="L16"/>
      <c r="M16"/>
      <c r="N16"/>
      <c r="O16"/>
      <c r="P16"/>
      <c r="Q16"/>
      <c r="R16"/>
      <c r="S16"/>
      <c r="T16"/>
      <c r="U16"/>
      <c r="V16"/>
      <c r="W16"/>
      <c r="X16"/>
      <c r="Y16"/>
      <c r="Z16"/>
      <c r="AA16"/>
      <c r="AB16"/>
      <c r="AC16"/>
    </row>
    <row r="17" spans="1:29" ht="16.5" thickBot="1">
      <c r="A17" s="28"/>
      <c r="B17" s="314" t="s">
        <v>389</v>
      </c>
      <c r="C17" s="315">
        <v>7</v>
      </c>
      <c r="D17" s="316"/>
      <c r="E17" s="316"/>
      <c r="F17" s="316"/>
      <c r="G17" s="28"/>
      <c r="H17" s="28"/>
      <c r="I17" s="28"/>
      <c r="J17" s="28"/>
      <c r="K17"/>
      <c r="L17"/>
      <c r="M17"/>
      <c r="N17"/>
      <c r="O17"/>
      <c r="P17"/>
      <c r="Q17"/>
      <c r="R17"/>
      <c r="S17"/>
      <c r="T17"/>
      <c r="U17"/>
      <c r="V17"/>
      <c r="W17"/>
      <c r="X17"/>
      <c r="Y17"/>
      <c r="Z17"/>
      <c r="AA17"/>
      <c r="AB17"/>
      <c r="AC17"/>
    </row>
    <row r="18" spans="1:29" ht="15.75">
      <c r="A18" s="28"/>
      <c r="B18" s="38" t="s">
        <v>390</v>
      </c>
      <c r="C18" s="317">
        <v>0</v>
      </c>
      <c r="D18" s="310" t="s">
        <v>391</v>
      </c>
      <c r="E18" s="28"/>
      <c r="F18" s="28"/>
      <c r="G18" s="28"/>
      <c r="H18" s="28"/>
      <c r="I18" s="28"/>
      <c r="J18" s="28"/>
      <c r="K18"/>
      <c r="L18"/>
      <c r="M18"/>
      <c r="N18"/>
      <c r="O18"/>
      <c r="P18"/>
      <c r="Q18"/>
      <c r="R18"/>
      <c r="S18"/>
      <c r="T18"/>
      <c r="U18"/>
      <c r="V18"/>
      <c r="W18"/>
      <c r="X18"/>
      <c r="Y18"/>
      <c r="Z18"/>
      <c r="AA18"/>
      <c r="AB18"/>
      <c r="AC18"/>
    </row>
    <row r="19" spans="1:29" ht="15.75">
      <c r="A19" s="28"/>
      <c r="B19" s="38" t="s">
        <v>392</v>
      </c>
      <c r="C19" s="312">
        <v>1</v>
      </c>
      <c r="D19" s="28" t="s">
        <v>393</v>
      </c>
      <c r="E19" s="28"/>
      <c r="F19" s="28"/>
      <c r="G19" s="28"/>
      <c r="H19" s="28"/>
      <c r="I19" s="28"/>
      <c r="J19" s="28"/>
      <c r="K19"/>
      <c r="L19"/>
      <c r="M19"/>
      <c r="N19"/>
      <c r="O19"/>
      <c r="P19"/>
      <c r="Q19"/>
      <c r="R19"/>
      <c r="S19"/>
      <c r="T19"/>
      <c r="U19"/>
      <c r="V19"/>
      <c r="W19"/>
      <c r="X19"/>
      <c r="Y19"/>
      <c r="Z19"/>
      <c r="AA19"/>
      <c r="AB19"/>
      <c r="AC19"/>
    </row>
    <row r="20" spans="1:29" ht="16.5" thickBot="1">
      <c r="A20" s="28"/>
      <c r="B20" s="38" t="s">
        <v>394</v>
      </c>
      <c r="C20" s="315">
        <v>1</v>
      </c>
      <c r="D20" s="28"/>
      <c r="E20" s="28"/>
      <c r="F20" s="28"/>
      <c r="G20" s="28"/>
      <c r="H20" s="28"/>
      <c r="I20" s="28"/>
      <c r="J20" s="28"/>
      <c r="K20"/>
      <c r="L20"/>
      <c r="M20"/>
      <c r="N20"/>
      <c r="O20"/>
      <c r="P20"/>
      <c r="Q20"/>
      <c r="R20"/>
      <c r="S20"/>
      <c r="T20"/>
      <c r="U20"/>
      <c r="V20"/>
      <c r="W20"/>
      <c r="X20"/>
      <c r="Y20"/>
      <c r="Z20"/>
      <c r="AA20"/>
      <c r="AB20"/>
      <c r="AC20"/>
    </row>
    <row r="21" spans="1:29" ht="15.75">
      <c r="A21" s="28"/>
      <c r="B21" s="318" t="s">
        <v>395</v>
      </c>
      <c r="C21" s="319"/>
      <c r="D21" s="319"/>
      <c r="E21" s="319"/>
      <c r="F21" s="319"/>
      <c r="G21" s="319"/>
      <c r="H21" s="28"/>
      <c r="I21" s="28"/>
      <c r="J21" s="28"/>
      <c r="K21"/>
      <c r="L21"/>
      <c r="M21"/>
      <c r="N21"/>
      <c r="O21"/>
      <c r="P21"/>
      <c r="Q21"/>
      <c r="R21"/>
      <c r="S21"/>
      <c r="T21"/>
      <c r="U21"/>
      <c r="V21"/>
      <c r="W21"/>
      <c r="X21"/>
      <c r="Y21"/>
      <c r="Z21"/>
      <c r="AA21"/>
      <c r="AB21"/>
      <c r="AC21"/>
    </row>
    <row r="22" spans="1:29" ht="15.75">
      <c r="A22" s="28"/>
      <c r="B22" s="28"/>
      <c r="C22" s="28"/>
      <c r="D22" s="28"/>
      <c r="E22" s="28"/>
      <c r="F22" s="28"/>
      <c r="G22" s="28"/>
      <c r="H22" s="28"/>
      <c r="I22" s="28"/>
      <c r="J22" s="28"/>
      <c r="K22"/>
      <c r="L22"/>
      <c r="M22"/>
      <c r="N22"/>
      <c r="O22"/>
      <c r="P22"/>
      <c r="Q22"/>
      <c r="R22"/>
      <c r="S22"/>
      <c r="T22"/>
      <c r="U22"/>
      <c r="V22"/>
      <c r="W22"/>
      <c r="X22"/>
      <c r="Y22"/>
      <c r="Z22"/>
      <c r="AA22"/>
      <c r="AB22"/>
      <c r="AC22"/>
    </row>
    <row r="23" spans="1:29" ht="15.75">
      <c r="A23" s="28"/>
      <c r="B23" s="320" t="s">
        <v>396</v>
      </c>
      <c r="C23" s="321"/>
      <c r="D23" s="644" t="s">
        <v>397</v>
      </c>
      <c r="E23" s="645"/>
      <c r="F23" s="646"/>
      <c r="G23" s="28"/>
      <c r="H23" s="28"/>
      <c r="I23" s="28"/>
      <c r="J23" s="28"/>
      <c r="K23"/>
      <c r="L23"/>
      <c r="M23"/>
      <c r="N23"/>
      <c r="O23"/>
      <c r="P23"/>
      <c r="Q23"/>
      <c r="R23"/>
      <c r="S23"/>
      <c r="T23"/>
      <c r="U23"/>
      <c r="V23"/>
      <c r="W23"/>
      <c r="X23"/>
      <c r="Y23"/>
      <c r="Z23"/>
      <c r="AA23"/>
      <c r="AB23"/>
      <c r="AC23"/>
    </row>
    <row r="24" spans="1:29" ht="15.75">
      <c r="A24" s="28"/>
      <c r="B24" s="38" t="s">
        <v>398</v>
      </c>
      <c r="C24" s="322">
        <f>PMT((C13/C15),C15*C14,-C12)</f>
        <v>0</v>
      </c>
      <c r="D24" s="323" t="s">
        <v>399</v>
      </c>
      <c r="E24" s="324">
        <f>IF(C18&gt;0,(DMIN(B36:H396,1,L1:L2)/C15),"")</f>
      </c>
      <c r="F24" s="28"/>
      <c r="G24" s="28"/>
      <c r="H24" s="28"/>
      <c r="I24" s="28"/>
      <c r="J24" s="28"/>
      <c r="K24"/>
      <c r="L24"/>
      <c r="M24"/>
      <c r="N24"/>
      <c r="O24"/>
      <c r="P24"/>
      <c r="Q24"/>
      <c r="R24"/>
      <c r="S24"/>
      <c r="T24"/>
      <c r="U24"/>
      <c r="V24"/>
      <c r="W24"/>
      <c r="X24"/>
      <c r="Y24"/>
      <c r="Z24"/>
      <c r="AA24"/>
      <c r="AB24"/>
      <c r="AC24"/>
    </row>
    <row r="25" spans="1:29" ht="15.75">
      <c r="A25" s="28"/>
      <c r="B25" s="38" t="s">
        <v>400</v>
      </c>
      <c r="C25" s="325">
        <f>SUM(J37:J396)</f>
        <v>0</v>
      </c>
      <c r="D25" s="326" t="s">
        <v>401</v>
      </c>
      <c r="E25" s="327">
        <f>IF(C18&gt;0,(SUM(G37:G396)),"")</f>
      </c>
      <c r="F25" s="28"/>
      <c r="G25" s="28"/>
      <c r="H25" s="28"/>
      <c r="I25" s="28"/>
      <c r="J25" s="28"/>
      <c r="K25"/>
      <c r="L25"/>
      <c r="M25"/>
      <c r="N25"/>
      <c r="O25"/>
      <c r="P25"/>
      <c r="Q25"/>
      <c r="R25"/>
      <c r="S25"/>
      <c r="T25"/>
      <c r="U25"/>
      <c r="V25"/>
      <c r="W25"/>
      <c r="X25"/>
      <c r="Y25"/>
      <c r="Z25"/>
      <c r="AA25"/>
      <c r="AB25"/>
      <c r="AC25"/>
    </row>
    <row r="26" spans="1:29" ht="15.75">
      <c r="A26" s="28"/>
      <c r="B26" s="33"/>
      <c r="C26" s="328"/>
      <c r="D26" s="329" t="s">
        <v>402</v>
      </c>
      <c r="E26" s="330">
        <f>IF(C18&gt;0,(C25-E25),"")</f>
      </c>
      <c r="F26" s="33"/>
      <c r="G26" s="33"/>
      <c r="H26" s="33"/>
      <c r="I26" s="33"/>
      <c r="J26" s="33"/>
      <c r="K26"/>
      <c r="L26"/>
      <c r="M26"/>
      <c r="N26"/>
      <c r="O26"/>
      <c r="P26"/>
      <c r="Q26"/>
      <c r="R26"/>
      <c r="S26"/>
      <c r="T26"/>
      <c r="U26"/>
      <c r="V26"/>
      <c r="W26"/>
      <c r="X26"/>
      <c r="Y26"/>
      <c r="Z26"/>
      <c r="AA26"/>
      <c r="AB26"/>
      <c r="AC26"/>
    </row>
    <row r="27" spans="1:29" ht="15.75">
      <c r="A27" s="28"/>
      <c r="B27" s="38" t="s">
        <v>403</v>
      </c>
      <c r="C27" s="28"/>
      <c r="D27" s="28"/>
      <c r="E27" s="28"/>
      <c r="F27" s="28"/>
      <c r="G27" s="28"/>
      <c r="H27" s="28"/>
      <c r="I27" s="28"/>
      <c r="J27" s="28"/>
      <c r="K27"/>
      <c r="L27"/>
      <c r="M27"/>
      <c r="N27"/>
      <c r="O27"/>
      <c r="P27"/>
      <c r="Q27"/>
      <c r="R27"/>
      <c r="S27"/>
      <c r="T27"/>
      <c r="U27"/>
      <c r="V27"/>
      <c r="W27"/>
      <c r="X27"/>
      <c r="Y27"/>
      <c r="Z27"/>
      <c r="AA27"/>
      <c r="AB27"/>
      <c r="AC27"/>
    </row>
    <row r="28" spans="1:29" ht="15.75">
      <c r="A28" s="28"/>
      <c r="B28" s="28"/>
      <c r="C28" s="28"/>
      <c r="D28" s="28"/>
      <c r="E28" s="28"/>
      <c r="F28" s="28"/>
      <c r="G28" s="28"/>
      <c r="H28" s="28"/>
      <c r="I28" s="28"/>
      <c r="J28" s="28"/>
      <c r="K28"/>
      <c r="L28"/>
      <c r="M28"/>
      <c r="N28"/>
      <c r="O28"/>
      <c r="P28"/>
      <c r="Q28"/>
      <c r="R28"/>
      <c r="S28"/>
      <c r="T28"/>
      <c r="U28"/>
      <c r="V28"/>
      <c r="W28"/>
      <c r="X28"/>
      <c r="Y28"/>
      <c r="Z28"/>
      <c r="AA28"/>
      <c r="AB28"/>
      <c r="AC28"/>
    </row>
    <row r="29" spans="1:29" ht="15.75">
      <c r="A29" s="28"/>
      <c r="B29" s="323" t="s">
        <v>404</v>
      </c>
      <c r="C29" s="331">
        <f>C12</f>
        <v>0</v>
      </c>
      <c r="D29" s="332" t="s">
        <v>398</v>
      </c>
      <c r="E29" s="333">
        <f>C24</f>
        <v>0</v>
      </c>
      <c r="F29" s="334">
        <f>C15</f>
        <v>1</v>
      </c>
      <c r="G29" s="335" t="s">
        <v>405</v>
      </c>
      <c r="H29" s="28"/>
      <c r="I29" s="28"/>
      <c r="J29" s="28"/>
      <c r="K29"/>
      <c r="L29"/>
      <c r="M29"/>
      <c r="N29"/>
      <c r="O29"/>
      <c r="P29"/>
      <c r="Q29"/>
      <c r="R29"/>
      <c r="S29"/>
      <c r="T29"/>
      <c r="U29"/>
      <c r="V29"/>
      <c r="W29"/>
      <c r="X29"/>
      <c r="Y29"/>
      <c r="Z29"/>
      <c r="AA29"/>
      <c r="AB29"/>
      <c r="AC29"/>
    </row>
    <row r="30" spans="1:29" ht="15.75">
      <c r="A30" s="28"/>
      <c r="B30" s="326" t="s">
        <v>406</v>
      </c>
      <c r="C30" s="336">
        <f>C13</f>
        <v>0.05</v>
      </c>
      <c r="D30" s="49" t="s">
        <v>407</v>
      </c>
      <c r="E30" s="337">
        <f>IF(C18=0,C25,C25-E26)</f>
        <v>0</v>
      </c>
      <c r="F30" s="338">
        <f>C14</f>
        <v>7</v>
      </c>
      <c r="G30" s="339" t="s">
        <v>72</v>
      </c>
      <c r="H30" s="28"/>
      <c r="I30" s="28"/>
      <c r="J30"/>
      <c r="K30"/>
      <c r="L30"/>
      <c r="M30"/>
      <c r="N30"/>
      <c r="O30"/>
      <c r="P30"/>
      <c r="Q30"/>
      <c r="R30"/>
      <c r="S30"/>
      <c r="T30"/>
      <c r="U30"/>
      <c r="V30"/>
      <c r="W30"/>
      <c r="X30"/>
      <c r="Y30"/>
      <c r="Z30"/>
      <c r="AA30"/>
      <c r="AB30"/>
      <c r="AC30"/>
    </row>
    <row r="31" spans="1:29" ht="15.75">
      <c r="A31" s="28"/>
      <c r="B31" s="340"/>
      <c r="C31" s="33"/>
      <c r="D31" s="33"/>
      <c r="E31" s="33"/>
      <c r="F31" s="341">
        <f>C17</f>
        <v>7</v>
      </c>
      <c r="G31" s="342" t="s">
        <v>408</v>
      </c>
      <c r="H31" s="28"/>
      <c r="I31" s="28"/>
      <c r="J31"/>
      <c r="K31"/>
      <c r="L31"/>
      <c r="M31"/>
      <c r="N31"/>
      <c r="O31"/>
      <c r="P31"/>
      <c r="Q31"/>
      <c r="R31"/>
      <c r="S31"/>
      <c r="T31"/>
      <c r="U31"/>
      <c r="V31"/>
      <c r="W31"/>
      <c r="X31"/>
      <c r="Y31"/>
      <c r="Z31"/>
      <c r="AA31"/>
      <c r="AB31"/>
      <c r="AC31"/>
    </row>
    <row r="32" spans="1:29" ht="15.75">
      <c r="A32" s="28"/>
      <c r="B32" s="37"/>
      <c r="C32" s="37"/>
      <c r="D32" s="37"/>
      <c r="E32" s="343"/>
      <c r="F32" s="37"/>
      <c r="G32" s="37"/>
      <c r="H32" s="34"/>
      <c r="I32" s="34"/>
      <c r="J32" s="37" t="s">
        <v>409</v>
      </c>
      <c r="K32"/>
      <c r="L32"/>
      <c r="M32"/>
      <c r="N32"/>
      <c r="O32"/>
      <c r="P32"/>
      <c r="Q32"/>
      <c r="R32"/>
      <c r="S32"/>
      <c r="T32"/>
      <c r="U32"/>
      <c r="V32"/>
      <c r="W32"/>
      <c r="X32"/>
      <c r="Y32"/>
      <c r="Z32"/>
      <c r="AA32"/>
      <c r="AB32"/>
      <c r="AC32"/>
    </row>
    <row r="33" spans="1:29" ht="15.75">
      <c r="A33" s="28"/>
      <c r="B33" s="37"/>
      <c r="C33" s="37"/>
      <c r="D33" s="37"/>
      <c r="E33" s="343"/>
      <c r="F33" s="37"/>
      <c r="G33" s="37"/>
      <c r="H33" s="34"/>
      <c r="I33" s="34"/>
      <c r="J33" s="37" t="s">
        <v>410</v>
      </c>
      <c r="K33"/>
      <c r="L33"/>
      <c r="M33"/>
      <c r="N33"/>
      <c r="O33"/>
      <c r="P33"/>
      <c r="Q33"/>
      <c r="R33"/>
      <c r="S33"/>
      <c r="T33"/>
      <c r="U33"/>
      <c r="V33"/>
      <c r="W33"/>
      <c r="X33"/>
      <c r="Y33"/>
      <c r="Z33"/>
      <c r="AA33"/>
      <c r="AB33"/>
      <c r="AC33"/>
    </row>
    <row r="34" spans="1:29" ht="15.75">
      <c r="A34" s="28"/>
      <c r="B34" s="34"/>
      <c r="C34" s="34"/>
      <c r="D34" s="34"/>
      <c r="E34" s="34"/>
      <c r="F34" s="34"/>
      <c r="G34" s="34"/>
      <c r="H34" s="34"/>
      <c r="I34" s="34" t="s">
        <v>411</v>
      </c>
      <c r="J34" s="37" t="s">
        <v>412</v>
      </c>
      <c r="K34"/>
      <c r="L34"/>
      <c r="M34"/>
      <c r="N34"/>
      <c r="O34" s="2"/>
      <c r="P34" s="2"/>
      <c r="Q34" s="2"/>
      <c r="R34"/>
      <c r="S34"/>
      <c r="T34"/>
      <c r="U34"/>
      <c r="V34"/>
      <c r="W34"/>
      <c r="X34"/>
      <c r="Y34"/>
      <c r="Z34"/>
      <c r="AA34"/>
      <c r="AB34"/>
      <c r="AC34"/>
    </row>
    <row r="35" spans="1:29" ht="15.75">
      <c r="A35" s="28"/>
      <c r="B35" s="34"/>
      <c r="C35" s="34" t="s">
        <v>413</v>
      </c>
      <c r="D35" s="34" t="s">
        <v>414</v>
      </c>
      <c r="E35" s="34" t="s">
        <v>415</v>
      </c>
      <c r="F35" s="34" t="s">
        <v>416</v>
      </c>
      <c r="G35" s="34" t="s">
        <v>417</v>
      </c>
      <c r="H35" s="34" t="s">
        <v>416</v>
      </c>
      <c r="I35" s="34" t="s">
        <v>418</v>
      </c>
      <c r="J35" s="37" t="s">
        <v>419</v>
      </c>
      <c r="K35"/>
      <c r="L35"/>
      <c r="M35"/>
      <c r="N35"/>
      <c r="O35" s="2"/>
      <c r="P35" s="2"/>
      <c r="Q35" s="148"/>
      <c r="R35"/>
      <c r="S35"/>
      <c r="T35"/>
      <c r="U35"/>
      <c r="V35"/>
      <c r="W35"/>
      <c r="X35"/>
      <c r="Y35"/>
      <c r="Z35"/>
      <c r="AA35"/>
      <c r="AB35"/>
      <c r="AC35"/>
    </row>
    <row r="36" spans="1:29" ht="16.5" thickBot="1">
      <c r="A36" s="28"/>
      <c r="B36" s="344" t="s">
        <v>420</v>
      </c>
      <c r="C36" s="344" t="s">
        <v>421</v>
      </c>
      <c r="D36" s="344" t="s">
        <v>422</v>
      </c>
      <c r="E36" s="344" t="s">
        <v>423</v>
      </c>
      <c r="F36" s="344" t="s">
        <v>413</v>
      </c>
      <c r="G36" s="344" t="s">
        <v>421</v>
      </c>
      <c r="H36" s="344" t="s">
        <v>417</v>
      </c>
      <c r="I36" s="344" t="s">
        <v>414</v>
      </c>
      <c r="J36" s="345" t="s">
        <v>424</v>
      </c>
      <c r="K36"/>
      <c r="L36"/>
      <c r="M36"/>
      <c r="N36"/>
      <c r="O36" s="2"/>
      <c r="P36" s="139"/>
      <c r="Q36" s="148"/>
      <c r="R36"/>
      <c r="S36"/>
      <c r="T36"/>
      <c r="U36"/>
      <c r="V36"/>
      <c r="W36"/>
      <c r="X36"/>
      <c r="Y36"/>
      <c r="Z36"/>
      <c r="AA36"/>
      <c r="AB36"/>
      <c r="AC36"/>
    </row>
    <row r="37" spans="1:29" ht="15.75">
      <c r="A37" s="28"/>
      <c r="B37" s="346">
        <v>1</v>
      </c>
      <c r="C37" s="347">
        <f>$C$24-G37</f>
        <v>0</v>
      </c>
      <c r="D37" s="347">
        <f>IF($C$20&lt;=B37,IF(MOD($B37,$C$19)=0,$C$18,0),0)</f>
        <v>0</v>
      </c>
      <c r="E37" s="347">
        <f>$C$12-($C$24-($C$12*($C$13/$C$15)))-D37</f>
        <v>0</v>
      </c>
      <c r="F37" s="347">
        <f>C37+D37</f>
        <v>0</v>
      </c>
      <c r="G37" s="347">
        <f>$C$12*($C$13/$C$15)</f>
        <v>0</v>
      </c>
      <c r="H37" s="347">
        <f>G37</f>
        <v>0</v>
      </c>
      <c r="I37" s="347">
        <f>$C$12-($C$24-($C$12*($C$13/$C$15)))</f>
        <v>0</v>
      </c>
      <c r="J37" s="347">
        <f>$C$12*($C$13/$C$15)</f>
        <v>0</v>
      </c>
      <c r="K37"/>
      <c r="L37"/>
      <c r="M37"/>
      <c r="N37"/>
      <c r="O37" s="2"/>
      <c r="P37" s="2"/>
      <c r="Q37" s="2"/>
      <c r="R37"/>
      <c r="S37"/>
      <c r="T37"/>
      <c r="U37"/>
      <c r="V37"/>
      <c r="W37"/>
      <c r="X37"/>
      <c r="Y37"/>
      <c r="Z37"/>
      <c r="AA37"/>
      <c r="AB37"/>
      <c r="AC37"/>
    </row>
    <row r="38" spans="1:29" ht="15.75">
      <c r="A38" s="28"/>
      <c r="B38" s="346">
        <f aca="true" t="shared" si="0" ref="B38:B101">1+B37</f>
        <v>2</v>
      </c>
      <c r="C38" s="347">
        <f aca="true" t="shared" si="1" ref="C38:C101">IF((E37&lt;$C$24-G38),E37,$C$24-G38)</f>
        <v>0</v>
      </c>
      <c r="D38" s="347">
        <f aca="true" t="shared" si="2" ref="D38:D101">IF(AND($C$20&lt;=B38,E37&gt;C38+$C$18),IF(MOD($B38,$C$19)=0,$C$18,0),0)</f>
        <v>0</v>
      </c>
      <c r="E38" s="347">
        <f aca="true" t="shared" si="3" ref="E38:E101">IF(E37-C38&lt;=1,0,E37-C38-D38)</f>
        <v>0</v>
      </c>
      <c r="F38" s="347">
        <f aca="true" t="shared" si="4" ref="F38:F101">F37+C38+D38</f>
        <v>0</v>
      </c>
      <c r="G38" s="347">
        <f aca="true" t="shared" si="5" ref="G38:G101">E37*($C$13/$C$15)</f>
        <v>0</v>
      </c>
      <c r="H38" s="347">
        <f aca="true" t="shared" si="6" ref="H38:H101">H37+G38</f>
        <v>0</v>
      </c>
      <c r="I38" s="347">
        <f aca="true" t="shared" si="7" ref="I38:I101">IF(I37-($C$24-J38)&lt;=1,0,I37-($C$24-J38))</f>
        <v>0</v>
      </c>
      <c r="J38" s="347">
        <f aca="true" t="shared" si="8" ref="J38:J101">I37*($C$13/$C$15)</f>
        <v>0</v>
      </c>
      <c r="K38"/>
      <c r="L38"/>
      <c r="M38"/>
      <c r="N38"/>
      <c r="O38" s="2"/>
      <c r="P38" s="2"/>
      <c r="Q38" s="2"/>
      <c r="R38"/>
      <c r="S38"/>
      <c r="T38"/>
      <c r="U38"/>
      <c r="V38"/>
      <c r="W38"/>
      <c r="X38"/>
      <c r="Y38"/>
      <c r="Z38"/>
      <c r="AA38"/>
      <c r="AB38"/>
      <c r="AC38"/>
    </row>
    <row r="39" spans="1:29" ht="15.75">
      <c r="A39" s="28"/>
      <c r="B39" s="346">
        <f t="shared" si="0"/>
        <v>3</v>
      </c>
      <c r="C39" s="347">
        <f t="shared" si="1"/>
        <v>0</v>
      </c>
      <c r="D39" s="347">
        <f t="shared" si="2"/>
        <v>0</v>
      </c>
      <c r="E39" s="347">
        <f t="shared" si="3"/>
        <v>0</v>
      </c>
      <c r="F39" s="347">
        <f t="shared" si="4"/>
        <v>0</v>
      </c>
      <c r="G39" s="347">
        <f t="shared" si="5"/>
        <v>0</v>
      </c>
      <c r="H39" s="347">
        <f t="shared" si="6"/>
        <v>0</v>
      </c>
      <c r="I39" s="347">
        <f t="shared" si="7"/>
        <v>0</v>
      </c>
      <c r="J39" s="347">
        <f t="shared" si="8"/>
        <v>0</v>
      </c>
      <c r="K39"/>
      <c r="L39"/>
      <c r="M39"/>
      <c r="N39"/>
      <c r="O39" s="2"/>
      <c r="P39" s="2"/>
      <c r="Q39" s="2"/>
      <c r="R39"/>
      <c r="S39"/>
      <c r="T39"/>
      <c r="U39"/>
      <c r="V39"/>
      <c r="W39"/>
      <c r="X39"/>
      <c r="Y39"/>
      <c r="Z39"/>
      <c r="AA39"/>
      <c r="AB39"/>
      <c r="AC39"/>
    </row>
    <row r="40" spans="1:29" ht="15.75">
      <c r="A40" s="28"/>
      <c r="B40" s="346">
        <f t="shared" si="0"/>
        <v>4</v>
      </c>
      <c r="C40" s="347">
        <f t="shared" si="1"/>
        <v>0</v>
      </c>
      <c r="D40" s="347">
        <f t="shared" si="2"/>
        <v>0</v>
      </c>
      <c r="E40" s="347">
        <f t="shared" si="3"/>
        <v>0</v>
      </c>
      <c r="F40" s="347">
        <f t="shared" si="4"/>
        <v>0</v>
      </c>
      <c r="G40" s="347">
        <f t="shared" si="5"/>
        <v>0</v>
      </c>
      <c r="H40" s="347">
        <f t="shared" si="6"/>
        <v>0</v>
      </c>
      <c r="I40" s="347">
        <f t="shared" si="7"/>
        <v>0</v>
      </c>
      <c r="J40" s="347">
        <f t="shared" si="8"/>
        <v>0</v>
      </c>
      <c r="K40"/>
      <c r="L40"/>
      <c r="M40"/>
      <c r="N40"/>
      <c r="O40" s="2"/>
      <c r="P40" s="2"/>
      <c r="Q40" s="2"/>
      <c r="R40"/>
      <c r="S40"/>
      <c r="T40"/>
      <c r="U40"/>
      <c r="V40"/>
      <c r="W40"/>
      <c r="X40"/>
      <c r="Y40"/>
      <c r="Z40"/>
      <c r="AA40"/>
      <c r="AB40"/>
      <c r="AC40"/>
    </row>
    <row r="41" spans="1:29" ht="15.75">
      <c r="A41" s="28"/>
      <c r="B41" s="346">
        <f t="shared" si="0"/>
        <v>5</v>
      </c>
      <c r="C41" s="347">
        <f t="shared" si="1"/>
        <v>0</v>
      </c>
      <c r="D41" s="347">
        <f t="shared" si="2"/>
        <v>0</v>
      </c>
      <c r="E41" s="347">
        <f t="shared" si="3"/>
        <v>0</v>
      </c>
      <c r="F41" s="347">
        <f t="shared" si="4"/>
        <v>0</v>
      </c>
      <c r="G41" s="347">
        <f t="shared" si="5"/>
        <v>0</v>
      </c>
      <c r="H41" s="347">
        <f t="shared" si="6"/>
        <v>0</v>
      </c>
      <c r="I41" s="347">
        <f t="shared" si="7"/>
        <v>0</v>
      </c>
      <c r="J41" s="347">
        <f t="shared" si="8"/>
        <v>0</v>
      </c>
      <c r="K41"/>
      <c r="L41"/>
      <c r="M41"/>
      <c r="N41"/>
      <c r="O41" s="2"/>
      <c r="P41" s="2"/>
      <c r="Q41" s="2"/>
      <c r="R41"/>
      <c r="S41"/>
      <c r="T41"/>
      <c r="U41"/>
      <c r="V41"/>
      <c r="W41"/>
      <c r="X41"/>
      <c r="Y41"/>
      <c r="Z41"/>
      <c r="AA41"/>
      <c r="AB41"/>
      <c r="AC41"/>
    </row>
    <row r="42" spans="1:29" ht="15.75">
      <c r="A42" s="28"/>
      <c r="B42" s="346">
        <f t="shared" si="0"/>
        <v>6</v>
      </c>
      <c r="C42" s="347">
        <f t="shared" si="1"/>
        <v>0</v>
      </c>
      <c r="D42" s="347">
        <f t="shared" si="2"/>
        <v>0</v>
      </c>
      <c r="E42" s="347">
        <f t="shared" si="3"/>
        <v>0</v>
      </c>
      <c r="F42" s="347">
        <f t="shared" si="4"/>
        <v>0</v>
      </c>
      <c r="G42" s="347">
        <f t="shared" si="5"/>
        <v>0</v>
      </c>
      <c r="H42" s="347">
        <f t="shared" si="6"/>
        <v>0</v>
      </c>
      <c r="I42" s="347">
        <f t="shared" si="7"/>
        <v>0</v>
      </c>
      <c r="J42" s="347">
        <f t="shared" si="8"/>
        <v>0</v>
      </c>
      <c r="K42"/>
      <c r="L42"/>
      <c r="M42"/>
      <c r="N42"/>
      <c r="O42" s="2"/>
      <c r="P42" s="2"/>
      <c r="Q42" s="2"/>
      <c r="R42"/>
      <c r="S42"/>
      <c r="T42"/>
      <c r="U42"/>
      <c r="V42"/>
      <c r="W42"/>
      <c r="X42"/>
      <c r="Y42"/>
      <c r="Z42"/>
      <c r="AA42"/>
      <c r="AB42"/>
      <c r="AC42"/>
    </row>
    <row r="43" spans="1:29" ht="15.75">
      <c r="A43" s="28"/>
      <c r="B43" s="346">
        <f t="shared" si="0"/>
        <v>7</v>
      </c>
      <c r="C43" s="347">
        <f t="shared" si="1"/>
        <v>0</v>
      </c>
      <c r="D43" s="347">
        <f t="shared" si="2"/>
        <v>0</v>
      </c>
      <c r="E43" s="347">
        <f t="shared" si="3"/>
        <v>0</v>
      </c>
      <c r="F43" s="347">
        <f t="shared" si="4"/>
        <v>0</v>
      </c>
      <c r="G43" s="347">
        <f t="shared" si="5"/>
        <v>0</v>
      </c>
      <c r="H43" s="347">
        <f t="shared" si="6"/>
        <v>0</v>
      </c>
      <c r="I43" s="347">
        <f t="shared" si="7"/>
        <v>0</v>
      </c>
      <c r="J43" s="347">
        <f t="shared" si="8"/>
        <v>0</v>
      </c>
      <c r="K43"/>
      <c r="L43"/>
      <c r="M43"/>
      <c r="N43"/>
      <c r="O43" s="2"/>
      <c r="P43" s="2"/>
      <c r="Q43" s="2"/>
      <c r="R43"/>
      <c r="S43"/>
      <c r="T43"/>
      <c r="U43"/>
      <c r="V43"/>
      <c r="W43"/>
      <c r="X43"/>
      <c r="Y43"/>
      <c r="Z43"/>
      <c r="AA43"/>
      <c r="AB43"/>
      <c r="AC43"/>
    </row>
    <row r="44" spans="1:29" ht="15.75">
      <c r="A44" s="28"/>
      <c r="B44" s="346">
        <f t="shared" si="0"/>
        <v>8</v>
      </c>
      <c r="C44" s="347">
        <f t="shared" si="1"/>
        <v>0</v>
      </c>
      <c r="D44" s="347">
        <f t="shared" si="2"/>
        <v>0</v>
      </c>
      <c r="E44" s="347">
        <f t="shared" si="3"/>
        <v>0</v>
      </c>
      <c r="F44" s="347">
        <f t="shared" si="4"/>
        <v>0</v>
      </c>
      <c r="G44" s="347">
        <f t="shared" si="5"/>
        <v>0</v>
      </c>
      <c r="H44" s="347">
        <f t="shared" si="6"/>
        <v>0</v>
      </c>
      <c r="I44" s="347">
        <f t="shared" si="7"/>
        <v>0</v>
      </c>
      <c r="J44" s="347">
        <f t="shared" si="8"/>
        <v>0</v>
      </c>
      <c r="K44"/>
      <c r="L44"/>
      <c r="M44"/>
      <c r="N44"/>
      <c r="O44" s="2"/>
      <c r="P44" s="2"/>
      <c r="Q44" s="2"/>
      <c r="R44"/>
      <c r="S44"/>
      <c r="T44"/>
      <c r="U44"/>
      <c r="V44"/>
      <c r="W44"/>
      <c r="X44"/>
      <c r="Y44"/>
      <c r="Z44"/>
      <c r="AA44"/>
      <c r="AB44"/>
      <c r="AC44"/>
    </row>
    <row r="45" spans="1:29" ht="15.75">
      <c r="A45" s="28"/>
      <c r="B45" s="346">
        <f t="shared" si="0"/>
        <v>9</v>
      </c>
      <c r="C45" s="347">
        <f t="shared" si="1"/>
        <v>0</v>
      </c>
      <c r="D45" s="347">
        <f t="shared" si="2"/>
        <v>0</v>
      </c>
      <c r="E45" s="347">
        <f t="shared" si="3"/>
        <v>0</v>
      </c>
      <c r="F45" s="347">
        <f t="shared" si="4"/>
        <v>0</v>
      </c>
      <c r="G45" s="347">
        <f t="shared" si="5"/>
        <v>0</v>
      </c>
      <c r="H45" s="347">
        <f t="shared" si="6"/>
        <v>0</v>
      </c>
      <c r="I45" s="347">
        <f t="shared" si="7"/>
        <v>0</v>
      </c>
      <c r="J45" s="347">
        <f t="shared" si="8"/>
        <v>0</v>
      </c>
      <c r="K45"/>
      <c r="L45"/>
      <c r="M45"/>
      <c r="N45"/>
      <c r="O45" s="2"/>
      <c r="P45" s="2"/>
      <c r="Q45" s="2"/>
      <c r="R45"/>
      <c r="S45"/>
      <c r="T45"/>
      <c r="U45"/>
      <c r="V45"/>
      <c r="W45"/>
      <c r="X45"/>
      <c r="Y45"/>
      <c r="Z45"/>
      <c r="AA45"/>
      <c r="AB45"/>
      <c r="AC45"/>
    </row>
    <row r="46" spans="1:29" ht="15.75">
      <c r="A46" s="28"/>
      <c r="B46" s="346">
        <f t="shared" si="0"/>
        <v>10</v>
      </c>
      <c r="C46" s="347">
        <f t="shared" si="1"/>
        <v>0</v>
      </c>
      <c r="D46" s="347">
        <f t="shared" si="2"/>
        <v>0</v>
      </c>
      <c r="E46" s="347">
        <f t="shared" si="3"/>
        <v>0</v>
      </c>
      <c r="F46" s="347">
        <f t="shared" si="4"/>
        <v>0</v>
      </c>
      <c r="G46" s="347">
        <f t="shared" si="5"/>
        <v>0</v>
      </c>
      <c r="H46" s="347">
        <f t="shared" si="6"/>
        <v>0</v>
      </c>
      <c r="I46" s="347">
        <f t="shared" si="7"/>
        <v>0</v>
      </c>
      <c r="J46" s="347">
        <f t="shared" si="8"/>
        <v>0</v>
      </c>
      <c r="K46"/>
      <c r="L46"/>
      <c r="M46"/>
      <c r="N46"/>
      <c r="O46" s="2"/>
      <c r="P46" s="2"/>
      <c r="Q46" s="2"/>
      <c r="R46"/>
      <c r="S46"/>
      <c r="T46"/>
      <c r="U46"/>
      <c r="V46"/>
      <c r="W46"/>
      <c r="X46"/>
      <c r="Y46"/>
      <c r="Z46"/>
      <c r="AA46"/>
      <c r="AB46"/>
      <c r="AC46"/>
    </row>
    <row r="47" spans="1:29" ht="15.75">
      <c r="A47" s="28"/>
      <c r="B47" s="346">
        <f t="shared" si="0"/>
        <v>11</v>
      </c>
      <c r="C47" s="347">
        <f t="shared" si="1"/>
        <v>0</v>
      </c>
      <c r="D47" s="347">
        <f t="shared" si="2"/>
        <v>0</v>
      </c>
      <c r="E47" s="347">
        <f t="shared" si="3"/>
        <v>0</v>
      </c>
      <c r="F47" s="347">
        <f t="shared" si="4"/>
        <v>0</v>
      </c>
      <c r="G47" s="347">
        <f t="shared" si="5"/>
        <v>0</v>
      </c>
      <c r="H47" s="347">
        <f t="shared" si="6"/>
        <v>0</v>
      </c>
      <c r="I47" s="347">
        <f t="shared" si="7"/>
        <v>0</v>
      </c>
      <c r="J47" s="347">
        <f t="shared" si="8"/>
        <v>0</v>
      </c>
      <c r="K47"/>
      <c r="L47"/>
      <c r="M47"/>
      <c r="N47"/>
      <c r="O47" s="2"/>
      <c r="P47" s="2"/>
      <c r="Q47" s="2"/>
      <c r="R47"/>
      <c r="S47"/>
      <c r="T47"/>
      <c r="U47"/>
      <c r="V47"/>
      <c r="W47"/>
      <c r="X47"/>
      <c r="Y47"/>
      <c r="Z47"/>
      <c r="AA47"/>
      <c r="AB47"/>
      <c r="AC47"/>
    </row>
    <row r="48" spans="1:29" ht="15.75">
      <c r="A48" s="28"/>
      <c r="B48" s="346">
        <f t="shared" si="0"/>
        <v>12</v>
      </c>
      <c r="C48" s="347">
        <f t="shared" si="1"/>
        <v>0</v>
      </c>
      <c r="D48" s="347">
        <f t="shared" si="2"/>
        <v>0</v>
      </c>
      <c r="E48" s="347">
        <f t="shared" si="3"/>
        <v>0</v>
      </c>
      <c r="F48" s="347">
        <f t="shared" si="4"/>
        <v>0</v>
      </c>
      <c r="G48" s="347">
        <f t="shared" si="5"/>
        <v>0</v>
      </c>
      <c r="H48" s="347">
        <f t="shared" si="6"/>
        <v>0</v>
      </c>
      <c r="I48" s="347">
        <f t="shared" si="7"/>
        <v>0</v>
      </c>
      <c r="J48" s="347">
        <f t="shared" si="8"/>
        <v>0</v>
      </c>
      <c r="K48"/>
      <c r="L48"/>
      <c r="M48"/>
      <c r="N48"/>
      <c r="O48"/>
      <c r="P48"/>
      <c r="Q48"/>
      <c r="R48"/>
      <c r="S48"/>
      <c r="T48"/>
      <c r="U48"/>
      <c r="V48"/>
      <c r="W48"/>
      <c r="X48"/>
      <c r="Y48"/>
      <c r="Z48"/>
      <c r="AA48"/>
      <c r="AB48"/>
      <c r="AC48"/>
    </row>
    <row r="49" spans="1:29" ht="15.75">
      <c r="A49" s="28"/>
      <c r="B49" s="346">
        <f t="shared" si="0"/>
        <v>13</v>
      </c>
      <c r="C49" s="347">
        <f t="shared" si="1"/>
        <v>0</v>
      </c>
      <c r="D49" s="347">
        <f t="shared" si="2"/>
        <v>0</v>
      </c>
      <c r="E49" s="347">
        <f t="shared" si="3"/>
        <v>0</v>
      </c>
      <c r="F49" s="347">
        <f t="shared" si="4"/>
        <v>0</v>
      </c>
      <c r="G49" s="347">
        <f t="shared" si="5"/>
        <v>0</v>
      </c>
      <c r="H49" s="347">
        <f t="shared" si="6"/>
        <v>0</v>
      </c>
      <c r="I49" s="347">
        <f t="shared" si="7"/>
        <v>0</v>
      </c>
      <c r="J49" s="347">
        <f t="shared" si="8"/>
        <v>0</v>
      </c>
      <c r="K49"/>
      <c r="L49"/>
      <c r="M49"/>
      <c r="N49"/>
      <c r="O49"/>
      <c r="P49"/>
      <c r="Q49"/>
      <c r="R49"/>
      <c r="S49"/>
      <c r="T49"/>
      <c r="U49"/>
      <c r="V49"/>
      <c r="W49"/>
      <c r="X49"/>
      <c r="Y49"/>
      <c r="Z49"/>
      <c r="AA49"/>
      <c r="AB49"/>
      <c r="AC49"/>
    </row>
    <row r="50" spans="1:29" ht="15.75">
      <c r="A50" s="28"/>
      <c r="B50" s="346">
        <f t="shared" si="0"/>
        <v>14</v>
      </c>
      <c r="C50" s="347">
        <f t="shared" si="1"/>
        <v>0</v>
      </c>
      <c r="D50" s="347">
        <f t="shared" si="2"/>
        <v>0</v>
      </c>
      <c r="E50" s="347">
        <f t="shared" si="3"/>
        <v>0</v>
      </c>
      <c r="F50" s="347">
        <f t="shared" si="4"/>
        <v>0</v>
      </c>
      <c r="G50" s="347">
        <f t="shared" si="5"/>
        <v>0</v>
      </c>
      <c r="H50" s="347">
        <f t="shared" si="6"/>
        <v>0</v>
      </c>
      <c r="I50" s="347">
        <f t="shared" si="7"/>
        <v>0</v>
      </c>
      <c r="J50" s="347">
        <f t="shared" si="8"/>
        <v>0</v>
      </c>
      <c r="K50"/>
      <c r="L50"/>
      <c r="M50"/>
      <c r="N50"/>
      <c r="O50"/>
      <c r="P50"/>
      <c r="Q50"/>
      <c r="R50"/>
      <c r="S50"/>
      <c r="T50"/>
      <c r="U50"/>
      <c r="V50"/>
      <c r="W50"/>
      <c r="X50"/>
      <c r="Y50"/>
      <c r="Z50"/>
      <c r="AA50"/>
      <c r="AB50"/>
      <c r="AC50"/>
    </row>
    <row r="51" spans="1:29" ht="15.75">
      <c r="A51" s="28"/>
      <c r="B51" s="346">
        <f t="shared" si="0"/>
        <v>15</v>
      </c>
      <c r="C51" s="347">
        <f t="shared" si="1"/>
        <v>0</v>
      </c>
      <c r="D51" s="347">
        <f t="shared" si="2"/>
        <v>0</v>
      </c>
      <c r="E51" s="347">
        <f t="shared" si="3"/>
        <v>0</v>
      </c>
      <c r="F51" s="347">
        <f t="shared" si="4"/>
        <v>0</v>
      </c>
      <c r="G51" s="347">
        <f t="shared" si="5"/>
        <v>0</v>
      </c>
      <c r="H51" s="347">
        <f t="shared" si="6"/>
        <v>0</v>
      </c>
      <c r="I51" s="347">
        <f t="shared" si="7"/>
        <v>0</v>
      </c>
      <c r="J51" s="347">
        <f t="shared" si="8"/>
        <v>0</v>
      </c>
      <c r="K51"/>
      <c r="L51"/>
      <c r="M51"/>
      <c r="N51"/>
      <c r="O51"/>
      <c r="P51"/>
      <c r="Q51"/>
      <c r="R51"/>
      <c r="S51"/>
      <c r="T51"/>
      <c r="U51"/>
      <c r="V51"/>
      <c r="W51"/>
      <c r="X51"/>
      <c r="Y51"/>
      <c r="Z51"/>
      <c r="AA51"/>
      <c r="AB51"/>
      <c r="AC51"/>
    </row>
    <row r="52" spans="1:29" ht="15.75">
      <c r="A52" s="28"/>
      <c r="B52" s="346">
        <f t="shared" si="0"/>
        <v>16</v>
      </c>
      <c r="C52" s="347">
        <f t="shared" si="1"/>
        <v>0</v>
      </c>
      <c r="D52" s="347">
        <f t="shared" si="2"/>
        <v>0</v>
      </c>
      <c r="E52" s="347">
        <f t="shared" si="3"/>
        <v>0</v>
      </c>
      <c r="F52" s="347">
        <f t="shared" si="4"/>
        <v>0</v>
      </c>
      <c r="G52" s="347">
        <f t="shared" si="5"/>
        <v>0</v>
      </c>
      <c r="H52" s="347">
        <f t="shared" si="6"/>
        <v>0</v>
      </c>
      <c r="I52" s="347">
        <f t="shared" si="7"/>
        <v>0</v>
      </c>
      <c r="J52" s="347">
        <f t="shared" si="8"/>
        <v>0</v>
      </c>
      <c r="K52"/>
      <c r="L52"/>
      <c r="M52"/>
      <c r="N52"/>
      <c r="O52"/>
      <c r="P52"/>
      <c r="Q52"/>
      <c r="R52"/>
      <c r="S52"/>
      <c r="T52"/>
      <c r="U52"/>
      <c r="V52"/>
      <c r="W52"/>
      <c r="X52"/>
      <c r="Y52"/>
      <c r="Z52"/>
      <c r="AA52"/>
      <c r="AB52"/>
      <c r="AC52"/>
    </row>
    <row r="53" spans="1:29" ht="15.75">
      <c r="A53" s="28"/>
      <c r="B53" s="346">
        <f t="shared" si="0"/>
        <v>17</v>
      </c>
      <c r="C53" s="347">
        <f t="shared" si="1"/>
        <v>0</v>
      </c>
      <c r="D53" s="347">
        <f t="shared" si="2"/>
        <v>0</v>
      </c>
      <c r="E53" s="347">
        <f t="shared" si="3"/>
        <v>0</v>
      </c>
      <c r="F53" s="347">
        <f t="shared" si="4"/>
        <v>0</v>
      </c>
      <c r="G53" s="347">
        <f t="shared" si="5"/>
        <v>0</v>
      </c>
      <c r="H53" s="347">
        <f t="shared" si="6"/>
        <v>0</v>
      </c>
      <c r="I53" s="347">
        <f t="shared" si="7"/>
        <v>0</v>
      </c>
      <c r="J53" s="347">
        <f t="shared" si="8"/>
        <v>0</v>
      </c>
      <c r="K53"/>
      <c r="L53"/>
      <c r="M53"/>
      <c r="N53"/>
      <c r="O53"/>
      <c r="P53"/>
      <c r="Q53"/>
      <c r="R53"/>
      <c r="S53"/>
      <c r="T53"/>
      <c r="U53"/>
      <c r="V53"/>
      <c r="W53"/>
      <c r="X53"/>
      <c r="Y53"/>
      <c r="Z53"/>
      <c r="AA53"/>
      <c r="AB53"/>
      <c r="AC53"/>
    </row>
    <row r="54" spans="1:29" ht="15.75">
      <c r="A54" s="28"/>
      <c r="B54" s="346">
        <f t="shared" si="0"/>
        <v>18</v>
      </c>
      <c r="C54" s="347">
        <f t="shared" si="1"/>
        <v>0</v>
      </c>
      <c r="D54" s="347">
        <f t="shared" si="2"/>
        <v>0</v>
      </c>
      <c r="E54" s="347">
        <f t="shared" si="3"/>
        <v>0</v>
      </c>
      <c r="F54" s="347">
        <f t="shared" si="4"/>
        <v>0</v>
      </c>
      <c r="G54" s="347">
        <f t="shared" si="5"/>
        <v>0</v>
      </c>
      <c r="H54" s="347">
        <f t="shared" si="6"/>
        <v>0</v>
      </c>
      <c r="I54" s="347">
        <f t="shared" si="7"/>
        <v>0</v>
      </c>
      <c r="J54" s="347">
        <f t="shared" si="8"/>
        <v>0</v>
      </c>
      <c r="K54"/>
      <c r="L54"/>
      <c r="M54"/>
      <c r="N54"/>
      <c r="O54"/>
      <c r="P54"/>
      <c r="Q54"/>
      <c r="R54"/>
      <c r="S54"/>
      <c r="T54"/>
      <c r="U54"/>
      <c r="V54"/>
      <c r="W54"/>
      <c r="X54"/>
      <c r="Y54"/>
      <c r="Z54"/>
      <c r="AA54"/>
      <c r="AB54"/>
      <c r="AC54"/>
    </row>
    <row r="55" spans="1:29" ht="15.75">
      <c r="A55" s="28"/>
      <c r="B55" s="346">
        <f t="shared" si="0"/>
        <v>19</v>
      </c>
      <c r="C55" s="347">
        <f t="shared" si="1"/>
        <v>0</v>
      </c>
      <c r="D55" s="347">
        <f t="shared" si="2"/>
        <v>0</v>
      </c>
      <c r="E55" s="347">
        <f t="shared" si="3"/>
        <v>0</v>
      </c>
      <c r="F55" s="347">
        <f t="shared" si="4"/>
        <v>0</v>
      </c>
      <c r="G55" s="347">
        <f t="shared" si="5"/>
        <v>0</v>
      </c>
      <c r="H55" s="347">
        <f t="shared" si="6"/>
        <v>0</v>
      </c>
      <c r="I55" s="347">
        <f t="shared" si="7"/>
        <v>0</v>
      </c>
      <c r="J55" s="347">
        <f t="shared" si="8"/>
        <v>0</v>
      </c>
      <c r="K55"/>
      <c r="L55"/>
      <c r="M55"/>
      <c r="N55"/>
      <c r="O55"/>
      <c r="P55"/>
      <c r="Q55"/>
      <c r="R55"/>
      <c r="S55"/>
      <c r="T55"/>
      <c r="U55"/>
      <c r="V55"/>
      <c r="W55"/>
      <c r="X55"/>
      <c r="Y55"/>
      <c r="Z55"/>
      <c r="AA55"/>
      <c r="AB55"/>
      <c r="AC55"/>
    </row>
    <row r="56" spans="1:29" ht="15.75">
      <c r="A56" s="28"/>
      <c r="B56" s="346">
        <f t="shared" si="0"/>
        <v>20</v>
      </c>
      <c r="C56" s="347">
        <f t="shared" si="1"/>
        <v>0</v>
      </c>
      <c r="D56" s="347">
        <f t="shared" si="2"/>
        <v>0</v>
      </c>
      <c r="E56" s="347">
        <f t="shared" si="3"/>
        <v>0</v>
      </c>
      <c r="F56" s="347">
        <f t="shared" si="4"/>
        <v>0</v>
      </c>
      <c r="G56" s="347">
        <f t="shared" si="5"/>
        <v>0</v>
      </c>
      <c r="H56" s="347">
        <f t="shared" si="6"/>
        <v>0</v>
      </c>
      <c r="I56" s="347">
        <f t="shared" si="7"/>
        <v>0</v>
      </c>
      <c r="J56" s="347">
        <f t="shared" si="8"/>
        <v>0</v>
      </c>
      <c r="K56"/>
      <c r="L56"/>
      <c r="M56"/>
      <c r="N56"/>
      <c r="O56"/>
      <c r="P56"/>
      <c r="Q56"/>
      <c r="R56"/>
      <c r="S56"/>
      <c r="T56"/>
      <c r="U56"/>
      <c r="V56"/>
      <c r="W56"/>
      <c r="X56"/>
      <c r="Y56"/>
      <c r="Z56"/>
      <c r="AA56"/>
      <c r="AB56"/>
      <c r="AC56"/>
    </row>
    <row r="57" spans="1:29" ht="15.75">
      <c r="A57" s="28"/>
      <c r="B57" s="346">
        <f t="shared" si="0"/>
        <v>21</v>
      </c>
      <c r="C57" s="347">
        <f t="shared" si="1"/>
        <v>0</v>
      </c>
      <c r="D57" s="347">
        <f t="shared" si="2"/>
        <v>0</v>
      </c>
      <c r="E57" s="347">
        <f t="shared" si="3"/>
        <v>0</v>
      </c>
      <c r="F57" s="347">
        <f t="shared" si="4"/>
        <v>0</v>
      </c>
      <c r="G57" s="347">
        <f t="shared" si="5"/>
        <v>0</v>
      </c>
      <c r="H57" s="347">
        <f t="shared" si="6"/>
        <v>0</v>
      </c>
      <c r="I57" s="347">
        <f t="shared" si="7"/>
        <v>0</v>
      </c>
      <c r="J57" s="347">
        <f t="shared" si="8"/>
        <v>0</v>
      </c>
      <c r="K57"/>
      <c r="L57"/>
      <c r="M57"/>
      <c r="N57"/>
      <c r="O57"/>
      <c r="P57"/>
      <c r="Q57"/>
      <c r="R57"/>
      <c r="S57"/>
      <c r="T57"/>
      <c r="U57"/>
      <c r="V57"/>
      <c r="W57"/>
      <c r="X57"/>
      <c r="Y57"/>
      <c r="Z57"/>
      <c r="AA57"/>
      <c r="AB57"/>
      <c r="AC57"/>
    </row>
    <row r="58" spans="1:29" ht="15.75">
      <c r="A58" s="28"/>
      <c r="B58" s="346">
        <f t="shared" si="0"/>
        <v>22</v>
      </c>
      <c r="C58" s="347">
        <f t="shared" si="1"/>
        <v>0</v>
      </c>
      <c r="D58" s="347">
        <f t="shared" si="2"/>
        <v>0</v>
      </c>
      <c r="E58" s="347">
        <f t="shared" si="3"/>
        <v>0</v>
      </c>
      <c r="F58" s="347">
        <f t="shared" si="4"/>
        <v>0</v>
      </c>
      <c r="G58" s="347">
        <f t="shared" si="5"/>
        <v>0</v>
      </c>
      <c r="H58" s="347">
        <f t="shared" si="6"/>
        <v>0</v>
      </c>
      <c r="I58" s="347">
        <f t="shared" si="7"/>
        <v>0</v>
      </c>
      <c r="J58" s="347">
        <f t="shared" si="8"/>
        <v>0</v>
      </c>
      <c r="K58"/>
      <c r="L58"/>
      <c r="M58"/>
      <c r="N58"/>
      <c r="O58"/>
      <c r="P58"/>
      <c r="Q58"/>
      <c r="R58"/>
      <c r="S58"/>
      <c r="T58"/>
      <c r="U58"/>
      <c r="V58"/>
      <c r="W58"/>
      <c r="X58"/>
      <c r="Y58"/>
      <c r="Z58"/>
      <c r="AA58"/>
      <c r="AB58"/>
      <c r="AC58"/>
    </row>
    <row r="59" spans="1:29" ht="15.75">
      <c r="A59" s="28"/>
      <c r="B59" s="346">
        <f t="shared" si="0"/>
        <v>23</v>
      </c>
      <c r="C59" s="347">
        <f t="shared" si="1"/>
        <v>0</v>
      </c>
      <c r="D59" s="347">
        <f t="shared" si="2"/>
        <v>0</v>
      </c>
      <c r="E59" s="347">
        <f t="shared" si="3"/>
        <v>0</v>
      </c>
      <c r="F59" s="347">
        <f t="shared" si="4"/>
        <v>0</v>
      </c>
      <c r="G59" s="347">
        <f t="shared" si="5"/>
        <v>0</v>
      </c>
      <c r="H59" s="347">
        <f t="shared" si="6"/>
        <v>0</v>
      </c>
      <c r="I59" s="347">
        <f t="shared" si="7"/>
        <v>0</v>
      </c>
      <c r="J59" s="347">
        <f t="shared" si="8"/>
        <v>0</v>
      </c>
      <c r="K59"/>
      <c r="L59"/>
      <c r="M59"/>
      <c r="N59"/>
      <c r="O59"/>
      <c r="P59"/>
      <c r="Q59"/>
      <c r="R59"/>
      <c r="S59"/>
      <c r="T59"/>
      <c r="U59"/>
      <c r="V59"/>
      <c r="W59"/>
      <c r="X59"/>
      <c r="Y59"/>
      <c r="Z59"/>
      <c r="AA59"/>
      <c r="AB59"/>
      <c r="AC59"/>
    </row>
    <row r="60" spans="1:29" ht="15.75">
      <c r="A60" s="28"/>
      <c r="B60" s="346">
        <f t="shared" si="0"/>
        <v>24</v>
      </c>
      <c r="C60" s="347">
        <f t="shared" si="1"/>
        <v>0</v>
      </c>
      <c r="D60" s="347">
        <f t="shared" si="2"/>
        <v>0</v>
      </c>
      <c r="E60" s="347">
        <f t="shared" si="3"/>
        <v>0</v>
      </c>
      <c r="F60" s="347">
        <f t="shared" si="4"/>
        <v>0</v>
      </c>
      <c r="G60" s="347">
        <f t="shared" si="5"/>
        <v>0</v>
      </c>
      <c r="H60" s="347">
        <f t="shared" si="6"/>
        <v>0</v>
      </c>
      <c r="I60" s="347">
        <f t="shared" si="7"/>
        <v>0</v>
      </c>
      <c r="J60" s="347">
        <f t="shared" si="8"/>
        <v>0</v>
      </c>
      <c r="K60"/>
      <c r="L60"/>
      <c r="M60"/>
      <c r="N60"/>
      <c r="O60"/>
      <c r="P60"/>
      <c r="Q60"/>
      <c r="R60"/>
      <c r="S60"/>
      <c r="T60"/>
      <c r="U60"/>
      <c r="V60"/>
      <c r="W60"/>
      <c r="X60"/>
      <c r="Y60"/>
      <c r="Z60"/>
      <c r="AA60"/>
      <c r="AB60"/>
      <c r="AC60"/>
    </row>
    <row r="61" spans="1:29" ht="15.75">
      <c r="A61" s="28"/>
      <c r="B61" s="346">
        <f t="shared" si="0"/>
        <v>25</v>
      </c>
      <c r="C61" s="347">
        <f t="shared" si="1"/>
        <v>0</v>
      </c>
      <c r="D61" s="347">
        <f t="shared" si="2"/>
        <v>0</v>
      </c>
      <c r="E61" s="347">
        <f t="shared" si="3"/>
        <v>0</v>
      </c>
      <c r="F61" s="347">
        <f t="shared" si="4"/>
        <v>0</v>
      </c>
      <c r="G61" s="347">
        <f t="shared" si="5"/>
        <v>0</v>
      </c>
      <c r="H61" s="347">
        <f t="shared" si="6"/>
        <v>0</v>
      </c>
      <c r="I61" s="347">
        <f t="shared" si="7"/>
        <v>0</v>
      </c>
      <c r="J61" s="347">
        <f t="shared" si="8"/>
        <v>0</v>
      </c>
      <c r="K61"/>
      <c r="L61"/>
      <c r="M61"/>
      <c r="N61"/>
      <c r="O61"/>
      <c r="P61"/>
      <c r="Q61"/>
      <c r="R61"/>
      <c r="S61"/>
      <c r="T61"/>
      <c r="U61"/>
      <c r="V61"/>
      <c r="W61"/>
      <c r="X61"/>
      <c r="Y61"/>
      <c r="Z61"/>
      <c r="AA61"/>
      <c r="AB61"/>
      <c r="AC61"/>
    </row>
    <row r="62" spans="1:29" ht="15.75">
      <c r="A62" s="28"/>
      <c r="B62" s="346">
        <f t="shared" si="0"/>
        <v>26</v>
      </c>
      <c r="C62" s="347">
        <f t="shared" si="1"/>
        <v>0</v>
      </c>
      <c r="D62" s="347">
        <f t="shared" si="2"/>
        <v>0</v>
      </c>
      <c r="E62" s="347">
        <f t="shared" si="3"/>
        <v>0</v>
      </c>
      <c r="F62" s="347">
        <f t="shared" si="4"/>
        <v>0</v>
      </c>
      <c r="G62" s="347">
        <f t="shared" si="5"/>
        <v>0</v>
      </c>
      <c r="H62" s="347">
        <f t="shared" si="6"/>
        <v>0</v>
      </c>
      <c r="I62" s="347">
        <f t="shared" si="7"/>
        <v>0</v>
      </c>
      <c r="J62" s="347">
        <f t="shared" si="8"/>
        <v>0</v>
      </c>
      <c r="K62"/>
      <c r="L62"/>
      <c r="M62"/>
      <c r="N62"/>
      <c r="O62"/>
      <c r="P62"/>
      <c r="Q62"/>
      <c r="R62"/>
      <c r="S62"/>
      <c r="T62"/>
      <c r="U62"/>
      <c r="V62"/>
      <c r="W62"/>
      <c r="X62"/>
      <c r="Y62"/>
      <c r="Z62"/>
      <c r="AA62"/>
      <c r="AB62"/>
      <c r="AC62"/>
    </row>
    <row r="63" spans="1:29" ht="15.75">
      <c r="A63" s="28"/>
      <c r="B63" s="346">
        <f t="shared" si="0"/>
        <v>27</v>
      </c>
      <c r="C63" s="347">
        <f t="shared" si="1"/>
        <v>0</v>
      </c>
      <c r="D63" s="347">
        <f t="shared" si="2"/>
        <v>0</v>
      </c>
      <c r="E63" s="347">
        <f t="shared" si="3"/>
        <v>0</v>
      </c>
      <c r="F63" s="347">
        <f t="shared" si="4"/>
        <v>0</v>
      </c>
      <c r="G63" s="347">
        <f t="shared" si="5"/>
        <v>0</v>
      </c>
      <c r="H63" s="347">
        <f t="shared" si="6"/>
        <v>0</v>
      </c>
      <c r="I63" s="347">
        <f t="shared" si="7"/>
        <v>0</v>
      </c>
      <c r="J63" s="347">
        <f t="shared" si="8"/>
        <v>0</v>
      </c>
      <c r="K63"/>
      <c r="L63"/>
      <c r="M63"/>
      <c r="N63"/>
      <c r="O63"/>
      <c r="P63"/>
      <c r="Q63"/>
      <c r="R63"/>
      <c r="S63"/>
      <c r="T63"/>
      <c r="U63"/>
      <c r="V63"/>
      <c r="W63"/>
      <c r="X63"/>
      <c r="Y63"/>
      <c r="Z63"/>
      <c r="AA63"/>
      <c r="AB63"/>
      <c r="AC63"/>
    </row>
    <row r="64" spans="1:29" ht="15.75">
      <c r="A64" s="28"/>
      <c r="B64" s="346">
        <f t="shared" si="0"/>
        <v>28</v>
      </c>
      <c r="C64" s="347">
        <f t="shared" si="1"/>
        <v>0</v>
      </c>
      <c r="D64" s="347">
        <f t="shared" si="2"/>
        <v>0</v>
      </c>
      <c r="E64" s="347">
        <f t="shared" si="3"/>
        <v>0</v>
      </c>
      <c r="F64" s="347">
        <f t="shared" si="4"/>
        <v>0</v>
      </c>
      <c r="G64" s="347">
        <f t="shared" si="5"/>
        <v>0</v>
      </c>
      <c r="H64" s="347">
        <f t="shared" si="6"/>
        <v>0</v>
      </c>
      <c r="I64" s="347">
        <f t="shared" si="7"/>
        <v>0</v>
      </c>
      <c r="J64" s="347">
        <f t="shared" si="8"/>
        <v>0</v>
      </c>
      <c r="K64"/>
      <c r="L64"/>
      <c r="M64"/>
      <c r="N64"/>
      <c r="O64"/>
      <c r="P64"/>
      <c r="Q64"/>
      <c r="R64"/>
      <c r="S64"/>
      <c r="T64"/>
      <c r="U64"/>
      <c r="V64"/>
      <c r="W64"/>
      <c r="X64"/>
      <c r="Y64"/>
      <c r="Z64"/>
      <c r="AA64"/>
      <c r="AB64"/>
      <c r="AC64"/>
    </row>
    <row r="65" spans="1:29" ht="15.75">
      <c r="A65" s="28"/>
      <c r="B65" s="346">
        <f t="shared" si="0"/>
        <v>29</v>
      </c>
      <c r="C65" s="347">
        <f t="shared" si="1"/>
        <v>0</v>
      </c>
      <c r="D65" s="347">
        <f t="shared" si="2"/>
        <v>0</v>
      </c>
      <c r="E65" s="347">
        <f t="shared" si="3"/>
        <v>0</v>
      </c>
      <c r="F65" s="347">
        <f t="shared" si="4"/>
        <v>0</v>
      </c>
      <c r="G65" s="347">
        <f t="shared" si="5"/>
        <v>0</v>
      </c>
      <c r="H65" s="347">
        <f t="shared" si="6"/>
        <v>0</v>
      </c>
      <c r="I65" s="347">
        <f t="shared" si="7"/>
        <v>0</v>
      </c>
      <c r="J65" s="347">
        <f t="shared" si="8"/>
        <v>0</v>
      </c>
      <c r="K65"/>
      <c r="L65"/>
      <c r="M65"/>
      <c r="N65"/>
      <c r="O65"/>
      <c r="P65"/>
      <c r="Q65"/>
      <c r="R65"/>
      <c r="S65"/>
      <c r="T65"/>
      <c r="U65"/>
      <c r="V65"/>
      <c r="W65"/>
      <c r="X65"/>
      <c r="Y65"/>
      <c r="Z65"/>
      <c r="AA65"/>
      <c r="AB65"/>
      <c r="AC65"/>
    </row>
    <row r="66" spans="1:29" ht="15.75">
      <c r="A66" s="28"/>
      <c r="B66" s="346">
        <f t="shared" si="0"/>
        <v>30</v>
      </c>
      <c r="C66" s="347">
        <f t="shared" si="1"/>
        <v>0</v>
      </c>
      <c r="D66" s="347">
        <f t="shared" si="2"/>
        <v>0</v>
      </c>
      <c r="E66" s="347">
        <f t="shared" si="3"/>
        <v>0</v>
      </c>
      <c r="F66" s="347">
        <f t="shared" si="4"/>
        <v>0</v>
      </c>
      <c r="G66" s="347">
        <f t="shared" si="5"/>
        <v>0</v>
      </c>
      <c r="H66" s="347">
        <f t="shared" si="6"/>
        <v>0</v>
      </c>
      <c r="I66" s="347">
        <f t="shared" si="7"/>
        <v>0</v>
      </c>
      <c r="J66" s="347">
        <f t="shared" si="8"/>
        <v>0</v>
      </c>
      <c r="K66"/>
      <c r="L66"/>
      <c r="M66"/>
      <c r="N66"/>
      <c r="O66"/>
      <c r="P66"/>
      <c r="Q66"/>
      <c r="R66"/>
      <c r="S66"/>
      <c r="T66"/>
      <c r="U66"/>
      <c r="V66"/>
      <c r="W66"/>
      <c r="X66"/>
      <c r="Y66"/>
      <c r="Z66"/>
      <c r="AA66"/>
      <c r="AB66"/>
      <c r="AC66"/>
    </row>
    <row r="67" spans="1:29" ht="15.75">
      <c r="A67" s="28"/>
      <c r="B67" s="346">
        <f t="shared" si="0"/>
        <v>31</v>
      </c>
      <c r="C67" s="347">
        <f t="shared" si="1"/>
        <v>0</v>
      </c>
      <c r="D67" s="347">
        <f t="shared" si="2"/>
        <v>0</v>
      </c>
      <c r="E67" s="347">
        <f t="shared" si="3"/>
        <v>0</v>
      </c>
      <c r="F67" s="347">
        <f t="shared" si="4"/>
        <v>0</v>
      </c>
      <c r="G67" s="347">
        <f t="shared" si="5"/>
        <v>0</v>
      </c>
      <c r="H67" s="347">
        <f t="shared" si="6"/>
        <v>0</v>
      </c>
      <c r="I67" s="347">
        <f t="shared" si="7"/>
        <v>0</v>
      </c>
      <c r="J67" s="347">
        <f t="shared" si="8"/>
        <v>0</v>
      </c>
      <c r="K67"/>
      <c r="L67"/>
      <c r="M67"/>
      <c r="N67"/>
      <c r="O67"/>
      <c r="P67"/>
      <c r="Q67"/>
      <c r="R67"/>
      <c r="S67"/>
      <c r="T67"/>
      <c r="U67"/>
      <c r="V67"/>
      <c r="W67"/>
      <c r="X67"/>
      <c r="Y67"/>
      <c r="Z67"/>
      <c r="AA67"/>
      <c r="AB67"/>
      <c r="AC67"/>
    </row>
    <row r="68" spans="1:29" ht="15.75">
      <c r="A68" s="28"/>
      <c r="B68" s="346">
        <f t="shared" si="0"/>
        <v>32</v>
      </c>
      <c r="C68" s="347">
        <f t="shared" si="1"/>
        <v>0</v>
      </c>
      <c r="D68" s="347">
        <f t="shared" si="2"/>
        <v>0</v>
      </c>
      <c r="E68" s="347">
        <f t="shared" si="3"/>
        <v>0</v>
      </c>
      <c r="F68" s="347">
        <f t="shared" si="4"/>
        <v>0</v>
      </c>
      <c r="G68" s="347">
        <f t="shared" si="5"/>
        <v>0</v>
      </c>
      <c r="H68" s="347">
        <f t="shared" si="6"/>
        <v>0</v>
      </c>
      <c r="I68" s="347">
        <f t="shared" si="7"/>
        <v>0</v>
      </c>
      <c r="J68" s="347">
        <f t="shared" si="8"/>
        <v>0</v>
      </c>
      <c r="K68"/>
      <c r="L68"/>
      <c r="M68"/>
      <c r="N68"/>
      <c r="O68"/>
      <c r="P68"/>
      <c r="Q68"/>
      <c r="R68"/>
      <c r="S68"/>
      <c r="T68"/>
      <c r="U68"/>
      <c r="V68"/>
      <c r="W68"/>
      <c r="X68"/>
      <c r="Y68"/>
      <c r="Z68"/>
      <c r="AA68"/>
      <c r="AB68"/>
      <c r="AC68"/>
    </row>
    <row r="69" spans="1:29" ht="15.75">
      <c r="A69" s="28"/>
      <c r="B69" s="346">
        <f t="shared" si="0"/>
        <v>33</v>
      </c>
      <c r="C69" s="347">
        <f t="shared" si="1"/>
        <v>0</v>
      </c>
      <c r="D69" s="347">
        <f t="shared" si="2"/>
        <v>0</v>
      </c>
      <c r="E69" s="347">
        <f t="shared" si="3"/>
        <v>0</v>
      </c>
      <c r="F69" s="347">
        <f t="shared" si="4"/>
        <v>0</v>
      </c>
      <c r="G69" s="347">
        <f t="shared" si="5"/>
        <v>0</v>
      </c>
      <c r="H69" s="347">
        <f t="shared" si="6"/>
        <v>0</v>
      </c>
      <c r="I69" s="347">
        <f t="shared" si="7"/>
        <v>0</v>
      </c>
      <c r="J69" s="347">
        <f t="shared" si="8"/>
        <v>0</v>
      </c>
      <c r="K69"/>
      <c r="L69"/>
      <c r="M69"/>
      <c r="N69"/>
      <c r="O69"/>
      <c r="P69"/>
      <c r="Q69"/>
      <c r="R69"/>
      <c r="S69"/>
      <c r="T69"/>
      <c r="U69"/>
      <c r="V69"/>
      <c r="W69"/>
      <c r="X69"/>
      <c r="Y69"/>
      <c r="Z69"/>
      <c r="AA69"/>
      <c r="AB69"/>
      <c r="AC69"/>
    </row>
    <row r="70" spans="1:29" ht="15.75">
      <c r="A70" s="28"/>
      <c r="B70" s="346">
        <f t="shared" si="0"/>
        <v>34</v>
      </c>
      <c r="C70" s="347">
        <f t="shared" si="1"/>
        <v>0</v>
      </c>
      <c r="D70" s="347">
        <f t="shared" si="2"/>
        <v>0</v>
      </c>
      <c r="E70" s="347">
        <f t="shared" si="3"/>
        <v>0</v>
      </c>
      <c r="F70" s="347">
        <f t="shared" si="4"/>
        <v>0</v>
      </c>
      <c r="G70" s="347">
        <f t="shared" si="5"/>
        <v>0</v>
      </c>
      <c r="H70" s="347">
        <f t="shared" si="6"/>
        <v>0</v>
      </c>
      <c r="I70" s="347">
        <f t="shared" si="7"/>
        <v>0</v>
      </c>
      <c r="J70" s="347">
        <f t="shared" si="8"/>
        <v>0</v>
      </c>
      <c r="K70"/>
      <c r="L70"/>
      <c r="M70"/>
      <c r="N70"/>
      <c r="O70"/>
      <c r="P70"/>
      <c r="Q70"/>
      <c r="R70"/>
      <c r="S70"/>
      <c r="T70"/>
      <c r="U70"/>
      <c r="V70"/>
      <c r="W70"/>
      <c r="X70"/>
      <c r="Y70"/>
      <c r="Z70"/>
      <c r="AA70"/>
      <c r="AB70"/>
      <c r="AC70"/>
    </row>
    <row r="71" spans="1:29" ht="15.75">
      <c r="A71" s="28"/>
      <c r="B71" s="346">
        <f t="shared" si="0"/>
        <v>35</v>
      </c>
      <c r="C71" s="347">
        <f t="shared" si="1"/>
        <v>0</v>
      </c>
      <c r="D71" s="347">
        <f t="shared" si="2"/>
        <v>0</v>
      </c>
      <c r="E71" s="347">
        <f t="shared" si="3"/>
        <v>0</v>
      </c>
      <c r="F71" s="347">
        <f t="shared" si="4"/>
        <v>0</v>
      </c>
      <c r="G71" s="347">
        <f t="shared" si="5"/>
        <v>0</v>
      </c>
      <c r="H71" s="347">
        <f t="shared" si="6"/>
        <v>0</v>
      </c>
      <c r="I71" s="347">
        <f t="shared" si="7"/>
        <v>0</v>
      </c>
      <c r="J71" s="347">
        <f t="shared" si="8"/>
        <v>0</v>
      </c>
      <c r="K71"/>
      <c r="L71"/>
      <c r="M71"/>
      <c r="N71"/>
      <c r="O71"/>
      <c r="P71"/>
      <c r="Q71"/>
      <c r="R71"/>
      <c r="S71"/>
      <c r="T71"/>
      <c r="U71"/>
      <c r="V71"/>
      <c r="W71"/>
      <c r="X71"/>
      <c r="Y71"/>
      <c r="Z71"/>
      <c r="AA71"/>
      <c r="AB71"/>
      <c r="AC71"/>
    </row>
    <row r="72" spans="1:29" ht="15.75">
      <c r="A72" s="28"/>
      <c r="B72" s="346">
        <f t="shared" si="0"/>
        <v>36</v>
      </c>
      <c r="C72" s="347">
        <f t="shared" si="1"/>
        <v>0</v>
      </c>
      <c r="D72" s="347">
        <f t="shared" si="2"/>
        <v>0</v>
      </c>
      <c r="E72" s="347">
        <f t="shared" si="3"/>
        <v>0</v>
      </c>
      <c r="F72" s="347">
        <f t="shared" si="4"/>
        <v>0</v>
      </c>
      <c r="G72" s="347">
        <f t="shared" si="5"/>
        <v>0</v>
      </c>
      <c r="H72" s="347">
        <f t="shared" si="6"/>
        <v>0</v>
      </c>
      <c r="I72" s="347">
        <f t="shared" si="7"/>
        <v>0</v>
      </c>
      <c r="J72" s="347">
        <f t="shared" si="8"/>
        <v>0</v>
      </c>
      <c r="K72"/>
      <c r="L72"/>
      <c r="M72"/>
      <c r="N72"/>
      <c r="O72"/>
      <c r="P72"/>
      <c r="Q72"/>
      <c r="R72"/>
      <c r="S72"/>
      <c r="T72"/>
      <c r="U72"/>
      <c r="V72"/>
      <c r="W72"/>
      <c r="X72"/>
      <c r="Y72"/>
      <c r="Z72"/>
      <c r="AA72"/>
      <c r="AB72"/>
      <c r="AC72"/>
    </row>
    <row r="73" spans="1:29" ht="15.75">
      <c r="A73" s="28"/>
      <c r="B73" s="346">
        <f t="shared" si="0"/>
        <v>37</v>
      </c>
      <c r="C73" s="347">
        <f t="shared" si="1"/>
        <v>0</v>
      </c>
      <c r="D73" s="347">
        <f t="shared" si="2"/>
        <v>0</v>
      </c>
      <c r="E73" s="347">
        <f t="shared" si="3"/>
        <v>0</v>
      </c>
      <c r="F73" s="347">
        <f t="shared" si="4"/>
        <v>0</v>
      </c>
      <c r="G73" s="347">
        <f t="shared" si="5"/>
        <v>0</v>
      </c>
      <c r="H73" s="347">
        <f t="shared" si="6"/>
        <v>0</v>
      </c>
      <c r="I73" s="347">
        <f t="shared" si="7"/>
        <v>0</v>
      </c>
      <c r="J73" s="347">
        <f t="shared" si="8"/>
        <v>0</v>
      </c>
      <c r="K73"/>
      <c r="L73"/>
      <c r="M73"/>
      <c r="N73"/>
      <c r="O73"/>
      <c r="P73"/>
      <c r="Q73"/>
      <c r="R73"/>
      <c r="S73"/>
      <c r="T73"/>
      <c r="U73"/>
      <c r="V73"/>
      <c r="W73"/>
      <c r="X73"/>
      <c r="Y73"/>
      <c r="Z73"/>
      <c r="AA73"/>
      <c r="AB73"/>
      <c r="AC73"/>
    </row>
    <row r="74" spans="1:29" ht="15.75">
      <c r="A74" s="28"/>
      <c r="B74" s="346">
        <f t="shared" si="0"/>
        <v>38</v>
      </c>
      <c r="C74" s="347">
        <f t="shared" si="1"/>
        <v>0</v>
      </c>
      <c r="D74" s="347">
        <f t="shared" si="2"/>
        <v>0</v>
      </c>
      <c r="E74" s="347">
        <f t="shared" si="3"/>
        <v>0</v>
      </c>
      <c r="F74" s="347">
        <f t="shared" si="4"/>
        <v>0</v>
      </c>
      <c r="G74" s="347">
        <f t="shared" si="5"/>
        <v>0</v>
      </c>
      <c r="H74" s="347">
        <f t="shared" si="6"/>
        <v>0</v>
      </c>
      <c r="I74" s="347">
        <f t="shared" si="7"/>
        <v>0</v>
      </c>
      <c r="J74" s="347">
        <f t="shared" si="8"/>
        <v>0</v>
      </c>
      <c r="K74"/>
      <c r="L74"/>
      <c r="M74"/>
      <c r="N74"/>
      <c r="O74"/>
      <c r="P74"/>
      <c r="Q74"/>
      <c r="R74"/>
      <c r="S74"/>
      <c r="T74"/>
      <c r="U74"/>
      <c r="V74"/>
      <c r="W74"/>
      <c r="X74"/>
      <c r="Y74"/>
      <c r="Z74"/>
      <c r="AA74"/>
      <c r="AB74"/>
      <c r="AC74"/>
    </row>
    <row r="75" spans="1:29" ht="15.75">
      <c r="A75" s="28"/>
      <c r="B75" s="346">
        <f t="shared" si="0"/>
        <v>39</v>
      </c>
      <c r="C75" s="347">
        <f t="shared" si="1"/>
        <v>0</v>
      </c>
      <c r="D75" s="347">
        <f t="shared" si="2"/>
        <v>0</v>
      </c>
      <c r="E75" s="347">
        <f t="shared" si="3"/>
        <v>0</v>
      </c>
      <c r="F75" s="347">
        <f t="shared" si="4"/>
        <v>0</v>
      </c>
      <c r="G75" s="347">
        <f t="shared" si="5"/>
        <v>0</v>
      </c>
      <c r="H75" s="347">
        <f t="shared" si="6"/>
        <v>0</v>
      </c>
      <c r="I75" s="347">
        <f t="shared" si="7"/>
        <v>0</v>
      </c>
      <c r="J75" s="347">
        <f t="shared" si="8"/>
        <v>0</v>
      </c>
      <c r="K75"/>
      <c r="L75"/>
      <c r="M75"/>
      <c r="N75"/>
      <c r="O75"/>
      <c r="P75"/>
      <c r="Q75"/>
      <c r="R75"/>
      <c r="S75"/>
      <c r="T75"/>
      <c r="U75"/>
      <c r="V75"/>
      <c r="W75"/>
      <c r="X75"/>
      <c r="Y75"/>
      <c r="Z75"/>
      <c r="AA75"/>
      <c r="AB75"/>
      <c r="AC75"/>
    </row>
    <row r="76" spans="1:29" ht="15.75">
      <c r="A76" s="28"/>
      <c r="B76" s="346">
        <f t="shared" si="0"/>
        <v>40</v>
      </c>
      <c r="C76" s="347">
        <f t="shared" si="1"/>
        <v>0</v>
      </c>
      <c r="D76" s="347">
        <f t="shared" si="2"/>
        <v>0</v>
      </c>
      <c r="E76" s="347">
        <f t="shared" si="3"/>
        <v>0</v>
      </c>
      <c r="F76" s="347">
        <f t="shared" si="4"/>
        <v>0</v>
      </c>
      <c r="G76" s="347">
        <f t="shared" si="5"/>
        <v>0</v>
      </c>
      <c r="H76" s="347">
        <f t="shared" si="6"/>
        <v>0</v>
      </c>
      <c r="I76" s="347">
        <f t="shared" si="7"/>
        <v>0</v>
      </c>
      <c r="J76" s="347">
        <f t="shared" si="8"/>
        <v>0</v>
      </c>
      <c r="K76"/>
      <c r="L76"/>
      <c r="M76"/>
      <c r="N76"/>
      <c r="O76"/>
      <c r="P76"/>
      <c r="Q76"/>
      <c r="R76"/>
      <c r="S76"/>
      <c r="T76"/>
      <c r="U76"/>
      <c r="V76"/>
      <c r="W76"/>
      <c r="X76"/>
      <c r="Y76"/>
      <c r="Z76"/>
      <c r="AA76"/>
      <c r="AB76"/>
      <c r="AC76"/>
    </row>
    <row r="77" spans="1:29" ht="15.75">
      <c r="A77" s="28"/>
      <c r="B77" s="346">
        <f t="shared" si="0"/>
        <v>41</v>
      </c>
      <c r="C77" s="347">
        <f t="shared" si="1"/>
        <v>0</v>
      </c>
      <c r="D77" s="347">
        <f t="shared" si="2"/>
        <v>0</v>
      </c>
      <c r="E77" s="347">
        <f t="shared" si="3"/>
        <v>0</v>
      </c>
      <c r="F77" s="347">
        <f t="shared" si="4"/>
        <v>0</v>
      </c>
      <c r="G77" s="347">
        <f t="shared" si="5"/>
        <v>0</v>
      </c>
      <c r="H77" s="347">
        <f t="shared" si="6"/>
        <v>0</v>
      </c>
      <c r="I77" s="347">
        <f t="shared" si="7"/>
        <v>0</v>
      </c>
      <c r="J77" s="347">
        <f t="shared" si="8"/>
        <v>0</v>
      </c>
      <c r="K77"/>
      <c r="L77"/>
      <c r="M77"/>
      <c r="N77"/>
      <c r="O77"/>
      <c r="P77"/>
      <c r="Q77"/>
      <c r="R77"/>
      <c r="S77"/>
      <c r="T77"/>
      <c r="U77"/>
      <c r="V77"/>
      <c r="W77"/>
      <c r="X77"/>
      <c r="Y77"/>
      <c r="Z77"/>
      <c r="AA77"/>
      <c r="AB77"/>
      <c r="AC77"/>
    </row>
    <row r="78" spans="1:29" ht="15.75">
      <c r="A78" s="28"/>
      <c r="B78" s="346">
        <f t="shared" si="0"/>
        <v>42</v>
      </c>
      <c r="C78" s="347">
        <f t="shared" si="1"/>
        <v>0</v>
      </c>
      <c r="D78" s="347">
        <f t="shared" si="2"/>
        <v>0</v>
      </c>
      <c r="E78" s="347">
        <f t="shared" si="3"/>
        <v>0</v>
      </c>
      <c r="F78" s="347">
        <f t="shared" si="4"/>
        <v>0</v>
      </c>
      <c r="G78" s="347">
        <f t="shared" si="5"/>
        <v>0</v>
      </c>
      <c r="H78" s="347">
        <f t="shared" si="6"/>
        <v>0</v>
      </c>
      <c r="I78" s="347">
        <f t="shared" si="7"/>
        <v>0</v>
      </c>
      <c r="J78" s="347">
        <f t="shared" si="8"/>
        <v>0</v>
      </c>
      <c r="K78"/>
      <c r="L78"/>
      <c r="M78"/>
      <c r="N78"/>
      <c r="O78"/>
      <c r="P78"/>
      <c r="Q78"/>
      <c r="R78"/>
      <c r="S78"/>
      <c r="T78"/>
      <c r="U78"/>
      <c r="V78"/>
      <c r="W78"/>
      <c r="X78"/>
      <c r="Y78"/>
      <c r="Z78"/>
      <c r="AA78"/>
      <c r="AB78"/>
      <c r="AC78"/>
    </row>
    <row r="79" spans="1:29" ht="15.75">
      <c r="A79" s="28"/>
      <c r="B79" s="346">
        <f t="shared" si="0"/>
        <v>43</v>
      </c>
      <c r="C79" s="347">
        <f t="shared" si="1"/>
        <v>0</v>
      </c>
      <c r="D79" s="347">
        <f t="shared" si="2"/>
        <v>0</v>
      </c>
      <c r="E79" s="347">
        <f t="shared" si="3"/>
        <v>0</v>
      </c>
      <c r="F79" s="347">
        <f t="shared" si="4"/>
        <v>0</v>
      </c>
      <c r="G79" s="347">
        <f t="shared" si="5"/>
        <v>0</v>
      </c>
      <c r="H79" s="347">
        <f t="shared" si="6"/>
        <v>0</v>
      </c>
      <c r="I79" s="347">
        <f t="shared" si="7"/>
        <v>0</v>
      </c>
      <c r="J79" s="347">
        <f t="shared" si="8"/>
        <v>0</v>
      </c>
      <c r="K79"/>
      <c r="L79"/>
      <c r="M79"/>
      <c r="N79"/>
      <c r="O79"/>
      <c r="P79"/>
      <c r="Q79"/>
      <c r="R79"/>
      <c r="S79"/>
      <c r="T79"/>
      <c r="U79"/>
      <c r="V79"/>
      <c r="W79"/>
      <c r="X79"/>
      <c r="Y79"/>
      <c r="Z79"/>
      <c r="AA79"/>
      <c r="AB79"/>
      <c r="AC79"/>
    </row>
    <row r="80" spans="1:29" ht="15.75">
      <c r="A80" s="28"/>
      <c r="B80" s="346">
        <f t="shared" si="0"/>
        <v>44</v>
      </c>
      <c r="C80" s="347">
        <f t="shared" si="1"/>
        <v>0</v>
      </c>
      <c r="D80" s="347">
        <f t="shared" si="2"/>
        <v>0</v>
      </c>
      <c r="E80" s="347">
        <f t="shared" si="3"/>
        <v>0</v>
      </c>
      <c r="F80" s="347">
        <f t="shared" si="4"/>
        <v>0</v>
      </c>
      <c r="G80" s="347">
        <f t="shared" si="5"/>
        <v>0</v>
      </c>
      <c r="H80" s="347">
        <f t="shared" si="6"/>
        <v>0</v>
      </c>
      <c r="I80" s="347">
        <f t="shared" si="7"/>
        <v>0</v>
      </c>
      <c r="J80" s="347">
        <f t="shared" si="8"/>
        <v>0</v>
      </c>
      <c r="K80"/>
      <c r="L80"/>
      <c r="M80"/>
      <c r="N80"/>
      <c r="O80"/>
      <c r="P80"/>
      <c r="Q80"/>
      <c r="R80"/>
      <c r="S80"/>
      <c r="T80"/>
      <c r="U80"/>
      <c r="V80"/>
      <c r="W80"/>
      <c r="X80"/>
      <c r="Y80"/>
      <c r="Z80"/>
      <c r="AA80"/>
      <c r="AB80"/>
      <c r="AC80"/>
    </row>
    <row r="81" spans="1:29" ht="15.75">
      <c r="A81" s="28"/>
      <c r="B81" s="346">
        <f t="shared" si="0"/>
        <v>45</v>
      </c>
      <c r="C81" s="347">
        <f t="shared" si="1"/>
        <v>0</v>
      </c>
      <c r="D81" s="347">
        <f t="shared" si="2"/>
        <v>0</v>
      </c>
      <c r="E81" s="347">
        <f t="shared" si="3"/>
        <v>0</v>
      </c>
      <c r="F81" s="347">
        <f t="shared" si="4"/>
        <v>0</v>
      </c>
      <c r="G81" s="347">
        <f t="shared" si="5"/>
        <v>0</v>
      </c>
      <c r="H81" s="347">
        <f t="shared" si="6"/>
        <v>0</v>
      </c>
      <c r="I81" s="347">
        <f t="shared" si="7"/>
        <v>0</v>
      </c>
      <c r="J81" s="347">
        <f t="shared" si="8"/>
        <v>0</v>
      </c>
      <c r="K81"/>
      <c r="L81"/>
      <c r="M81"/>
      <c r="N81"/>
      <c r="O81"/>
      <c r="P81"/>
      <c r="Q81"/>
      <c r="R81"/>
      <c r="S81"/>
      <c r="T81"/>
      <c r="U81"/>
      <c r="V81"/>
      <c r="W81"/>
      <c r="X81"/>
      <c r="Y81"/>
      <c r="Z81"/>
      <c r="AA81"/>
      <c r="AB81"/>
      <c r="AC81"/>
    </row>
    <row r="82" spans="1:29" ht="15.75">
      <c r="A82" s="28"/>
      <c r="B82" s="346">
        <f t="shared" si="0"/>
        <v>46</v>
      </c>
      <c r="C82" s="347">
        <f t="shared" si="1"/>
        <v>0</v>
      </c>
      <c r="D82" s="347">
        <f t="shared" si="2"/>
        <v>0</v>
      </c>
      <c r="E82" s="347">
        <f t="shared" si="3"/>
        <v>0</v>
      </c>
      <c r="F82" s="347">
        <f t="shared" si="4"/>
        <v>0</v>
      </c>
      <c r="G82" s="347">
        <f t="shared" si="5"/>
        <v>0</v>
      </c>
      <c r="H82" s="347">
        <f t="shared" si="6"/>
        <v>0</v>
      </c>
      <c r="I82" s="347">
        <f t="shared" si="7"/>
        <v>0</v>
      </c>
      <c r="J82" s="347">
        <f t="shared" si="8"/>
        <v>0</v>
      </c>
      <c r="K82"/>
      <c r="L82"/>
      <c r="M82"/>
      <c r="N82"/>
      <c r="O82"/>
      <c r="P82"/>
      <c r="Q82"/>
      <c r="R82"/>
      <c r="S82"/>
      <c r="T82"/>
      <c r="U82"/>
      <c r="V82"/>
      <c r="W82"/>
      <c r="X82"/>
      <c r="Y82"/>
      <c r="Z82"/>
      <c r="AA82"/>
      <c r="AB82"/>
      <c r="AC82"/>
    </row>
    <row r="83" spans="1:29" ht="15.75">
      <c r="A83" s="28"/>
      <c r="B83" s="346">
        <f t="shared" si="0"/>
        <v>47</v>
      </c>
      <c r="C83" s="347">
        <f t="shared" si="1"/>
        <v>0</v>
      </c>
      <c r="D83" s="347">
        <f t="shared" si="2"/>
        <v>0</v>
      </c>
      <c r="E83" s="347">
        <f t="shared" si="3"/>
        <v>0</v>
      </c>
      <c r="F83" s="347">
        <f t="shared" si="4"/>
        <v>0</v>
      </c>
      <c r="G83" s="347">
        <f t="shared" si="5"/>
        <v>0</v>
      </c>
      <c r="H83" s="347">
        <f t="shared" si="6"/>
        <v>0</v>
      </c>
      <c r="I83" s="347">
        <f t="shared" si="7"/>
        <v>0</v>
      </c>
      <c r="J83" s="347">
        <f t="shared" si="8"/>
        <v>0</v>
      </c>
      <c r="K83"/>
      <c r="L83"/>
      <c r="M83"/>
      <c r="N83"/>
      <c r="O83"/>
      <c r="P83"/>
      <c r="Q83"/>
      <c r="R83"/>
      <c r="S83"/>
      <c r="T83"/>
      <c r="U83"/>
      <c r="V83"/>
      <c r="W83"/>
      <c r="X83"/>
      <c r="Y83"/>
      <c r="Z83"/>
      <c r="AA83"/>
      <c r="AB83"/>
      <c r="AC83"/>
    </row>
    <row r="84" spans="1:29" ht="15.75">
      <c r="A84" s="28"/>
      <c r="B84" s="346">
        <f t="shared" si="0"/>
        <v>48</v>
      </c>
      <c r="C84" s="347">
        <f t="shared" si="1"/>
        <v>0</v>
      </c>
      <c r="D84" s="347">
        <f t="shared" si="2"/>
        <v>0</v>
      </c>
      <c r="E84" s="347">
        <f t="shared" si="3"/>
        <v>0</v>
      </c>
      <c r="F84" s="347">
        <f t="shared" si="4"/>
        <v>0</v>
      </c>
      <c r="G84" s="347">
        <f t="shared" si="5"/>
        <v>0</v>
      </c>
      <c r="H84" s="347">
        <f t="shared" si="6"/>
        <v>0</v>
      </c>
      <c r="I84" s="347">
        <f t="shared" si="7"/>
        <v>0</v>
      </c>
      <c r="J84" s="347">
        <f t="shared" si="8"/>
        <v>0</v>
      </c>
      <c r="K84"/>
      <c r="L84"/>
      <c r="M84"/>
      <c r="N84"/>
      <c r="O84"/>
      <c r="P84"/>
      <c r="Q84"/>
      <c r="R84"/>
      <c r="S84"/>
      <c r="T84"/>
      <c r="U84"/>
      <c r="V84"/>
      <c r="W84"/>
      <c r="X84"/>
      <c r="Y84"/>
      <c r="Z84"/>
      <c r="AA84"/>
      <c r="AB84"/>
      <c r="AC84"/>
    </row>
    <row r="85" spans="1:29" ht="15.75">
      <c r="A85" s="28"/>
      <c r="B85" s="346">
        <f t="shared" si="0"/>
        <v>49</v>
      </c>
      <c r="C85" s="347">
        <f t="shared" si="1"/>
        <v>0</v>
      </c>
      <c r="D85" s="347">
        <f t="shared" si="2"/>
        <v>0</v>
      </c>
      <c r="E85" s="347">
        <f t="shared" si="3"/>
        <v>0</v>
      </c>
      <c r="F85" s="347">
        <f t="shared" si="4"/>
        <v>0</v>
      </c>
      <c r="G85" s="347">
        <f t="shared" si="5"/>
        <v>0</v>
      </c>
      <c r="H85" s="347">
        <f t="shared" si="6"/>
        <v>0</v>
      </c>
      <c r="I85" s="347">
        <f t="shared" si="7"/>
        <v>0</v>
      </c>
      <c r="J85" s="347">
        <f t="shared" si="8"/>
        <v>0</v>
      </c>
      <c r="K85"/>
      <c r="L85"/>
      <c r="M85"/>
      <c r="N85"/>
      <c r="O85"/>
      <c r="P85"/>
      <c r="Q85"/>
      <c r="R85"/>
      <c r="S85"/>
      <c r="T85"/>
      <c r="U85"/>
      <c r="V85"/>
      <c r="W85"/>
      <c r="X85"/>
      <c r="Y85"/>
      <c r="Z85"/>
      <c r="AA85"/>
      <c r="AB85"/>
      <c r="AC85"/>
    </row>
    <row r="86" spans="1:29" ht="15.75">
      <c r="A86" s="28"/>
      <c r="B86" s="346">
        <f t="shared" si="0"/>
        <v>50</v>
      </c>
      <c r="C86" s="347">
        <f t="shared" si="1"/>
        <v>0</v>
      </c>
      <c r="D86" s="347">
        <f t="shared" si="2"/>
        <v>0</v>
      </c>
      <c r="E86" s="347">
        <f t="shared" si="3"/>
        <v>0</v>
      </c>
      <c r="F86" s="347">
        <f t="shared" si="4"/>
        <v>0</v>
      </c>
      <c r="G86" s="347">
        <f t="shared" si="5"/>
        <v>0</v>
      </c>
      <c r="H86" s="347">
        <f t="shared" si="6"/>
        <v>0</v>
      </c>
      <c r="I86" s="347">
        <f t="shared" si="7"/>
        <v>0</v>
      </c>
      <c r="J86" s="347">
        <f t="shared" si="8"/>
        <v>0</v>
      </c>
      <c r="K86"/>
      <c r="L86"/>
      <c r="M86"/>
      <c r="N86"/>
      <c r="O86"/>
      <c r="P86"/>
      <c r="Q86"/>
      <c r="R86"/>
      <c r="S86"/>
      <c r="T86"/>
      <c r="U86"/>
      <c r="V86"/>
      <c r="W86"/>
      <c r="X86"/>
      <c r="Y86"/>
      <c r="Z86"/>
      <c r="AA86"/>
      <c r="AB86"/>
      <c r="AC86"/>
    </row>
    <row r="87" spans="1:29" ht="15.75">
      <c r="A87" s="28"/>
      <c r="B87" s="346">
        <f t="shared" si="0"/>
        <v>51</v>
      </c>
      <c r="C87" s="347">
        <f t="shared" si="1"/>
        <v>0</v>
      </c>
      <c r="D87" s="347">
        <f t="shared" si="2"/>
        <v>0</v>
      </c>
      <c r="E87" s="347">
        <f t="shared" si="3"/>
        <v>0</v>
      </c>
      <c r="F87" s="347">
        <f t="shared" si="4"/>
        <v>0</v>
      </c>
      <c r="G87" s="347">
        <f t="shared" si="5"/>
        <v>0</v>
      </c>
      <c r="H87" s="347">
        <f t="shared" si="6"/>
        <v>0</v>
      </c>
      <c r="I87" s="347">
        <f t="shared" si="7"/>
        <v>0</v>
      </c>
      <c r="J87" s="347">
        <f t="shared" si="8"/>
        <v>0</v>
      </c>
      <c r="K87"/>
      <c r="L87"/>
      <c r="M87"/>
      <c r="N87"/>
      <c r="O87"/>
      <c r="P87"/>
      <c r="Q87"/>
      <c r="R87"/>
      <c r="S87"/>
      <c r="T87"/>
      <c r="U87"/>
      <c r="V87"/>
      <c r="W87"/>
      <c r="X87"/>
      <c r="Y87"/>
      <c r="Z87"/>
      <c r="AA87"/>
      <c r="AB87"/>
      <c r="AC87"/>
    </row>
    <row r="88" spans="1:29" ht="15.75">
      <c r="A88" s="28"/>
      <c r="B88" s="346">
        <f t="shared" si="0"/>
        <v>52</v>
      </c>
      <c r="C88" s="347">
        <f t="shared" si="1"/>
        <v>0</v>
      </c>
      <c r="D88" s="347">
        <f t="shared" si="2"/>
        <v>0</v>
      </c>
      <c r="E88" s="347">
        <f t="shared" si="3"/>
        <v>0</v>
      </c>
      <c r="F88" s="347">
        <f t="shared" si="4"/>
        <v>0</v>
      </c>
      <c r="G88" s="347">
        <f t="shared" si="5"/>
        <v>0</v>
      </c>
      <c r="H88" s="347">
        <f t="shared" si="6"/>
        <v>0</v>
      </c>
      <c r="I88" s="347">
        <f t="shared" si="7"/>
        <v>0</v>
      </c>
      <c r="J88" s="347">
        <f t="shared" si="8"/>
        <v>0</v>
      </c>
      <c r="K88"/>
      <c r="L88"/>
      <c r="M88"/>
      <c r="N88"/>
      <c r="O88"/>
      <c r="P88"/>
      <c r="Q88"/>
      <c r="R88"/>
      <c r="S88"/>
      <c r="T88"/>
      <c r="U88"/>
      <c r="V88"/>
      <c r="W88"/>
      <c r="X88"/>
      <c r="Y88"/>
      <c r="Z88"/>
      <c r="AA88"/>
      <c r="AB88"/>
      <c r="AC88"/>
    </row>
    <row r="89" spans="1:29" ht="15.75">
      <c r="A89" s="28"/>
      <c r="B89" s="346">
        <f t="shared" si="0"/>
        <v>53</v>
      </c>
      <c r="C89" s="347">
        <f t="shared" si="1"/>
        <v>0</v>
      </c>
      <c r="D89" s="347">
        <f t="shared" si="2"/>
        <v>0</v>
      </c>
      <c r="E89" s="347">
        <f t="shared" si="3"/>
        <v>0</v>
      </c>
      <c r="F89" s="347">
        <f t="shared" si="4"/>
        <v>0</v>
      </c>
      <c r="G89" s="347">
        <f t="shared" si="5"/>
        <v>0</v>
      </c>
      <c r="H89" s="347">
        <f t="shared" si="6"/>
        <v>0</v>
      </c>
      <c r="I89" s="347">
        <f t="shared" si="7"/>
        <v>0</v>
      </c>
      <c r="J89" s="347">
        <f t="shared" si="8"/>
        <v>0</v>
      </c>
      <c r="K89"/>
      <c r="L89"/>
      <c r="M89"/>
      <c r="N89"/>
      <c r="O89"/>
      <c r="P89"/>
      <c r="Q89"/>
      <c r="R89"/>
      <c r="S89"/>
      <c r="T89"/>
      <c r="U89"/>
      <c r="V89"/>
      <c r="W89"/>
      <c r="X89"/>
      <c r="Y89"/>
      <c r="Z89"/>
      <c r="AA89"/>
      <c r="AB89"/>
      <c r="AC89"/>
    </row>
    <row r="90" spans="1:29" ht="15.75">
      <c r="A90" s="28"/>
      <c r="B90" s="346">
        <f t="shared" si="0"/>
        <v>54</v>
      </c>
      <c r="C90" s="347">
        <f t="shared" si="1"/>
        <v>0</v>
      </c>
      <c r="D90" s="347">
        <f t="shared" si="2"/>
        <v>0</v>
      </c>
      <c r="E90" s="347">
        <f t="shared" si="3"/>
        <v>0</v>
      </c>
      <c r="F90" s="347">
        <f t="shared" si="4"/>
        <v>0</v>
      </c>
      <c r="G90" s="347">
        <f t="shared" si="5"/>
        <v>0</v>
      </c>
      <c r="H90" s="347">
        <f t="shared" si="6"/>
        <v>0</v>
      </c>
      <c r="I90" s="347">
        <f t="shared" si="7"/>
        <v>0</v>
      </c>
      <c r="J90" s="347">
        <f t="shared" si="8"/>
        <v>0</v>
      </c>
      <c r="K90"/>
      <c r="L90"/>
      <c r="M90"/>
      <c r="N90"/>
      <c r="O90"/>
      <c r="P90"/>
      <c r="Q90"/>
      <c r="R90"/>
      <c r="S90"/>
      <c r="T90"/>
      <c r="U90"/>
      <c r="V90"/>
      <c r="W90"/>
      <c r="X90"/>
      <c r="Y90"/>
      <c r="Z90"/>
      <c r="AA90"/>
      <c r="AB90"/>
      <c r="AC90"/>
    </row>
    <row r="91" spans="1:29" ht="15.75">
      <c r="A91" s="28"/>
      <c r="B91" s="346">
        <f t="shared" si="0"/>
        <v>55</v>
      </c>
      <c r="C91" s="347">
        <f t="shared" si="1"/>
        <v>0</v>
      </c>
      <c r="D91" s="347">
        <f t="shared" si="2"/>
        <v>0</v>
      </c>
      <c r="E91" s="347">
        <f t="shared" si="3"/>
        <v>0</v>
      </c>
      <c r="F91" s="347">
        <f t="shared" si="4"/>
        <v>0</v>
      </c>
      <c r="G91" s="347">
        <f t="shared" si="5"/>
        <v>0</v>
      </c>
      <c r="H91" s="347">
        <f t="shared" si="6"/>
        <v>0</v>
      </c>
      <c r="I91" s="347">
        <f t="shared" si="7"/>
        <v>0</v>
      </c>
      <c r="J91" s="347">
        <f t="shared" si="8"/>
        <v>0</v>
      </c>
      <c r="K91"/>
      <c r="L91"/>
      <c r="M91"/>
      <c r="N91"/>
      <c r="O91"/>
      <c r="P91"/>
      <c r="Q91"/>
      <c r="R91"/>
      <c r="S91"/>
      <c r="T91"/>
      <c r="U91"/>
      <c r="V91"/>
      <c r="W91"/>
      <c r="X91"/>
      <c r="Y91"/>
      <c r="Z91"/>
      <c r="AA91"/>
      <c r="AB91"/>
      <c r="AC91"/>
    </row>
    <row r="92" spans="1:29" ht="15.75">
      <c r="A92" s="28"/>
      <c r="B92" s="346">
        <f t="shared" si="0"/>
        <v>56</v>
      </c>
      <c r="C92" s="347">
        <f t="shared" si="1"/>
        <v>0</v>
      </c>
      <c r="D92" s="347">
        <f t="shared" si="2"/>
        <v>0</v>
      </c>
      <c r="E92" s="347">
        <f t="shared" si="3"/>
        <v>0</v>
      </c>
      <c r="F92" s="347">
        <f t="shared" si="4"/>
        <v>0</v>
      </c>
      <c r="G92" s="347">
        <f t="shared" si="5"/>
        <v>0</v>
      </c>
      <c r="H92" s="347">
        <f t="shared" si="6"/>
        <v>0</v>
      </c>
      <c r="I92" s="347">
        <f t="shared" si="7"/>
        <v>0</v>
      </c>
      <c r="J92" s="347">
        <f t="shared" si="8"/>
        <v>0</v>
      </c>
      <c r="K92"/>
      <c r="L92"/>
      <c r="M92"/>
      <c r="N92"/>
      <c r="O92"/>
      <c r="P92"/>
      <c r="Q92"/>
      <c r="R92"/>
      <c r="S92"/>
      <c r="T92"/>
      <c r="U92"/>
      <c r="V92"/>
      <c r="W92"/>
      <c r="X92"/>
      <c r="Y92"/>
      <c r="Z92"/>
      <c r="AA92"/>
      <c r="AB92"/>
      <c r="AC92"/>
    </row>
    <row r="93" spans="1:29" ht="15.75">
      <c r="A93" s="28"/>
      <c r="B93" s="346">
        <f t="shared" si="0"/>
        <v>57</v>
      </c>
      <c r="C93" s="347">
        <f t="shared" si="1"/>
        <v>0</v>
      </c>
      <c r="D93" s="347">
        <f t="shared" si="2"/>
        <v>0</v>
      </c>
      <c r="E93" s="347">
        <f t="shared" si="3"/>
        <v>0</v>
      </c>
      <c r="F93" s="347">
        <f t="shared" si="4"/>
        <v>0</v>
      </c>
      <c r="G93" s="347">
        <f t="shared" si="5"/>
        <v>0</v>
      </c>
      <c r="H93" s="347">
        <f t="shared" si="6"/>
        <v>0</v>
      </c>
      <c r="I93" s="347">
        <f t="shared" si="7"/>
        <v>0</v>
      </c>
      <c r="J93" s="347">
        <f t="shared" si="8"/>
        <v>0</v>
      </c>
      <c r="K93"/>
      <c r="L93"/>
      <c r="M93"/>
      <c r="N93"/>
      <c r="O93"/>
      <c r="P93"/>
      <c r="Q93"/>
      <c r="R93"/>
      <c r="S93"/>
      <c r="T93"/>
      <c r="U93"/>
      <c r="V93"/>
      <c r="W93"/>
      <c r="X93"/>
      <c r="Y93"/>
      <c r="Z93"/>
      <c r="AA93"/>
      <c r="AB93"/>
      <c r="AC93"/>
    </row>
    <row r="94" spans="1:29" ht="15.75">
      <c r="A94" s="28"/>
      <c r="B94" s="346">
        <f t="shared" si="0"/>
        <v>58</v>
      </c>
      <c r="C94" s="347">
        <f t="shared" si="1"/>
        <v>0</v>
      </c>
      <c r="D94" s="347">
        <f t="shared" si="2"/>
        <v>0</v>
      </c>
      <c r="E94" s="347">
        <f t="shared" si="3"/>
        <v>0</v>
      </c>
      <c r="F94" s="347">
        <f t="shared" si="4"/>
        <v>0</v>
      </c>
      <c r="G94" s="347">
        <f t="shared" si="5"/>
        <v>0</v>
      </c>
      <c r="H94" s="347">
        <f t="shared" si="6"/>
        <v>0</v>
      </c>
      <c r="I94" s="347">
        <f t="shared" si="7"/>
        <v>0</v>
      </c>
      <c r="J94" s="347">
        <f t="shared" si="8"/>
        <v>0</v>
      </c>
      <c r="K94"/>
      <c r="L94"/>
      <c r="M94"/>
      <c r="N94"/>
      <c r="O94"/>
      <c r="P94"/>
      <c r="Q94"/>
      <c r="R94"/>
      <c r="S94"/>
      <c r="T94"/>
      <c r="U94"/>
      <c r="V94"/>
      <c r="W94"/>
      <c r="X94"/>
      <c r="Y94"/>
      <c r="Z94"/>
      <c r="AA94"/>
      <c r="AB94"/>
      <c r="AC94"/>
    </row>
    <row r="95" spans="1:29" ht="15.75">
      <c r="A95" s="28"/>
      <c r="B95" s="346">
        <f t="shared" si="0"/>
        <v>59</v>
      </c>
      <c r="C95" s="347">
        <f t="shared" si="1"/>
        <v>0</v>
      </c>
      <c r="D95" s="347">
        <f t="shared" si="2"/>
        <v>0</v>
      </c>
      <c r="E95" s="347">
        <f t="shared" si="3"/>
        <v>0</v>
      </c>
      <c r="F95" s="347">
        <f t="shared" si="4"/>
        <v>0</v>
      </c>
      <c r="G95" s="347">
        <f t="shared" si="5"/>
        <v>0</v>
      </c>
      <c r="H95" s="347">
        <f t="shared" si="6"/>
        <v>0</v>
      </c>
      <c r="I95" s="347">
        <f t="shared" si="7"/>
        <v>0</v>
      </c>
      <c r="J95" s="347">
        <f t="shared" si="8"/>
        <v>0</v>
      </c>
      <c r="K95"/>
      <c r="L95"/>
      <c r="M95"/>
      <c r="N95"/>
      <c r="O95"/>
      <c r="P95"/>
      <c r="Q95"/>
      <c r="R95"/>
      <c r="S95"/>
      <c r="T95"/>
      <c r="U95"/>
      <c r="V95"/>
      <c r="W95"/>
      <c r="X95"/>
      <c r="Y95"/>
      <c r="Z95"/>
      <c r="AA95"/>
      <c r="AB95"/>
      <c r="AC95"/>
    </row>
    <row r="96" spans="1:29" ht="15.75">
      <c r="A96" s="28"/>
      <c r="B96" s="346">
        <f t="shared" si="0"/>
        <v>60</v>
      </c>
      <c r="C96" s="347">
        <f t="shared" si="1"/>
        <v>0</v>
      </c>
      <c r="D96" s="347">
        <f t="shared" si="2"/>
        <v>0</v>
      </c>
      <c r="E96" s="347">
        <f t="shared" si="3"/>
        <v>0</v>
      </c>
      <c r="F96" s="347">
        <f t="shared" si="4"/>
        <v>0</v>
      </c>
      <c r="G96" s="347">
        <f t="shared" si="5"/>
        <v>0</v>
      </c>
      <c r="H96" s="347">
        <f t="shared" si="6"/>
        <v>0</v>
      </c>
      <c r="I96" s="347">
        <f t="shared" si="7"/>
        <v>0</v>
      </c>
      <c r="J96" s="347">
        <f t="shared" si="8"/>
        <v>0</v>
      </c>
      <c r="K96"/>
      <c r="L96"/>
      <c r="M96"/>
      <c r="N96"/>
      <c r="O96"/>
      <c r="P96"/>
      <c r="Q96"/>
      <c r="R96"/>
      <c r="S96"/>
      <c r="T96"/>
      <c r="U96"/>
      <c r="V96"/>
      <c r="W96"/>
      <c r="X96"/>
      <c r="Y96"/>
      <c r="Z96"/>
      <c r="AA96"/>
      <c r="AB96"/>
      <c r="AC96"/>
    </row>
    <row r="97" spans="1:29" ht="15.75">
      <c r="A97" s="28"/>
      <c r="B97" s="346">
        <f t="shared" si="0"/>
        <v>61</v>
      </c>
      <c r="C97" s="347">
        <f t="shared" si="1"/>
        <v>0</v>
      </c>
      <c r="D97" s="347">
        <f t="shared" si="2"/>
        <v>0</v>
      </c>
      <c r="E97" s="347">
        <f t="shared" si="3"/>
        <v>0</v>
      </c>
      <c r="F97" s="347">
        <f t="shared" si="4"/>
        <v>0</v>
      </c>
      <c r="G97" s="347">
        <f t="shared" si="5"/>
        <v>0</v>
      </c>
      <c r="H97" s="347">
        <f t="shared" si="6"/>
        <v>0</v>
      </c>
      <c r="I97" s="347">
        <f t="shared" si="7"/>
        <v>0</v>
      </c>
      <c r="J97" s="347">
        <f t="shared" si="8"/>
        <v>0</v>
      </c>
      <c r="K97"/>
      <c r="L97"/>
      <c r="M97"/>
      <c r="N97"/>
      <c r="O97"/>
      <c r="P97"/>
      <c r="Q97"/>
      <c r="R97"/>
      <c r="S97"/>
      <c r="T97"/>
      <c r="U97"/>
      <c r="V97"/>
      <c r="W97"/>
      <c r="X97"/>
      <c r="Y97"/>
      <c r="Z97"/>
      <c r="AA97"/>
      <c r="AB97"/>
      <c r="AC97"/>
    </row>
    <row r="98" spans="1:29" ht="15.75">
      <c r="A98" s="28"/>
      <c r="B98" s="346">
        <f t="shared" si="0"/>
        <v>62</v>
      </c>
      <c r="C98" s="347">
        <f t="shared" si="1"/>
        <v>0</v>
      </c>
      <c r="D98" s="347">
        <f t="shared" si="2"/>
        <v>0</v>
      </c>
      <c r="E98" s="347">
        <f t="shared" si="3"/>
        <v>0</v>
      </c>
      <c r="F98" s="347">
        <f t="shared" si="4"/>
        <v>0</v>
      </c>
      <c r="G98" s="347">
        <f t="shared" si="5"/>
        <v>0</v>
      </c>
      <c r="H98" s="347">
        <f t="shared" si="6"/>
        <v>0</v>
      </c>
      <c r="I98" s="347">
        <f t="shared" si="7"/>
        <v>0</v>
      </c>
      <c r="J98" s="347">
        <f t="shared" si="8"/>
        <v>0</v>
      </c>
      <c r="K98"/>
      <c r="L98"/>
      <c r="M98"/>
      <c r="N98"/>
      <c r="O98"/>
      <c r="P98"/>
      <c r="Q98"/>
      <c r="R98"/>
      <c r="S98"/>
      <c r="T98"/>
      <c r="U98"/>
      <c r="V98"/>
      <c r="W98"/>
      <c r="X98"/>
      <c r="Y98"/>
      <c r="Z98"/>
      <c r="AA98"/>
      <c r="AB98"/>
      <c r="AC98"/>
    </row>
    <row r="99" spans="1:29" ht="15.75">
      <c r="A99" s="28"/>
      <c r="B99" s="346">
        <f t="shared" si="0"/>
        <v>63</v>
      </c>
      <c r="C99" s="347">
        <f t="shared" si="1"/>
        <v>0</v>
      </c>
      <c r="D99" s="347">
        <f t="shared" si="2"/>
        <v>0</v>
      </c>
      <c r="E99" s="347">
        <f t="shared" si="3"/>
        <v>0</v>
      </c>
      <c r="F99" s="347">
        <f t="shared" si="4"/>
        <v>0</v>
      </c>
      <c r="G99" s="347">
        <f t="shared" si="5"/>
        <v>0</v>
      </c>
      <c r="H99" s="347">
        <f t="shared" si="6"/>
        <v>0</v>
      </c>
      <c r="I99" s="347">
        <f t="shared" si="7"/>
        <v>0</v>
      </c>
      <c r="J99" s="347">
        <f t="shared" si="8"/>
        <v>0</v>
      </c>
      <c r="K99"/>
      <c r="L99"/>
      <c r="M99"/>
      <c r="N99"/>
      <c r="O99"/>
      <c r="P99"/>
      <c r="Q99"/>
      <c r="R99"/>
      <c r="S99"/>
      <c r="T99"/>
      <c r="U99"/>
      <c r="V99"/>
      <c r="W99"/>
      <c r="X99"/>
      <c r="Y99"/>
      <c r="Z99"/>
      <c r="AA99"/>
      <c r="AB99"/>
      <c r="AC99"/>
    </row>
    <row r="100" spans="1:29" ht="15.75">
      <c r="A100" s="28"/>
      <c r="B100" s="346">
        <f t="shared" si="0"/>
        <v>64</v>
      </c>
      <c r="C100" s="347">
        <f t="shared" si="1"/>
        <v>0</v>
      </c>
      <c r="D100" s="347">
        <f t="shared" si="2"/>
        <v>0</v>
      </c>
      <c r="E100" s="347">
        <f t="shared" si="3"/>
        <v>0</v>
      </c>
      <c r="F100" s="347">
        <f t="shared" si="4"/>
        <v>0</v>
      </c>
      <c r="G100" s="347">
        <f t="shared" si="5"/>
        <v>0</v>
      </c>
      <c r="H100" s="347">
        <f t="shared" si="6"/>
        <v>0</v>
      </c>
      <c r="I100" s="347">
        <f t="shared" si="7"/>
        <v>0</v>
      </c>
      <c r="J100" s="347">
        <f t="shared" si="8"/>
        <v>0</v>
      </c>
      <c r="K100"/>
      <c r="L100"/>
      <c r="M100"/>
      <c r="N100"/>
      <c r="O100"/>
      <c r="P100"/>
      <c r="Q100"/>
      <c r="R100"/>
      <c r="S100"/>
      <c r="T100"/>
      <c r="U100"/>
      <c r="V100"/>
      <c r="W100"/>
      <c r="X100"/>
      <c r="Y100"/>
      <c r="Z100"/>
      <c r="AA100"/>
      <c r="AB100"/>
      <c r="AC100"/>
    </row>
    <row r="101" spans="1:29" ht="15.75">
      <c r="A101" s="28"/>
      <c r="B101" s="346">
        <f t="shared" si="0"/>
        <v>65</v>
      </c>
      <c r="C101" s="347">
        <f t="shared" si="1"/>
        <v>0</v>
      </c>
      <c r="D101" s="347">
        <f t="shared" si="2"/>
        <v>0</v>
      </c>
      <c r="E101" s="347">
        <f t="shared" si="3"/>
        <v>0</v>
      </c>
      <c r="F101" s="347">
        <f t="shared" si="4"/>
        <v>0</v>
      </c>
      <c r="G101" s="347">
        <f t="shared" si="5"/>
        <v>0</v>
      </c>
      <c r="H101" s="347">
        <f t="shared" si="6"/>
        <v>0</v>
      </c>
      <c r="I101" s="347">
        <f t="shared" si="7"/>
        <v>0</v>
      </c>
      <c r="J101" s="347">
        <f t="shared" si="8"/>
        <v>0</v>
      </c>
      <c r="K101"/>
      <c r="L101"/>
      <c r="M101"/>
      <c r="N101"/>
      <c r="O101"/>
      <c r="P101"/>
      <c r="Q101"/>
      <c r="R101"/>
      <c r="S101"/>
      <c r="T101"/>
      <c r="U101"/>
      <c r="V101"/>
      <c r="W101"/>
      <c r="X101"/>
      <c r="Y101"/>
      <c r="Z101"/>
      <c r="AA101"/>
      <c r="AB101"/>
      <c r="AC101"/>
    </row>
    <row r="102" spans="1:29" ht="15.75">
      <c r="A102" s="28"/>
      <c r="B102" s="346">
        <f aca="true" t="shared" si="9" ref="B102:B165">1+B101</f>
        <v>66</v>
      </c>
      <c r="C102" s="347">
        <f aca="true" t="shared" si="10" ref="C102:C165">IF((E101&lt;$C$24-G102),E101,$C$24-G102)</f>
        <v>0</v>
      </c>
      <c r="D102" s="347">
        <f aca="true" t="shared" si="11" ref="D102:D165">IF(AND($C$20&lt;=B102,E101&gt;C102+$C$18),IF(MOD($B102,$C$19)=0,$C$18,0),0)</f>
        <v>0</v>
      </c>
      <c r="E102" s="347">
        <f aca="true" t="shared" si="12" ref="E102:E165">IF(E101-C102&lt;=1,0,E101-C102-D102)</f>
        <v>0</v>
      </c>
      <c r="F102" s="347">
        <f aca="true" t="shared" si="13" ref="F102:F165">F101+C102+D102</f>
        <v>0</v>
      </c>
      <c r="G102" s="347">
        <f aca="true" t="shared" si="14" ref="G102:G165">E101*($C$13/$C$15)</f>
        <v>0</v>
      </c>
      <c r="H102" s="347">
        <f aca="true" t="shared" si="15" ref="H102:H165">H101+G102</f>
        <v>0</v>
      </c>
      <c r="I102" s="347">
        <f aca="true" t="shared" si="16" ref="I102:I165">IF(I101-($C$24-J102)&lt;=1,0,I101-($C$24-J102))</f>
        <v>0</v>
      </c>
      <c r="J102" s="347">
        <f aca="true" t="shared" si="17" ref="J102:J165">I101*($C$13/$C$15)</f>
        <v>0</v>
      </c>
      <c r="K102"/>
      <c r="L102"/>
      <c r="M102"/>
      <c r="N102"/>
      <c r="O102"/>
      <c r="P102"/>
      <c r="Q102"/>
      <c r="R102"/>
      <c r="S102"/>
      <c r="T102"/>
      <c r="U102"/>
      <c r="V102"/>
      <c r="W102"/>
      <c r="X102"/>
      <c r="Y102"/>
      <c r="Z102"/>
      <c r="AA102"/>
      <c r="AB102"/>
      <c r="AC102"/>
    </row>
    <row r="103" spans="1:29" ht="15.75">
      <c r="A103" s="28"/>
      <c r="B103" s="346">
        <f t="shared" si="9"/>
        <v>67</v>
      </c>
      <c r="C103" s="347">
        <f t="shared" si="10"/>
        <v>0</v>
      </c>
      <c r="D103" s="347">
        <f t="shared" si="11"/>
        <v>0</v>
      </c>
      <c r="E103" s="347">
        <f t="shared" si="12"/>
        <v>0</v>
      </c>
      <c r="F103" s="347">
        <f t="shared" si="13"/>
        <v>0</v>
      </c>
      <c r="G103" s="347">
        <f t="shared" si="14"/>
        <v>0</v>
      </c>
      <c r="H103" s="347">
        <f t="shared" si="15"/>
        <v>0</v>
      </c>
      <c r="I103" s="347">
        <f t="shared" si="16"/>
        <v>0</v>
      </c>
      <c r="J103" s="347">
        <f t="shared" si="17"/>
        <v>0</v>
      </c>
      <c r="K103"/>
      <c r="L103"/>
      <c r="M103"/>
      <c r="N103"/>
      <c r="O103"/>
      <c r="P103"/>
      <c r="Q103"/>
      <c r="R103"/>
      <c r="S103"/>
      <c r="T103"/>
      <c r="U103"/>
      <c r="V103"/>
      <c r="W103"/>
      <c r="X103"/>
      <c r="Y103"/>
      <c r="Z103"/>
      <c r="AA103"/>
      <c r="AB103"/>
      <c r="AC103"/>
    </row>
    <row r="104" spans="1:29" ht="15.75">
      <c r="A104" s="28"/>
      <c r="B104" s="346">
        <f t="shared" si="9"/>
        <v>68</v>
      </c>
      <c r="C104" s="347">
        <f t="shared" si="10"/>
        <v>0</v>
      </c>
      <c r="D104" s="347">
        <f t="shared" si="11"/>
        <v>0</v>
      </c>
      <c r="E104" s="347">
        <f t="shared" si="12"/>
        <v>0</v>
      </c>
      <c r="F104" s="347">
        <f t="shared" si="13"/>
        <v>0</v>
      </c>
      <c r="G104" s="347">
        <f t="shared" si="14"/>
        <v>0</v>
      </c>
      <c r="H104" s="347">
        <f t="shared" si="15"/>
        <v>0</v>
      </c>
      <c r="I104" s="347">
        <f t="shared" si="16"/>
        <v>0</v>
      </c>
      <c r="J104" s="347">
        <f t="shared" si="17"/>
        <v>0</v>
      </c>
      <c r="K104"/>
      <c r="L104"/>
      <c r="M104"/>
      <c r="N104"/>
      <c r="O104"/>
      <c r="P104"/>
      <c r="Q104"/>
      <c r="R104"/>
      <c r="S104"/>
      <c r="T104"/>
      <c r="U104"/>
      <c r="V104"/>
      <c r="W104"/>
      <c r="X104"/>
      <c r="Y104"/>
      <c r="Z104"/>
      <c r="AA104"/>
      <c r="AB104"/>
      <c r="AC104"/>
    </row>
    <row r="105" spans="1:29" ht="15.75">
      <c r="A105" s="28"/>
      <c r="B105" s="346">
        <f t="shared" si="9"/>
        <v>69</v>
      </c>
      <c r="C105" s="347">
        <f t="shared" si="10"/>
        <v>0</v>
      </c>
      <c r="D105" s="347">
        <f t="shared" si="11"/>
        <v>0</v>
      </c>
      <c r="E105" s="347">
        <f t="shared" si="12"/>
        <v>0</v>
      </c>
      <c r="F105" s="347">
        <f t="shared" si="13"/>
        <v>0</v>
      </c>
      <c r="G105" s="347">
        <f t="shared" si="14"/>
        <v>0</v>
      </c>
      <c r="H105" s="347">
        <f t="shared" si="15"/>
        <v>0</v>
      </c>
      <c r="I105" s="347">
        <f t="shared" si="16"/>
        <v>0</v>
      </c>
      <c r="J105" s="347">
        <f t="shared" si="17"/>
        <v>0</v>
      </c>
      <c r="K105"/>
      <c r="L105"/>
      <c r="M105"/>
      <c r="N105"/>
      <c r="O105"/>
      <c r="P105"/>
      <c r="Q105"/>
      <c r="R105"/>
      <c r="S105"/>
      <c r="T105"/>
      <c r="U105"/>
      <c r="V105"/>
      <c r="W105"/>
      <c r="X105"/>
      <c r="Y105"/>
      <c r="Z105"/>
      <c r="AA105"/>
      <c r="AB105"/>
      <c r="AC105"/>
    </row>
    <row r="106" spans="1:29" ht="15.75">
      <c r="A106" s="28"/>
      <c r="B106" s="346">
        <f t="shared" si="9"/>
        <v>70</v>
      </c>
      <c r="C106" s="347">
        <f t="shared" si="10"/>
        <v>0</v>
      </c>
      <c r="D106" s="347">
        <f t="shared" si="11"/>
        <v>0</v>
      </c>
      <c r="E106" s="347">
        <f t="shared" si="12"/>
        <v>0</v>
      </c>
      <c r="F106" s="347">
        <f t="shared" si="13"/>
        <v>0</v>
      </c>
      <c r="G106" s="347">
        <f t="shared" si="14"/>
        <v>0</v>
      </c>
      <c r="H106" s="347">
        <f t="shared" si="15"/>
        <v>0</v>
      </c>
      <c r="I106" s="347">
        <f t="shared" si="16"/>
        <v>0</v>
      </c>
      <c r="J106" s="347">
        <f t="shared" si="17"/>
        <v>0</v>
      </c>
      <c r="K106"/>
      <c r="L106"/>
      <c r="M106"/>
      <c r="N106"/>
      <c r="O106"/>
      <c r="P106"/>
      <c r="Q106"/>
      <c r="R106"/>
      <c r="S106"/>
      <c r="T106"/>
      <c r="U106"/>
      <c r="V106"/>
      <c r="W106"/>
      <c r="X106"/>
      <c r="Y106"/>
      <c r="Z106"/>
      <c r="AA106"/>
      <c r="AB106"/>
      <c r="AC106"/>
    </row>
    <row r="107" spans="1:29" ht="15.75">
      <c r="A107" s="28"/>
      <c r="B107" s="346">
        <f t="shared" si="9"/>
        <v>71</v>
      </c>
      <c r="C107" s="347">
        <f t="shared" si="10"/>
        <v>0</v>
      </c>
      <c r="D107" s="347">
        <f t="shared" si="11"/>
        <v>0</v>
      </c>
      <c r="E107" s="347">
        <f t="shared" si="12"/>
        <v>0</v>
      </c>
      <c r="F107" s="347">
        <f t="shared" si="13"/>
        <v>0</v>
      </c>
      <c r="G107" s="347">
        <f t="shared" si="14"/>
        <v>0</v>
      </c>
      <c r="H107" s="347">
        <f t="shared" si="15"/>
        <v>0</v>
      </c>
      <c r="I107" s="347">
        <f t="shared" si="16"/>
        <v>0</v>
      </c>
      <c r="J107" s="347">
        <f t="shared" si="17"/>
        <v>0</v>
      </c>
      <c r="K107"/>
      <c r="L107"/>
      <c r="M107"/>
      <c r="N107"/>
      <c r="O107"/>
      <c r="P107"/>
      <c r="Q107"/>
      <c r="R107"/>
      <c r="S107"/>
      <c r="T107"/>
      <c r="U107"/>
      <c r="V107"/>
      <c r="W107"/>
      <c r="X107"/>
      <c r="Y107"/>
      <c r="Z107"/>
      <c r="AA107"/>
      <c r="AB107"/>
      <c r="AC107"/>
    </row>
    <row r="108" spans="1:29" ht="15.75">
      <c r="A108" s="28"/>
      <c r="B108" s="346">
        <f t="shared" si="9"/>
        <v>72</v>
      </c>
      <c r="C108" s="347">
        <f t="shared" si="10"/>
        <v>0</v>
      </c>
      <c r="D108" s="347">
        <f t="shared" si="11"/>
        <v>0</v>
      </c>
      <c r="E108" s="347">
        <f t="shared" si="12"/>
        <v>0</v>
      </c>
      <c r="F108" s="347">
        <f t="shared" si="13"/>
        <v>0</v>
      </c>
      <c r="G108" s="347">
        <f t="shared" si="14"/>
        <v>0</v>
      </c>
      <c r="H108" s="347">
        <f t="shared" si="15"/>
        <v>0</v>
      </c>
      <c r="I108" s="347">
        <f t="shared" si="16"/>
        <v>0</v>
      </c>
      <c r="J108" s="347">
        <f t="shared" si="17"/>
        <v>0</v>
      </c>
      <c r="K108"/>
      <c r="L108"/>
      <c r="M108"/>
      <c r="N108"/>
      <c r="O108"/>
      <c r="P108"/>
      <c r="Q108"/>
      <c r="R108"/>
      <c r="S108"/>
      <c r="T108"/>
      <c r="U108"/>
      <c r="V108"/>
      <c r="W108"/>
      <c r="X108"/>
      <c r="Y108"/>
      <c r="Z108"/>
      <c r="AA108"/>
      <c r="AB108"/>
      <c r="AC108"/>
    </row>
    <row r="109" spans="1:29" ht="15.75">
      <c r="A109" s="28"/>
      <c r="B109" s="346">
        <f t="shared" si="9"/>
        <v>73</v>
      </c>
      <c r="C109" s="347">
        <f t="shared" si="10"/>
        <v>0</v>
      </c>
      <c r="D109" s="347">
        <f t="shared" si="11"/>
        <v>0</v>
      </c>
      <c r="E109" s="347">
        <f t="shared" si="12"/>
        <v>0</v>
      </c>
      <c r="F109" s="347">
        <f t="shared" si="13"/>
        <v>0</v>
      </c>
      <c r="G109" s="347">
        <f t="shared" si="14"/>
        <v>0</v>
      </c>
      <c r="H109" s="347">
        <f t="shared" si="15"/>
        <v>0</v>
      </c>
      <c r="I109" s="347">
        <f t="shared" si="16"/>
        <v>0</v>
      </c>
      <c r="J109" s="347">
        <f t="shared" si="17"/>
        <v>0</v>
      </c>
      <c r="K109"/>
      <c r="L109"/>
      <c r="M109"/>
      <c r="N109"/>
      <c r="O109"/>
      <c r="P109"/>
      <c r="Q109"/>
      <c r="R109"/>
      <c r="S109"/>
      <c r="T109"/>
      <c r="U109"/>
      <c r="V109"/>
      <c r="W109"/>
      <c r="X109"/>
      <c r="Y109"/>
      <c r="Z109"/>
      <c r="AA109"/>
      <c r="AB109"/>
      <c r="AC109"/>
    </row>
    <row r="110" spans="1:29" ht="15.75">
      <c r="A110" s="28"/>
      <c r="B110" s="346">
        <f t="shared" si="9"/>
        <v>74</v>
      </c>
      <c r="C110" s="347">
        <f t="shared" si="10"/>
        <v>0</v>
      </c>
      <c r="D110" s="347">
        <f t="shared" si="11"/>
        <v>0</v>
      </c>
      <c r="E110" s="347">
        <f t="shared" si="12"/>
        <v>0</v>
      </c>
      <c r="F110" s="347">
        <f t="shared" si="13"/>
        <v>0</v>
      </c>
      <c r="G110" s="347">
        <f t="shared" si="14"/>
        <v>0</v>
      </c>
      <c r="H110" s="347">
        <f t="shared" si="15"/>
        <v>0</v>
      </c>
      <c r="I110" s="347">
        <f t="shared" si="16"/>
        <v>0</v>
      </c>
      <c r="J110" s="347">
        <f t="shared" si="17"/>
        <v>0</v>
      </c>
      <c r="K110"/>
      <c r="L110"/>
      <c r="M110"/>
      <c r="N110"/>
      <c r="O110"/>
      <c r="P110"/>
      <c r="Q110"/>
      <c r="R110"/>
      <c r="S110"/>
      <c r="T110"/>
      <c r="U110"/>
      <c r="V110"/>
      <c r="W110"/>
      <c r="X110"/>
      <c r="Y110"/>
      <c r="Z110"/>
      <c r="AA110"/>
      <c r="AB110"/>
      <c r="AC110"/>
    </row>
    <row r="111" spans="1:29" ht="15.75">
      <c r="A111" s="28"/>
      <c r="B111" s="346">
        <f t="shared" si="9"/>
        <v>75</v>
      </c>
      <c r="C111" s="347">
        <f t="shared" si="10"/>
        <v>0</v>
      </c>
      <c r="D111" s="347">
        <f t="shared" si="11"/>
        <v>0</v>
      </c>
      <c r="E111" s="347">
        <f t="shared" si="12"/>
        <v>0</v>
      </c>
      <c r="F111" s="347">
        <f t="shared" si="13"/>
        <v>0</v>
      </c>
      <c r="G111" s="347">
        <f t="shared" si="14"/>
        <v>0</v>
      </c>
      <c r="H111" s="347">
        <f t="shared" si="15"/>
        <v>0</v>
      </c>
      <c r="I111" s="347">
        <f t="shared" si="16"/>
        <v>0</v>
      </c>
      <c r="J111" s="347">
        <f t="shared" si="17"/>
        <v>0</v>
      </c>
      <c r="K111"/>
      <c r="L111"/>
      <c r="M111"/>
      <c r="N111"/>
      <c r="O111"/>
      <c r="P111"/>
      <c r="Q111"/>
      <c r="R111"/>
      <c r="S111"/>
      <c r="T111"/>
      <c r="U111"/>
      <c r="V111"/>
      <c r="W111"/>
      <c r="X111"/>
      <c r="Y111"/>
      <c r="Z111"/>
      <c r="AA111"/>
      <c r="AB111"/>
      <c r="AC111"/>
    </row>
    <row r="112" spans="1:29" ht="15.75">
      <c r="A112" s="28"/>
      <c r="B112" s="346">
        <f t="shared" si="9"/>
        <v>76</v>
      </c>
      <c r="C112" s="347">
        <f t="shared" si="10"/>
        <v>0</v>
      </c>
      <c r="D112" s="347">
        <f t="shared" si="11"/>
        <v>0</v>
      </c>
      <c r="E112" s="347">
        <f t="shared" si="12"/>
        <v>0</v>
      </c>
      <c r="F112" s="347">
        <f t="shared" si="13"/>
        <v>0</v>
      </c>
      <c r="G112" s="347">
        <f t="shared" si="14"/>
        <v>0</v>
      </c>
      <c r="H112" s="347">
        <f t="shared" si="15"/>
        <v>0</v>
      </c>
      <c r="I112" s="347">
        <f t="shared" si="16"/>
        <v>0</v>
      </c>
      <c r="J112" s="347">
        <f t="shared" si="17"/>
        <v>0</v>
      </c>
      <c r="K112"/>
      <c r="L112"/>
      <c r="M112"/>
      <c r="N112"/>
      <c r="O112"/>
      <c r="P112"/>
      <c r="Q112"/>
      <c r="R112"/>
      <c r="S112"/>
      <c r="T112"/>
      <c r="U112"/>
      <c r="V112"/>
      <c r="W112"/>
      <c r="X112"/>
      <c r="Y112"/>
      <c r="Z112"/>
      <c r="AA112"/>
      <c r="AB112"/>
      <c r="AC112"/>
    </row>
    <row r="113" spans="1:29" ht="15.75">
      <c r="A113" s="28"/>
      <c r="B113" s="346">
        <f t="shared" si="9"/>
        <v>77</v>
      </c>
      <c r="C113" s="347">
        <f t="shared" si="10"/>
        <v>0</v>
      </c>
      <c r="D113" s="347">
        <f t="shared" si="11"/>
        <v>0</v>
      </c>
      <c r="E113" s="347">
        <f t="shared" si="12"/>
        <v>0</v>
      </c>
      <c r="F113" s="347">
        <f t="shared" si="13"/>
        <v>0</v>
      </c>
      <c r="G113" s="347">
        <f t="shared" si="14"/>
        <v>0</v>
      </c>
      <c r="H113" s="347">
        <f t="shared" si="15"/>
        <v>0</v>
      </c>
      <c r="I113" s="347">
        <f t="shared" si="16"/>
        <v>0</v>
      </c>
      <c r="J113" s="347">
        <f t="shared" si="17"/>
        <v>0</v>
      </c>
      <c r="K113"/>
      <c r="L113"/>
      <c r="M113"/>
      <c r="N113"/>
      <c r="O113"/>
      <c r="P113"/>
      <c r="Q113"/>
      <c r="R113"/>
      <c r="S113"/>
      <c r="T113"/>
      <c r="U113"/>
      <c r="V113"/>
      <c r="W113"/>
      <c r="X113"/>
      <c r="Y113"/>
      <c r="Z113"/>
      <c r="AA113"/>
      <c r="AB113"/>
      <c r="AC113"/>
    </row>
    <row r="114" spans="1:29" ht="15.75">
      <c r="A114" s="28"/>
      <c r="B114" s="346">
        <f t="shared" si="9"/>
        <v>78</v>
      </c>
      <c r="C114" s="347">
        <f t="shared" si="10"/>
        <v>0</v>
      </c>
      <c r="D114" s="347">
        <f t="shared" si="11"/>
        <v>0</v>
      </c>
      <c r="E114" s="347">
        <f t="shared" si="12"/>
        <v>0</v>
      </c>
      <c r="F114" s="347">
        <f t="shared" si="13"/>
        <v>0</v>
      </c>
      <c r="G114" s="347">
        <f t="shared" si="14"/>
        <v>0</v>
      </c>
      <c r="H114" s="347">
        <f t="shared" si="15"/>
        <v>0</v>
      </c>
      <c r="I114" s="347">
        <f t="shared" si="16"/>
        <v>0</v>
      </c>
      <c r="J114" s="347">
        <f t="shared" si="17"/>
        <v>0</v>
      </c>
      <c r="K114"/>
      <c r="L114"/>
      <c r="M114"/>
      <c r="N114"/>
      <c r="O114"/>
      <c r="P114"/>
      <c r="Q114"/>
      <c r="R114"/>
      <c r="S114"/>
      <c r="T114"/>
      <c r="U114"/>
      <c r="V114"/>
      <c r="W114"/>
      <c r="X114"/>
      <c r="Y114"/>
      <c r="Z114"/>
      <c r="AA114"/>
      <c r="AB114"/>
      <c r="AC114"/>
    </row>
    <row r="115" spans="1:29" ht="15.75">
      <c r="A115" s="28"/>
      <c r="B115" s="346">
        <f t="shared" si="9"/>
        <v>79</v>
      </c>
      <c r="C115" s="347">
        <f t="shared" si="10"/>
        <v>0</v>
      </c>
      <c r="D115" s="347">
        <f t="shared" si="11"/>
        <v>0</v>
      </c>
      <c r="E115" s="347">
        <f t="shared" si="12"/>
        <v>0</v>
      </c>
      <c r="F115" s="347">
        <f t="shared" si="13"/>
        <v>0</v>
      </c>
      <c r="G115" s="347">
        <f t="shared" si="14"/>
        <v>0</v>
      </c>
      <c r="H115" s="347">
        <f t="shared" si="15"/>
        <v>0</v>
      </c>
      <c r="I115" s="347">
        <f t="shared" si="16"/>
        <v>0</v>
      </c>
      <c r="J115" s="347">
        <f t="shared" si="17"/>
        <v>0</v>
      </c>
      <c r="K115"/>
      <c r="L115"/>
      <c r="M115"/>
      <c r="N115"/>
      <c r="O115"/>
      <c r="P115"/>
      <c r="Q115"/>
      <c r="R115"/>
      <c r="S115"/>
      <c r="T115"/>
      <c r="U115"/>
      <c r="V115"/>
      <c r="W115"/>
      <c r="X115"/>
      <c r="Y115"/>
      <c r="Z115"/>
      <c r="AA115"/>
      <c r="AB115"/>
      <c r="AC115"/>
    </row>
    <row r="116" spans="1:29" ht="15.75">
      <c r="A116" s="28"/>
      <c r="B116" s="346">
        <f t="shared" si="9"/>
        <v>80</v>
      </c>
      <c r="C116" s="347">
        <f t="shared" si="10"/>
        <v>0</v>
      </c>
      <c r="D116" s="347">
        <f t="shared" si="11"/>
        <v>0</v>
      </c>
      <c r="E116" s="347">
        <f t="shared" si="12"/>
        <v>0</v>
      </c>
      <c r="F116" s="347">
        <f t="shared" si="13"/>
        <v>0</v>
      </c>
      <c r="G116" s="347">
        <f t="shared" si="14"/>
        <v>0</v>
      </c>
      <c r="H116" s="347">
        <f t="shared" si="15"/>
        <v>0</v>
      </c>
      <c r="I116" s="347">
        <f t="shared" si="16"/>
        <v>0</v>
      </c>
      <c r="J116" s="347">
        <f t="shared" si="17"/>
        <v>0</v>
      </c>
      <c r="K116"/>
      <c r="L116"/>
      <c r="M116"/>
      <c r="N116"/>
      <c r="O116"/>
      <c r="P116"/>
      <c r="Q116"/>
      <c r="R116"/>
      <c r="S116"/>
      <c r="T116"/>
      <c r="U116"/>
      <c r="V116"/>
      <c r="W116"/>
      <c r="X116"/>
      <c r="Y116"/>
      <c r="Z116"/>
      <c r="AA116"/>
      <c r="AB116"/>
      <c r="AC116"/>
    </row>
    <row r="117" spans="1:29" ht="15.75">
      <c r="A117" s="28"/>
      <c r="B117" s="346">
        <f t="shared" si="9"/>
        <v>81</v>
      </c>
      <c r="C117" s="347">
        <f t="shared" si="10"/>
        <v>0</v>
      </c>
      <c r="D117" s="347">
        <f t="shared" si="11"/>
        <v>0</v>
      </c>
      <c r="E117" s="347">
        <f t="shared" si="12"/>
        <v>0</v>
      </c>
      <c r="F117" s="347">
        <f t="shared" si="13"/>
        <v>0</v>
      </c>
      <c r="G117" s="347">
        <f t="shared" si="14"/>
        <v>0</v>
      </c>
      <c r="H117" s="347">
        <f t="shared" si="15"/>
        <v>0</v>
      </c>
      <c r="I117" s="347">
        <f t="shared" si="16"/>
        <v>0</v>
      </c>
      <c r="J117" s="347">
        <f t="shared" si="17"/>
        <v>0</v>
      </c>
      <c r="K117"/>
      <c r="L117"/>
      <c r="M117"/>
      <c r="N117"/>
      <c r="O117"/>
      <c r="P117"/>
      <c r="Q117"/>
      <c r="R117"/>
      <c r="S117"/>
      <c r="T117"/>
      <c r="U117"/>
      <c r="V117"/>
      <c r="W117"/>
      <c r="X117"/>
      <c r="Y117"/>
      <c r="Z117"/>
      <c r="AA117"/>
      <c r="AB117"/>
      <c r="AC117"/>
    </row>
    <row r="118" spans="1:29" ht="15.75">
      <c r="A118" s="28"/>
      <c r="B118" s="346">
        <f t="shared" si="9"/>
        <v>82</v>
      </c>
      <c r="C118" s="347">
        <f t="shared" si="10"/>
        <v>0</v>
      </c>
      <c r="D118" s="347">
        <f t="shared" si="11"/>
        <v>0</v>
      </c>
      <c r="E118" s="347">
        <f t="shared" si="12"/>
        <v>0</v>
      </c>
      <c r="F118" s="347">
        <f t="shared" si="13"/>
        <v>0</v>
      </c>
      <c r="G118" s="347">
        <f t="shared" si="14"/>
        <v>0</v>
      </c>
      <c r="H118" s="347">
        <f t="shared" si="15"/>
        <v>0</v>
      </c>
      <c r="I118" s="347">
        <f t="shared" si="16"/>
        <v>0</v>
      </c>
      <c r="J118" s="347">
        <f t="shared" si="17"/>
        <v>0</v>
      </c>
      <c r="K118"/>
      <c r="L118"/>
      <c r="M118"/>
      <c r="N118"/>
      <c r="O118"/>
      <c r="P118"/>
      <c r="Q118"/>
      <c r="R118"/>
      <c r="S118"/>
      <c r="T118"/>
      <c r="U118"/>
      <c r="V118"/>
      <c r="W118"/>
      <c r="X118"/>
      <c r="Y118"/>
      <c r="Z118"/>
      <c r="AA118"/>
      <c r="AB118"/>
      <c r="AC118"/>
    </row>
    <row r="119" spans="1:29" ht="15.75">
      <c r="A119" s="28"/>
      <c r="B119" s="346">
        <f t="shared" si="9"/>
        <v>83</v>
      </c>
      <c r="C119" s="347">
        <f t="shared" si="10"/>
        <v>0</v>
      </c>
      <c r="D119" s="347">
        <f t="shared" si="11"/>
        <v>0</v>
      </c>
      <c r="E119" s="347">
        <f t="shared" si="12"/>
        <v>0</v>
      </c>
      <c r="F119" s="347">
        <f t="shared" si="13"/>
        <v>0</v>
      </c>
      <c r="G119" s="347">
        <f t="shared" si="14"/>
        <v>0</v>
      </c>
      <c r="H119" s="347">
        <f t="shared" si="15"/>
        <v>0</v>
      </c>
      <c r="I119" s="347">
        <f t="shared" si="16"/>
        <v>0</v>
      </c>
      <c r="J119" s="347">
        <f t="shared" si="17"/>
        <v>0</v>
      </c>
      <c r="K119"/>
      <c r="L119"/>
      <c r="M119"/>
      <c r="N119"/>
      <c r="O119"/>
      <c r="P119"/>
      <c r="Q119"/>
      <c r="R119"/>
      <c r="S119"/>
      <c r="T119"/>
      <c r="U119"/>
      <c r="V119"/>
      <c r="W119"/>
      <c r="X119"/>
      <c r="Y119"/>
      <c r="Z119"/>
      <c r="AA119"/>
      <c r="AB119"/>
      <c r="AC119"/>
    </row>
    <row r="120" spans="1:29" ht="15.75">
      <c r="A120" s="28"/>
      <c r="B120" s="346">
        <f t="shared" si="9"/>
        <v>84</v>
      </c>
      <c r="C120" s="347">
        <f t="shared" si="10"/>
        <v>0</v>
      </c>
      <c r="D120" s="347">
        <f t="shared" si="11"/>
        <v>0</v>
      </c>
      <c r="E120" s="347">
        <f t="shared" si="12"/>
        <v>0</v>
      </c>
      <c r="F120" s="347">
        <f t="shared" si="13"/>
        <v>0</v>
      </c>
      <c r="G120" s="347">
        <f t="shared" si="14"/>
        <v>0</v>
      </c>
      <c r="H120" s="347">
        <f t="shared" si="15"/>
        <v>0</v>
      </c>
      <c r="I120" s="347">
        <f t="shared" si="16"/>
        <v>0</v>
      </c>
      <c r="J120" s="347">
        <f t="shared" si="17"/>
        <v>0</v>
      </c>
      <c r="K120"/>
      <c r="L120"/>
      <c r="M120"/>
      <c r="N120"/>
      <c r="O120"/>
      <c r="P120"/>
      <c r="Q120"/>
      <c r="R120"/>
      <c r="S120"/>
      <c r="T120"/>
      <c r="U120"/>
      <c r="V120"/>
      <c r="W120"/>
      <c r="X120"/>
      <c r="Y120"/>
      <c r="Z120"/>
      <c r="AA120"/>
      <c r="AB120"/>
      <c r="AC120"/>
    </row>
    <row r="121" spans="1:29" ht="15.75">
      <c r="A121" s="28"/>
      <c r="B121" s="346">
        <f t="shared" si="9"/>
        <v>85</v>
      </c>
      <c r="C121" s="347">
        <f t="shared" si="10"/>
        <v>0</v>
      </c>
      <c r="D121" s="347">
        <f t="shared" si="11"/>
        <v>0</v>
      </c>
      <c r="E121" s="347">
        <f t="shared" si="12"/>
        <v>0</v>
      </c>
      <c r="F121" s="347">
        <f t="shared" si="13"/>
        <v>0</v>
      </c>
      <c r="G121" s="347">
        <f t="shared" si="14"/>
        <v>0</v>
      </c>
      <c r="H121" s="347">
        <f t="shared" si="15"/>
        <v>0</v>
      </c>
      <c r="I121" s="347">
        <f t="shared" si="16"/>
        <v>0</v>
      </c>
      <c r="J121" s="347">
        <f t="shared" si="17"/>
        <v>0</v>
      </c>
      <c r="K121"/>
      <c r="L121"/>
      <c r="M121"/>
      <c r="N121"/>
      <c r="O121"/>
      <c r="P121"/>
      <c r="Q121"/>
      <c r="R121"/>
      <c r="S121"/>
      <c r="T121"/>
      <c r="U121"/>
      <c r="V121"/>
      <c r="W121"/>
      <c r="X121"/>
      <c r="Y121"/>
      <c r="Z121"/>
      <c r="AA121"/>
      <c r="AB121"/>
      <c r="AC121"/>
    </row>
    <row r="122" spans="1:29" ht="15.75">
      <c r="A122" s="28"/>
      <c r="B122" s="346">
        <f t="shared" si="9"/>
        <v>86</v>
      </c>
      <c r="C122" s="347">
        <f t="shared" si="10"/>
        <v>0</v>
      </c>
      <c r="D122" s="347">
        <f t="shared" si="11"/>
        <v>0</v>
      </c>
      <c r="E122" s="347">
        <f t="shared" si="12"/>
        <v>0</v>
      </c>
      <c r="F122" s="347">
        <f t="shared" si="13"/>
        <v>0</v>
      </c>
      <c r="G122" s="347">
        <f t="shared" si="14"/>
        <v>0</v>
      </c>
      <c r="H122" s="347">
        <f t="shared" si="15"/>
        <v>0</v>
      </c>
      <c r="I122" s="347">
        <f t="shared" si="16"/>
        <v>0</v>
      </c>
      <c r="J122" s="347">
        <f t="shared" si="17"/>
        <v>0</v>
      </c>
      <c r="K122"/>
      <c r="L122"/>
      <c r="M122"/>
      <c r="N122"/>
      <c r="O122"/>
      <c r="P122"/>
      <c r="Q122"/>
      <c r="R122"/>
      <c r="S122"/>
      <c r="T122"/>
      <c r="U122"/>
      <c r="V122"/>
      <c r="W122"/>
      <c r="X122"/>
      <c r="Y122"/>
      <c r="Z122"/>
      <c r="AA122"/>
      <c r="AB122"/>
      <c r="AC122"/>
    </row>
    <row r="123" spans="1:29" ht="15.75">
      <c r="A123" s="28"/>
      <c r="B123" s="346">
        <f t="shared" si="9"/>
        <v>87</v>
      </c>
      <c r="C123" s="347">
        <f t="shared" si="10"/>
        <v>0</v>
      </c>
      <c r="D123" s="347">
        <f t="shared" si="11"/>
        <v>0</v>
      </c>
      <c r="E123" s="347">
        <f t="shared" si="12"/>
        <v>0</v>
      </c>
      <c r="F123" s="347">
        <f t="shared" si="13"/>
        <v>0</v>
      </c>
      <c r="G123" s="347">
        <f t="shared" si="14"/>
        <v>0</v>
      </c>
      <c r="H123" s="347">
        <f t="shared" si="15"/>
        <v>0</v>
      </c>
      <c r="I123" s="347">
        <f t="shared" si="16"/>
        <v>0</v>
      </c>
      <c r="J123" s="347">
        <f t="shared" si="17"/>
        <v>0</v>
      </c>
      <c r="K123"/>
      <c r="L123"/>
      <c r="M123"/>
      <c r="N123"/>
      <c r="O123"/>
      <c r="P123"/>
      <c r="Q123"/>
      <c r="R123"/>
      <c r="S123"/>
      <c r="T123"/>
      <c r="U123"/>
      <c r="V123"/>
      <c r="W123"/>
      <c r="X123"/>
      <c r="Y123"/>
      <c r="Z123"/>
      <c r="AA123"/>
      <c r="AB123"/>
      <c r="AC123"/>
    </row>
    <row r="124" spans="1:29" ht="15.75">
      <c r="A124" s="28"/>
      <c r="B124" s="346">
        <f t="shared" si="9"/>
        <v>88</v>
      </c>
      <c r="C124" s="347">
        <f t="shared" si="10"/>
        <v>0</v>
      </c>
      <c r="D124" s="347">
        <f t="shared" si="11"/>
        <v>0</v>
      </c>
      <c r="E124" s="347">
        <f t="shared" si="12"/>
        <v>0</v>
      </c>
      <c r="F124" s="347">
        <f t="shared" si="13"/>
        <v>0</v>
      </c>
      <c r="G124" s="347">
        <f t="shared" si="14"/>
        <v>0</v>
      </c>
      <c r="H124" s="347">
        <f t="shared" si="15"/>
        <v>0</v>
      </c>
      <c r="I124" s="347">
        <f t="shared" si="16"/>
        <v>0</v>
      </c>
      <c r="J124" s="347">
        <f t="shared" si="17"/>
        <v>0</v>
      </c>
      <c r="K124"/>
      <c r="L124"/>
      <c r="M124"/>
      <c r="N124"/>
      <c r="O124"/>
      <c r="P124"/>
      <c r="Q124"/>
      <c r="R124"/>
      <c r="S124"/>
      <c r="T124"/>
      <c r="U124"/>
      <c r="V124"/>
      <c r="W124"/>
      <c r="X124"/>
      <c r="Y124"/>
      <c r="Z124"/>
      <c r="AA124"/>
      <c r="AB124"/>
      <c r="AC124"/>
    </row>
    <row r="125" spans="1:29" ht="15.75">
      <c r="A125" s="28"/>
      <c r="B125" s="346">
        <f t="shared" si="9"/>
        <v>89</v>
      </c>
      <c r="C125" s="347">
        <f t="shared" si="10"/>
        <v>0</v>
      </c>
      <c r="D125" s="347">
        <f t="shared" si="11"/>
        <v>0</v>
      </c>
      <c r="E125" s="347">
        <f t="shared" si="12"/>
        <v>0</v>
      </c>
      <c r="F125" s="347">
        <f t="shared" si="13"/>
        <v>0</v>
      </c>
      <c r="G125" s="347">
        <f t="shared" si="14"/>
        <v>0</v>
      </c>
      <c r="H125" s="347">
        <f t="shared" si="15"/>
        <v>0</v>
      </c>
      <c r="I125" s="347">
        <f t="shared" si="16"/>
        <v>0</v>
      </c>
      <c r="J125" s="347">
        <f t="shared" si="17"/>
        <v>0</v>
      </c>
      <c r="K125"/>
      <c r="L125"/>
      <c r="M125"/>
      <c r="N125"/>
      <c r="O125"/>
      <c r="P125"/>
      <c r="Q125"/>
      <c r="R125"/>
      <c r="S125"/>
      <c r="T125"/>
      <c r="U125"/>
      <c r="V125"/>
      <c r="W125"/>
      <c r="X125"/>
      <c r="Y125"/>
      <c r="Z125"/>
      <c r="AA125"/>
      <c r="AB125"/>
      <c r="AC125"/>
    </row>
    <row r="126" spans="1:29" ht="15.75">
      <c r="A126" s="28"/>
      <c r="B126" s="346">
        <f t="shared" si="9"/>
        <v>90</v>
      </c>
      <c r="C126" s="347">
        <f t="shared" si="10"/>
        <v>0</v>
      </c>
      <c r="D126" s="347">
        <f t="shared" si="11"/>
        <v>0</v>
      </c>
      <c r="E126" s="347">
        <f t="shared" si="12"/>
        <v>0</v>
      </c>
      <c r="F126" s="347">
        <f t="shared" si="13"/>
        <v>0</v>
      </c>
      <c r="G126" s="347">
        <f t="shared" si="14"/>
        <v>0</v>
      </c>
      <c r="H126" s="347">
        <f t="shared" si="15"/>
        <v>0</v>
      </c>
      <c r="I126" s="347">
        <f t="shared" si="16"/>
        <v>0</v>
      </c>
      <c r="J126" s="347">
        <f t="shared" si="17"/>
        <v>0</v>
      </c>
      <c r="K126"/>
      <c r="L126"/>
      <c r="M126"/>
      <c r="N126"/>
      <c r="O126"/>
      <c r="P126"/>
      <c r="Q126"/>
      <c r="R126"/>
      <c r="S126"/>
      <c r="T126"/>
      <c r="U126"/>
      <c r="V126"/>
      <c r="W126"/>
      <c r="X126"/>
      <c r="Y126"/>
      <c r="Z126"/>
      <c r="AA126"/>
      <c r="AB126"/>
      <c r="AC126"/>
    </row>
    <row r="127" spans="1:29" ht="15.75">
      <c r="A127" s="28"/>
      <c r="B127" s="346">
        <f t="shared" si="9"/>
        <v>91</v>
      </c>
      <c r="C127" s="347">
        <f t="shared" si="10"/>
        <v>0</v>
      </c>
      <c r="D127" s="347">
        <f t="shared" si="11"/>
        <v>0</v>
      </c>
      <c r="E127" s="347">
        <f t="shared" si="12"/>
        <v>0</v>
      </c>
      <c r="F127" s="347">
        <f t="shared" si="13"/>
        <v>0</v>
      </c>
      <c r="G127" s="347">
        <f t="shared" si="14"/>
        <v>0</v>
      </c>
      <c r="H127" s="347">
        <f t="shared" si="15"/>
        <v>0</v>
      </c>
      <c r="I127" s="347">
        <f t="shared" si="16"/>
        <v>0</v>
      </c>
      <c r="J127" s="347">
        <f t="shared" si="17"/>
        <v>0</v>
      </c>
      <c r="K127"/>
      <c r="L127"/>
      <c r="M127"/>
      <c r="N127"/>
      <c r="O127"/>
      <c r="P127"/>
      <c r="Q127"/>
      <c r="R127"/>
      <c r="S127"/>
      <c r="T127"/>
      <c r="U127"/>
      <c r="V127"/>
      <c r="W127"/>
      <c r="X127"/>
      <c r="Y127"/>
      <c r="Z127"/>
      <c r="AA127"/>
      <c r="AB127"/>
      <c r="AC127"/>
    </row>
    <row r="128" spans="1:29" ht="15.75">
      <c r="A128" s="28"/>
      <c r="B128" s="346">
        <f t="shared" si="9"/>
        <v>92</v>
      </c>
      <c r="C128" s="347">
        <f t="shared" si="10"/>
        <v>0</v>
      </c>
      <c r="D128" s="347">
        <f t="shared" si="11"/>
        <v>0</v>
      </c>
      <c r="E128" s="347">
        <f t="shared" si="12"/>
        <v>0</v>
      </c>
      <c r="F128" s="347">
        <f t="shared" si="13"/>
        <v>0</v>
      </c>
      <c r="G128" s="347">
        <f t="shared" si="14"/>
        <v>0</v>
      </c>
      <c r="H128" s="347">
        <f t="shared" si="15"/>
        <v>0</v>
      </c>
      <c r="I128" s="347">
        <f t="shared" si="16"/>
        <v>0</v>
      </c>
      <c r="J128" s="347">
        <f t="shared" si="17"/>
        <v>0</v>
      </c>
      <c r="K128"/>
      <c r="L128"/>
      <c r="M128"/>
      <c r="N128"/>
      <c r="O128"/>
      <c r="P128"/>
      <c r="Q128"/>
      <c r="R128"/>
      <c r="S128"/>
      <c r="T128"/>
      <c r="U128"/>
      <c r="V128"/>
      <c r="W128"/>
      <c r="X128"/>
      <c r="Y128"/>
      <c r="Z128"/>
      <c r="AA128"/>
      <c r="AB128"/>
      <c r="AC128"/>
    </row>
    <row r="129" spans="1:29" ht="15.75">
      <c r="A129" s="28"/>
      <c r="B129" s="346">
        <f t="shared" si="9"/>
        <v>93</v>
      </c>
      <c r="C129" s="347">
        <f t="shared" si="10"/>
        <v>0</v>
      </c>
      <c r="D129" s="347">
        <f t="shared" si="11"/>
        <v>0</v>
      </c>
      <c r="E129" s="347">
        <f t="shared" si="12"/>
        <v>0</v>
      </c>
      <c r="F129" s="347">
        <f t="shared" si="13"/>
        <v>0</v>
      </c>
      <c r="G129" s="347">
        <f t="shared" si="14"/>
        <v>0</v>
      </c>
      <c r="H129" s="347">
        <f t="shared" si="15"/>
        <v>0</v>
      </c>
      <c r="I129" s="347">
        <f t="shared" si="16"/>
        <v>0</v>
      </c>
      <c r="J129" s="347">
        <f t="shared" si="17"/>
        <v>0</v>
      </c>
      <c r="K129"/>
      <c r="L129"/>
      <c r="M129"/>
      <c r="N129"/>
      <c r="O129"/>
      <c r="P129"/>
      <c r="Q129"/>
      <c r="R129"/>
      <c r="S129"/>
      <c r="T129"/>
      <c r="U129"/>
      <c r="V129"/>
      <c r="W129"/>
      <c r="X129"/>
      <c r="Y129"/>
      <c r="Z129"/>
      <c r="AA129"/>
      <c r="AB129"/>
      <c r="AC129"/>
    </row>
    <row r="130" spans="1:29" ht="15.75">
      <c r="A130" s="28"/>
      <c r="B130" s="346">
        <f t="shared" si="9"/>
        <v>94</v>
      </c>
      <c r="C130" s="347">
        <f t="shared" si="10"/>
        <v>0</v>
      </c>
      <c r="D130" s="347">
        <f t="shared" si="11"/>
        <v>0</v>
      </c>
      <c r="E130" s="347">
        <f t="shared" si="12"/>
        <v>0</v>
      </c>
      <c r="F130" s="347">
        <f t="shared" si="13"/>
        <v>0</v>
      </c>
      <c r="G130" s="347">
        <f t="shared" si="14"/>
        <v>0</v>
      </c>
      <c r="H130" s="347">
        <f t="shared" si="15"/>
        <v>0</v>
      </c>
      <c r="I130" s="347">
        <f t="shared" si="16"/>
        <v>0</v>
      </c>
      <c r="J130" s="347">
        <f t="shared" si="17"/>
        <v>0</v>
      </c>
      <c r="K130"/>
      <c r="L130"/>
      <c r="M130"/>
      <c r="N130"/>
      <c r="O130"/>
      <c r="P130"/>
      <c r="Q130"/>
      <c r="R130"/>
      <c r="S130"/>
      <c r="T130"/>
      <c r="U130"/>
      <c r="V130"/>
      <c r="W130"/>
      <c r="X130"/>
      <c r="Y130"/>
      <c r="Z130"/>
      <c r="AA130"/>
      <c r="AB130"/>
      <c r="AC130"/>
    </row>
    <row r="131" spans="1:29" ht="15.75">
      <c r="A131" s="28"/>
      <c r="B131" s="346">
        <f t="shared" si="9"/>
        <v>95</v>
      </c>
      <c r="C131" s="347">
        <f t="shared" si="10"/>
        <v>0</v>
      </c>
      <c r="D131" s="347">
        <f t="shared" si="11"/>
        <v>0</v>
      </c>
      <c r="E131" s="347">
        <f t="shared" si="12"/>
        <v>0</v>
      </c>
      <c r="F131" s="347">
        <f t="shared" si="13"/>
        <v>0</v>
      </c>
      <c r="G131" s="347">
        <f t="shared" si="14"/>
        <v>0</v>
      </c>
      <c r="H131" s="347">
        <f t="shared" si="15"/>
        <v>0</v>
      </c>
      <c r="I131" s="347">
        <f t="shared" si="16"/>
        <v>0</v>
      </c>
      <c r="J131" s="347">
        <f t="shared" si="17"/>
        <v>0</v>
      </c>
      <c r="K131"/>
      <c r="L131"/>
      <c r="M131"/>
      <c r="N131"/>
      <c r="O131"/>
      <c r="P131"/>
      <c r="Q131"/>
      <c r="R131"/>
      <c r="S131"/>
      <c r="T131"/>
      <c r="U131"/>
      <c r="V131"/>
      <c r="W131"/>
      <c r="X131"/>
      <c r="Y131"/>
      <c r="Z131"/>
      <c r="AA131"/>
      <c r="AB131"/>
      <c r="AC131"/>
    </row>
    <row r="132" spans="1:29" ht="15.75">
      <c r="A132" s="28"/>
      <c r="B132" s="346">
        <f t="shared" si="9"/>
        <v>96</v>
      </c>
      <c r="C132" s="347">
        <f t="shared" si="10"/>
        <v>0</v>
      </c>
      <c r="D132" s="347">
        <f t="shared" si="11"/>
        <v>0</v>
      </c>
      <c r="E132" s="347">
        <f t="shared" si="12"/>
        <v>0</v>
      </c>
      <c r="F132" s="347">
        <f t="shared" si="13"/>
        <v>0</v>
      </c>
      <c r="G132" s="347">
        <f t="shared" si="14"/>
        <v>0</v>
      </c>
      <c r="H132" s="347">
        <f t="shared" si="15"/>
        <v>0</v>
      </c>
      <c r="I132" s="347">
        <f t="shared" si="16"/>
        <v>0</v>
      </c>
      <c r="J132" s="347">
        <f t="shared" si="17"/>
        <v>0</v>
      </c>
      <c r="K132"/>
      <c r="L132"/>
      <c r="M132"/>
      <c r="N132"/>
      <c r="O132"/>
      <c r="P132"/>
      <c r="Q132"/>
      <c r="R132"/>
      <c r="S132"/>
      <c r="T132"/>
      <c r="U132"/>
      <c r="V132"/>
      <c r="W132"/>
      <c r="X132"/>
      <c r="Y132"/>
      <c r="Z132"/>
      <c r="AA132"/>
      <c r="AB132"/>
      <c r="AC132"/>
    </row>
    <row r="133" spans="1:29" ht="15.75">
      <c r="A133" s="28"/>
      <c r="B133" s="346">
        <f t="shared" si="9"/>
        <v>97</v>
      </c>
      <c r="C133" s="347">
        <f t="shared" si="10"/>
        <v>0</v>
      </c>
      <c r="D133" s="347">
        <f t="shared" si="11"/>
        <v>0</v>
      </c>
      <c r="E133" s="347">
        <f t="shared" si="12"/>
        <v>0</v>
      </c>
      <c r="F133" s="347">
        <f t="shared" si="13"/>
        <v>0</v>
      </c>
      <c r="G133" s="347">
        <f t="shared" si="14"/>
        <v>0</v>
      </c>
      <c r="H133" s="347">
        <f t="shared" si="15"/>
        <v>0</v>
      </c>
      <c r="I133" s="347">
        <f t="shared" si="16"/>
        <v>0</v>
      </c>
      <c r="J133" s="347">
        <f t="shared" si="17"/>
        <v>0</v>
      </c>
      <c r="K133"/>
      <c r="L133"/>
      <c r="M133"/>
      <c r="N133"/>
      <c r="O133"/>
      <c r="P133"/>
      <c r="Q133"/>
      <c r="R133"/>
      <c r="S133"/>
      <c r="T133"/>
      <c r="U133"/>
      <c r="V133"/>
      <c r="W133"/>
      <c r="X133"/>
      <c r="Y133"/>
      <c r="Z133"/>
      <c r="AA133"/>
      <c r="AB133"/>
      <c r="AC133"/>
    </row>
    <row r="134" spans="1:29" ht="15.75">
      <c r="A134" s="28"/>
      <c r="B134" s="346">
        <f t="shared" si="9"/>
        <v>98</v>
      </c>
      <c r="C134" s="347">
        <f t="shared" si="10"/>
        <v>0</v>
      </c>
      <c r="D134" s="347">
        <f t="shared" si="11"/>
        <v>0</v>
      </c>
      <c r="E134" s="347">
        <f t="shared" si="12"/>
        <v>0</v>
      </c>
      <c r="F134" s="347">
        <f t="shared" si="13"/>
        <v>0</v>
      </c>
      <c r="G134" s="347">
        <f t="shared" si="14"/>
        <v>0</v>
      </c>
      <c r="H134" s="347">
        <f t="shared" si="15"/>
        <v>0</v>
      </c>
      <c r="I134" s="347">
        <f t="shared" si="16"/>
        <v>0</v>
      </c>
      <c r="J134" s="347">
        <f t="shared" si="17"/>
        <v>0</v>
      </c>
      <c r="K134"/>
      <c r="L134"/>
      <c r="M134"/>
      <c r="N134"/>
      <c r="O134"/>
      <c r="P134"/>
      <c r="Q134"/>
      <c r="R134"/>
      <c r="S134"/>
      <c r="T134"/>
      <c r="U134"/>
      <c r="V134"/>
      <c r="W134"/>
      <c r="X134"/>
      <c r="Y134"/>
      <c r="Z134"/>
      <c r="AA134"/>
      <c r="AB134"/>
      <c r="AC134"/>
    </row>
    <row r="135" spans="1:29" ht="15.75">
      <c r="A135" s="28"/>
      <c r="B135" s="346">
        <f t="shared" si="9"/>
        <v>99</v>
      </c>
      <c r="C135" s="347">
        <f t="shared" si="10"/>
        <v>0</v>
      </c>
      <c r="D135" s="347">
        <f t="shared" si="11"/>
        <v>0</v>
      </c>
      <c r="E135" s="347">
        <f t="shared" si="12"/>
        <v>0</v>
      </c>
      <c r="F135" s="347">
        <f t="shared" si="13"/>
        <v>0</v>
      </c>
      <c r="G135" s="347">
        <f t="shared" si="14"/>
        <v>0</v>
      </c>
      <c r="H135" s="347">
        <f t="shared" si="15"/>
        <v>0</v>
      </c>
      <c r="I135" s="347">
        <f t="shared" si="16"/>
        <v>0</v>
      </c>
      <c r="J135" s="347">
        <f t="shared" si="17"/>
        <v>0</v>
      </c>
      <c r="K135"/>
      <c r="L135"/>
      <c r="M135"/>
      <c r="N135"/>
      <c r="O135"/>
      <c r="P135"/>
      <c r="Q135"/>
      <c r="R135"/>
      <c r="S135"/>
      <c r="T135"/>
      <c r="U135"/>
      <c r="V135"/>
      <c r="W135"/>
      <c r="X135"/>
      <c r="Y135"/>
      <c r="Z135"/>
      <c r="AA135"/>
      <c r="AB135"/>
      <c r="AC135"/>
    </row>
    <row r="136" spans="1:29" ht="15.75">
      <c r="A136" s="28"/>
      <c r="B136" s="346">
        <f t="shared" si="9"/>
        <v>100</v>
      </c>
      <c r="C136" s="347">
        <f t="shared" si="10"/>
        <v>0</v>
      </c>
      <c r="D136" s="347">
        <f t="shared" si="11"/>
        <v>0</v>
      </c>
      <c r="E136" s="347">
        <f t="shared" si="12"/>
        <v>0</v>
      </c>
      <c r="F136" s="347">
        <f t="shared" si="13"/>
        <v>0</v>
      </c>
      <c r="G136" s="347">
        <f t="shared" si="14"/>
        <v>0</v>
      </c>
      <c r="H136" s="347">
        <f t="shared" si="15"/>
        <v>0</v>
      </c>
      <c r="I136" s="347">
        <f t="shared" si="16"/>
        <v>0</v>
      </c>
      <c r="J136" s="347">
        <f t="shared" si="17"/>
        <v>0</v>
      </c>
      <c r="K136"/>
      <c r="L136"/>
      <c r="M136"/>
      <c r="N136"/>
      <c r="O136"/>
      <c r="P136"/>
      <c r="Q136"/>
      <c r="R136"/>
      <c r="S136"/>
      <c r="T136"/>
      <c r="U136"/>
      <c r="V136"/>
      <c r="W136"/>
      <c r="X136"/>
      <c r="Y136"/>
      <c r="Z136"/>
      <c r="AA136"/>
      <c r="AB136"/>
      <c r="AC136"/>
    </row>
    <row r="137" spans="1:29" ht="15.75">
      <c r="A137" s="28"/>
      <c r="B137" s="346">
        <f t="shared" si="9"/>
        <v>101</v>
      </c>
      <c r="C137" s="347">
        <f t="shared" si="10"/>
        <v>0</v>
      </c>
      <c r="D137" s="347">
        <f t="shared" si="11"/>
        <v>0</v>
      </c>
      <c r="E137" s="347">
        <f t="shared" si="12"/>
        <v>0</v>
      </c>
      <c r="F137" s="347">
        <f t="shared" si="13"/>
        <v>0</v>
      </c>
      <c r="G137" s="347">
        <f t="shared" si="14"/>
        <v>0</v>
      </c>
      <c r="H137" s="347">
        <f t="shared" si="15"/>
        <v>0</v>
      </c>
      <c r="I137" s="347">
        <f t="shared" si="16"/>
        <v>0</v>
      </c>
      <c r="J137" s="347">
        <f t="shared" si="17"/>
        <v>0</v>
      </c>
      <c r="K137"/>
      <c r="L137"/>
      <c r="M137"/>
      <c r="N137"/>
      <c r="O137"/>
      <c r="P137"/>
      <c r="Q137"/>
      <c r="R137"/>
      <c r="S137"/>
      <c r="T137"/>
      <c r="U137"/>
      <c r="V137"/>
      <c r="W137"/>
      <c r="X137"/>
      <c r="Y137"/>
      <c r="Z137"/>
      <c r="AA137"/>
      <c r="AB137"/>
      <c r="AC137"/>
    </row>
    <row r="138" spans="1:29" ht="15.75">
      <c r="A138" s="28"/>
      <c r="B138" s="346">
        <f t="shared" si="9"/>
        <v>102</v>
      </c>
      <c r="C138" s="347">
        <f t="shared" si="10"/>
        <v>0</v>
      </c>
      <c r="D138" s="347">
        <f t="shared" si="11"/>
        <v>0</v>
      </c>
      <c r="E138" s="347">
        <f t="shared" si="12"/>
        <v>0</v>
      </c>
      <c r="F138" s="347">
        <f t="shared" si="13"/>
        <v>0</v>
      </c>
      <c r="G138" s="347">
        <f t="shared" si="14"/>
        <v>0</v>
      </c>
      <c r="H138" s="347">
        <f t="shared" si="15"/>
        <v>0</v>
      </c>
      <c r="I138" s="347">
        <f t="shared" si="16"/>
        <v>0</v>
      </c>
      <c r="J138" s="347">
        <f t="shared" si="17"/>
        <v>0</v>
      </c>
      <c r="K138"/>
      <c r="L138"/>
      <c r="M138"/>
      <c r="N138"/>
      <c r="O138"/>
      <c r="P138"/>
      <c r="Q138"/>
      <c r="R138"/>
      <c r="S138"/>
      <c r="T138"/>
      <c r="U138"/>
      <c r="V138"/>
      <c r="W138"/>
      <c r="X138"/>
      <c r="Y138"/>
      <c r="Z138"/>
      <c r="AA138"/>
      <c r="AB138"/>
      <c r="AC138"/>
    </row>
    <row r="139" spans="1:29" ht="15.75">
      <c r="A139" s="28"/>
      <c r="B139" s="346">
        <f t="shared" si="9"/>
        <v>103</v>
      </c>
      <c r="C139" s="347">
        <f t="shared" si="10"/>
        <v>0</v>
      </c>
      <c r="D139" s="347">
        <f t="shared" si="11"/>
        <v>0</v>
      </c>
      <c r="E139" s="347">
        <f t="shared" si="12"/>
        <v>0</v>
      </c>
      <c r="F139" s="347">
        <f t="shared" si="13"/>
        <v>0</v>
      </c>
      <c r="G139" s="347">
        <f t="shared" si="14"/>
        <v>0</v>
      </c>
      <c r="H139" s="347">
        <f t="shared" si="15"/>
        <v>0</v>
      </c>
      <c r="I139" s="347">
        <f t="shared" si="16"/>
        <v>0</v>
      </c>
      <c r="J139" s="347">
        <f t="shared" si="17"/>
        <v>0</v>
      </c>
      <c r="K139"/>
      <c r="L139"/>
      <c r="M139"/>
      <c r="N139"/>
      <c r="O139"/>
      <c r="P139"/>
      <c r="Q139"/>
      <c r="R139"/>
      <c r="S139"/>
      <c r="T139"/>
      <c r="U139"/>
      <c r="V139"/>
      <c r="W139"/>
      <c r="X139"/>
      <c r="Y139"/>
      <c r="Z139"/>
      <c r="AA139"/>
      <c r="AB139"/>
      <c r="AC139"/>
    </row>
    <row r="140" spans="1:29" ht="15.75">
      <c r="A140" s="28"/>
      <c r="B140" s="346">
        <f t="shared" si="9"/>
        <v>104</v>
      </c>
      <c r="C140" s="347">
        <f t="shared" si="10"/>
        <v>0</v>
      </c>
      <c r="D140" s="347">
        <f t="shared" si="11"/>
        <v>0</v>
      </c>
      <c r="E140" s="347">
        <f t="shared" si="12"/>
        <v>0</v>
      </c>
      <c r="F140" s="347">
        <f t="shared" si="13"/>
        <v>0</v>
      </c>
      <c r="G140" s="347">
        <f t="shared" si="14"/>
        <v>0</v>
      </c>
      <c r="H140" s="347">
        <f t="shared" si="15"/>
        <v>0</v>
      </c>
      <c r="I140" s="347">
        <f t="shared" si="16"/>
        <v>0</v>
      </c>
      <c r="J140" s="347">
        <f t="shared" si="17"/>
        <v>0</v>
      </c>
      <c r="K140"/>
      <c r="L140"/>
      <c r="M140"/>
      <c r="N140"/>
      <c r="O140"/>
      <c r="P140"/>
      <c r="Q140"/>
      <c r="R140"/>
      <c r="S140"/>
      <c r="T140"/>
      <c r="U140"/>
      <c r="V140"/>
      <c r="W140"/>
      <c r="X140"/>
      <c r="Y140"/>
      <c r="Z140"/>
      <c r="AA140"/>
      <c r="AB140"/>
      <c r="AC140"/>
    </row>
    <row r="141" spans="1:29" ht="15.75">
      <c r="A141" s="28"/>
      <c r="B141" s="346">
        <f t="shared" si="9"/>
        <v>105</v>
      </c>
      <c r="C141" s="347">
        <f t="shared" si="10"/>
        <v>0</v>
      </c>
      <c r="D141" s="347">
        <f t="shared" si="11"/>
        <v>0</v>
      </c>
      <c r="E141" s="347">
        <f t="shared" si="12"/>
        <v>0</v>
      </c>
      <c r="F141" s="347">
        <f t="shared" si="13"/>
        <v>0</v>
      </c>
      <c r="G141" s="347">
        <f t="shared" si="14"/>
        <v>0</v>
      </c>
      <c r="H141" s="347">
        <f t="shared" si="15"/>
        <v>0</v>
      </c>
      <c r="I141" s="347">
        <f t="shared" si="16"/>
        <v>0</v>
      </c>
      <c r="J141" s="347">
        <f t="shared" si="17"/>
        <v>0</v>
      </c>
      <c r="K141"/>
      <c r="L141"/>
      <c r="M141"/>
      <c r="N141"/>
      <c r="O141"/>
      <c r="P141"/>
      <c r="Q141"/>
      <c r="R141"/>
      <c r="S141"/>
      <c r="T141"/>
      <c r="U141"/>
      <c r="V141"/>
      <c r="W141"/>
      <c r="X141"/>
      <c r="Y141"/>
      <c r="Z141"/>
      <c r="AA141"/>
      <c r="AB141"/>
      <c r="AC141"/>
    </row>
    <row r="142" spans="1:29" ht="15.75">
      <c r="A142" s="28"/>
      <c r="B142" s="346">
        <f t="shared" si="9"/>
        <v>106</v>
      </c>
      <c r="C142" s="347">
        <f t="shared" si="10"/>
        <v>0</v>
      </c>
      <c r="D142" s="347">
        <f t="shared" si="11"/>
        <v>0</v>
      </c>
      <c r="E142" s="347">
        <f t="shared" si="12"/>
        <v>0</v>
      </c>
      <c r="F142" s="347">
        <f t="shared" si="13"/>
        <v>0</v>
      </c>
      <c r="G142" s="347">
        <f t="shared" si="14"/>
        <v>0</v>
      </c>
      <c r="H142" s="347">
        <f t="shared" si="15"/>
        <v>0</v>
      </c>
      <c r="I142" s="347">
        <f t="shared" si="16"/>
        <v>0</v>
      </c>
      <c r="J142" s="347">
        <f t="shared" si="17"/>
        <v>0</v>
      </c>
      <c r="K142"/>
      <c r="L142"/>
      <c r="M142"/>
      <c r="N142"/>
      <c r="O142"/>
      <c r="P142"/>
      <c r="Q142"/>
      <c r="R142"/>
      <c r="S142"/>
      <c r="T142"/>
      <c r="U142"/>
      <c r="V142"/>
      <c r="W142"/>
      <c r="X142"/>
      <c r="Y142"/>
      <c r="Z142"/>
      <c r="AA142"/>
      <c r="AB142"/>
      <c r="AC142"/>
    </row>
    <row r="143" spans="1:29" ht="15.75">
      <c r="A143" s="28"/>
      <c r="B143" s="346">
        <f t="shared" si="9"/>
        <v>107</v>
      </c>
      <c r="C143" s="347">
        <f t="shared" si="10"/>
        <v>0</v>
      </c>
      <c r="D143" s="347">
        <f t="shared" si="11"/>
        <v>0</v>
      </c>
      <c r="E143" s="347">
        <f t="shared" si="12"/>
        <v>0</v>
      </c>
      <c r="F143" s="347">
        <f t="shared" si="13"/>
        <v>0</v>
      </c>
      <c r="G143" s="347">
        <f t="shared" si="14"/>
        <v>0</v>
      </c>
      <c r="H143" s="347">
        <f t="shared" si="15"/>
        <v>0</v>
      </c>
      <c r="I143" s="347">
        <f t="shared" si="16"/>
        <v>0</v>
      </c>
      <c r="J143" s="347">
        <f t="shared" si="17"/>
        <v>0</v>
      </c>
      <c r="K143"/>
      <c r="L143"/>
      <c r="M143"/>
      <c r="N143"/>
      <c r="O143"/>
      <c r="P143"/>
      <c r="Q143"/>
      <c r="R143"/>
      <c r="S143"/>
      <c r="T143"/>
      <c r="U143"/>
      <c r="V143"/>
      <c r="W143"/>
      <c r="X143"/>
      <c r="Y143"/>
      <c r="Z143"/>
      <c r="AA143"/>
      <c r="AB143"/>
      <c r="AC143"/>
    </row>
    <row r="144" spans="1:29" ht="15.75">
      <c r="A144" s="28"/>
      <c r="B144" s="346">
        <f t="shared" si="9"/>
        <v>108</v>
      </c>
      <c r="C144" s="347">
        <f t="shared" si="10"/>
        <v>0</v>
      </c>
      <c r="D144" s="347">
        <f t="shared" si="11"/>
        <v>0</v>
      </c>
      <c r="E144" s="347">
        <f t="shared" si="12"/>
        <v>0</v>
      </c>
      <c r="F144" s="347">
        <f t="shared" si="13"/>
        <v>0</v>
      </c>
      <c r="G144" s="347">
        <f t="shared" si="14"/>
        <v>0</v>
      </c>
      <c r="H144" s="347">
        <f t="shared" si="15"/>
        <v>0</v>
      </c>
      <c r="I144" s="347">
        <f t="shared" si="16"/>
        <v>0</v>
      </c>
      <c r="J144" s="347">
        <f t="shared" si="17"/>
        <v>0</v>
      </c>
      <c r="K144"/>
      <c r="L144"/>
      <c r="M144"/>
      <c r="N144"/>
      <c r="O144"/>
      <c r="P144"/>
      <c r="Q144"/>
      <c r="R144"/>
      <c r="S144"/>
      <c r="T144"/>
      <c r="U144"/>
      <c r="V144"/>
      <c r="W144"/>
      <c r="X144"/>
      <c r="Y144"/>
      <c r="Z144"/>
      <c r="AA144"/>
      <c r="AB144"/>
      <c r="AC144"/>
    </row>
    <row r="145" spans="1:29" ht="15.75">
      <c r="A145" s="28"/>
      <c r="B145" s="346">
        <f t="shared" si="9"/>
        <v>109</v>
      </c>
      <c r="C145" s="347">
        <f t="shared" si="10"/>
        <v>0</v>
      </c>
      <c r="D145" s="347">
        <f t="shared" si="11"/>
        <v>0</v>
      </c>
      <c r="E145" s="347">
        <f t="shared" si="12"/>
        <v>0</v>
      </c>
      <c r="F145" s="347">
        <f t="shared" si="13"/>
        <v>0</v>
      </c>
      <c r="G145" s="347">
        <f t="shared" si="14"/>
        <v>0</v>
      </c>
      <c r="H145" s="347">
        <f t="shared" si="15"/>
        <v>0</v>
      </c>
      <c r="I145" s="347">
        <f t="shared" si="16"/>
        <v>0</v>
      </c>
      <c r="J145" s="347">
        <f t="shared" si="17"/>
        <v>0</v>
      </c>
      <c r="K145"/>
      <c r="L145"/>
      <c r="M145"/>
      <c r="N145"/>
      <c r="O145"/>
      <c r="P145"/>
      <c r="Q145"/>
      <c r="R145"/>
      <c r="S145"/>
      <c r="T145"/>
      <c r="U145"/>
      <c r="V145"/>
      <c r="W145"/>
      <c r="X145"/>
      <c r="Y145"/>
      <c r="Z145"/>
      <c r="AA145"/>
      <c r="AB145"/>
      <c r="AC145"/>
    </row>
    <row r="146" spans="1:29" ht="15.75">
      <c r="A146" s="28"/>
      <c r="B146" s="346">
        <f t="shared" si="9"/>
        <v>110</v>
      </c>
      <c r="C146" s="347">
        <f t="shared" si="10"/>
        <v>0</v>
      </c>
      <c r="D146" s="347">
        <f t="shared" si="11"/>
        <v>0</v>
      </c>
      <c r="E146" s="347">
        <f t="shared" si="12"/>
        <v>0</v>
      </c>
      <c r="F146" s="347">
        <f t="shared" si="13"/>
        <v>0</v>
      </c>
      <c r="G146" s="347">
        <f t="shared" si="14"/>
        <v>0</v>
      </c>
      <c r="H146" s="347">
        <f t="shared" si="15"/>
        <v>0</v>
      </c>
      <c r="I146" s="347">
        <f t="shared" si="16"/>
        <v>0</v>
      </c>
      <c r="J146" s="347">
        <f t="shared" si="17"/>
        <v>0</v>
      </c>
      <c r="K146"/>
      <c r="L146"/>
      <c r="M146"/>
      <c r="N146"/>
      <c r="O146"/>
      <c r="P146"/>
      <c r="Q146"/>
      <c r="R146"/>
      <c r="S146"/>
      <c r="T146"/>
      <c r="U146"/>
      <c r="V146"/>
      <c r="W146"/>
      <c r="X146"/>
      <c r="Y146"/>
      <c r="Z146"/>
      <c r="AA146"/>
      <c r="AB146"/>
      <c r="AC146"/>
    </row>
    <row r="147" spans="1:29" ht="15.75">
      <c r="A147" s="28"/>
      <c r="B147" s="346">
        <f t="shared" si="9"/>
        <v>111</v>
      </c>
      <c r="C147" s="347">
        <f t="shared" si="10"/>
        <v>0</v>
      </c>
      <c r="D147" s="347">
        <f t="shared" si="11"/>
        <v>0</v>
      </c>
      <c r="E147" s="347">
        <f t="shared" si="12"/>
        <v>0</v>
      </c>
      <c r="F147" s="347">
        <f t="shared" si="13"/>
        <v>0</v>
      </c>
      <c r="G147" s="347">
        <f t="shared" si="14"/>
        <v>0</v>
      </c>
      <c r="H147" s="347">
        <f t="shared" si="15"/>
        <v>0</v>
      </c>
      <c r="I147" s="347">
        <f t="shared" si="16"/>
        <v>0</v>
      </c>
      <c r="J147" s="347">
        <f t="shared" si="17"/>
        <v>0</v>
      </c>
      <c r="K147"/>
      <c r="L147"/>
      <c r="M147"/>
      <c r="N147"/>
      <c r="O147"/>
      <c r="P147"/>
      <c r="Q147"/>
      <c r="R147"/>
      <c r="S147"/>
      <c r="T147"/>
      <c r="U147"/>
      <c r="V147"/>
      <c r="W147"/>
      <c r="X147"/>
      <c r="Y147"/>
      <c r="Z147"/>
      <c r="AA147"/>
      <c r="AB147"/>
      <c r="AC147"/>
    </row>
    <row r="148" spans="1:29" ht="15.75">
      <c r="A148" s="28"/>
      <c r="B148" s="346">
        <f t="shared" si="9"/>
        <v>112</v>
      </c>
      <c r="C148" s="347">
        <f t="shared" si="10"/>
        <v>0</v>
      </c>
      <c r="D148" s="347">
        <f t="shared" si="11"/>
        <v>0</v>
      </c>
      <c r="E148" s="347">
        <f t="shared" si="12"/>
        <v>0</v>
      </c>
      <c r="F148" s="347">
        <f t="shared" si="13"/>
        <v>0</v>
      </c>
      <c r="G148" s="347">
        <f t="shared" si="14"/>
        <v>0</v>
      </c>
      <c r="H148" s="347">
        <f t="shared" si="15"/>
        <v>0</v>
      </c>
      <c r="I148" s="347">
        <f t="shared" si="16"/>
        <v>0</v>
      </c>
      <c r="J148" s="347">
        <f t="shared" si="17"/>
        <v>0</v>
      </c>
      <c r="K148"/>
      <c r="L148"/>
      <c r="M148"/>
      <c r="N148"/>
      <c r="O148"/>
      <c r="P148"/>
      <c r="Q148"/>
      <c r="R148"/>
      <c r="S148"/>
      <c r="T148"/>
      <c r="U148"/>
      <c r="V148"/>
      <c r="W148"/>
      <c r="X148"/>
      <c r="Y148"/>
      <c r="Z148"/>
      <c r="AA148"/>
      <c r="AB148"/>
      <c r="AC148"/>
    </row>
    <row r="149" spans="1:29" ht="15.75">
      <c r="A149" s="28"/>
      <c r="B149" s="346">
        <f t="shared" si="9"/>
        <v>113</v>
      </c>
      <c r="C149" s="347">
        <f t="shared" si="10"/>
        <v>0</v>
      </c>
      <c r="D149" s="347">
        <f t="shared" si="11"/>
        <v>0</v>
      </c>
      <c r="E149" s="347">
        <f t="shared" si="12"/>
        <v>0</v>
      </c>
      <c r="F149" s="347">
        <f t="shared" si="13"/>
        <v>0</v>
      </c>
      <c r="G149" s="347">
        <f t="shared" si="14"/>
        <v>0</v>
      </c>
      <c r="H149" s="347">
        <f t="shared" si="15"/>
        <v>0</v>
      </c>
      <c r="I149" s="347">
        <f t="shared" si="16"/>
        <v>0</v>
      </c>
      <c r="J149" s="347">
        <f t="shared" si="17"/>
        <v>0</v>
      </c>
      <c r="K149"/>
      <c r="L149"/>
      <c r="M149"/>
      <c r="N149"/>
      <c r="O149"/>
      <c r="P149"/>
      <c r="Q149"/>
      <c r="R149"/>
      <c r="S149"/>
      <c r="T149"/>
      <c r="U149"/>
      <c r="V149"/>
      <c r="W149"/>
      <c r="X149"/>
      <c r="Y149"/>
      <c r="Z149"/>
      <c r="AA149"/>
      <c r="AB149"/>
      <c r="AC149"/>
    </row>
    <row r="150" spans="1:29" ht="15.75">
      <c r="A150" s="28"/>
      <c r="B150" s="346">
        <f t="shared" si="9"/>
        <v>114</v>
      </c>
      <c r="C150" s="347">
        <f t="shared" si="10"/>
        <v>0</v>
      </c>
      <c r="D150" s="347">
        <f t="shared" si="11"/>
        <v>0</v>
      </c>
      <c r="E150" s="347">
        <f t="shared" si="12"/>
        <v>0</v>
      </c>
      <c r="F150" s="347">
        <f t="shared" si="13"/>
        <v>0</v>
      </c>
      <c r="G150" s="347">
        <f t="shared" si="14"/>
        <v>0</v>
      </c>
      <c r="H150" s="347">
        <f t="shared" si="15"/>
        <v>0</v>
      </c>
      <c r="I150" s="347">
        <f t="shared" si="16"/>
        <v>0</v>
      </c>
      <c r="J150" s="347">
        <f t="shared" si="17"/>
        <v>0</v>
      </c>
      <c r="K150"/>
      <c r="L150"/>
      <c r="M150"/>
      <c r="N150"/>
      <c r="O150"/>
      <c r="P150"/>
      <c r="Q150"/>
      <c r="R150"/>
      <c r="S150"/>
      <c r="T150"/>
      <c r="U150"/>
      <c r="V150"/>
      <c r="W150"/>
      <c r="X150"/>
      <c r="Y150"/>
      <c r="Z150"/>
      <c r="AA150"/>
      <c r="AB150"/>
      <c r="AC150"/>
    </row>
    <row r="151" spans="1:29" ht="15.75">
      <c r="A151" s="28"/>
      <c r="B151" s="346">
        <f t="shared" si="9"/>
        <v>115</v>
      </c>
      <c r="C151" s="347">
        <f t="shared" si="10"/>
        <v>0</v>
      </c>
      <c r="D151" s="347">
        <f t="shared" si="11"/>
        <v>0</v>
      </c>
      <c r="E151" s="347">
        <f t="shared" si="12"/>
        <v>0</v>
      </c>
      <c r="F151" s="347">
        <f t="shared" si="13"/>
        <v>0</v>
      </c>
      <c r="G151" s="347">
        <f t="shared" si="14"/>
        <v>0</v>
      </c>
      <c r="H151" s="347">
        <f t="shared" si="15"/>
        <v>0</v>
      </c>
      <c r="I151" s="347">
        <f t="shared" si="16"/>
        <v>0</v>
      </c>
      <c r="J151" s="347">
        <f t="shared" si="17"/>
        <v>0</v>
      </c>
      <c r="K151"/>
      <c r="L151"/>
      <c r="M151"/>
      <c r="N151"/>
      <c r="O151"/>
      <c r="P151"/>
      <c r="Q151"/>
      <c r="R151"/>
      <c r="S151"/>
      <c r="T151"/>
      <c r="U151"/>
      <c r="V151"/>
      <c r="W151"/>
      <c r="X151"/>
      <c r="Y151"/>
      <c r="Z151"/>
      <c r="AA151"/>
      <c r="AB151"/>
      <c r="AC151"/>
    </row>
    <row r="152" spans="1:29" ht="15.75">
      <c r="A152" s="28"/>
      <c r="B152" s="346">
        <f t="shared" si="9"/>
        <v>116</v>
      </c>
      <c r="C152" s="347">
        <f t="shared" si="10"/>
        <v>0</v>
      </c>
      <c r="D152" s="347">
        <f t="shared" si="11"/>
        <v>0</v>
      </c>
      <c r="E152" s="347">
        <f t="shared" si="12"/>
        <v>0</v>
      </c>
      <c r="F152" s="347">
        <f t="shared" si="13"/>
        <v>0</v>
      </c>
      <c r="G152" s="347">
        <f t="shared" si="14"/>
        <v>0</v>
      </c>
      <c r="H152" s="347">
        <f t="shared" si="15"/>
        <v>0</v>
      </c>
      <c r="I152" s="347">
        <f t="shared" si="16"/>
        <v>0</v>
      </c>
      <c r="J152" s="347">
        <f t="shared" si="17"/>
        <v>0</v>
      </c>
      <c r="K152"/>
      <c r="L152"/>
      <c r="M152"/>
      <c r="N152"/>
      <c r="O152"/>
      <c r="P152"/>
      <c r="Q152"/>
      <c r="R152"/>
      <c r="S152"/>
      <c r="T152"/>
      <c r="U152"/>
      <c r="V152"/>
      <c r="W152"/>
      <c r="X152"/>
      <c r="Y152"/>
      <c r="Z152"/>
      <c r="AA152"/>
      <c r="AB152"/>
      <c r="AC152"/>
    </row>
    <row r="153" spans="1:29" ht="15.75">
      <c r="A153" s="28"/>
      <c r="B153" s="346">
        <f t="shared" si="9"/>
        <v>117</v>
      </c>
      <c r="C153" s="347">
        <f t="shared" si="10"/>
        <v>0</v>
      </c>
      <c r="D153" s="347">
        <f t="shared" si="11"/>
        <v>0</v>
      </c>
      <c r="E153" s="347">
        <f t="shared" si="12"/>
        <v>0</v>
      </c>
      <c r="F153" s="347">
        <f t="shared" si="13"/>
        <v>0</v>
      </c>
      <c r="G153" s="347">
        <f t="shared" si="14"/>
        <v>0</v>
      </c>
      <c r="H153" s="347">
        <f t="shared" si="15"/>
        <v>0</v>
      </c>
      <c r="I153" s="347">
        <f t="shared" si="16"/>
        <v>0</v>
      </c>
      <c r="J153" s="347">
        <f t="shared" si="17"/>
        <v>0</v>
      </c>
      <c r="K153"/>
      <c r="L153"/>
      <c r="M153"/>
      <c r="N153"/>
      <c r="O153"/>
      <c r="P153"/>
      <c r="Q153"/>
      <c r="R153"/>
      <c r="S153"/>
      <c r="T153"/>
      <c r="U153"/>
      <c r="V153"/>
      <c r="W153"/>
      <c r="X153"/>
      <c r="Y153"/>
      <c r="Z153"/>
      <c r="AA153"/>
      <c r="AB153"/>
      <c r="AC153"/>
    </row>
    <row r="154" spans="1:29" ht="15.75">
      <c r="A154" s="28"/>
      <c r="B154" s="346">
        <f t="shared" si="9"/>
        <v>118</v>
      </c>
      <c r="C154" s="347">
        <f t="shared" si="10"/>
        <v>0</v>
      </c>
      <c r="D154" s="347">
        <f t="shared" si="11"/>
        <v>0</v>
      </c>
      <c r="E154" s="347">
        <f t="shared" si="12"/>
        <v>0</v>
      </c>
      <c r="F154" s="347">
        <f t="shared" si="13"/>
        <v>0</v>
      </c>
      <c r="G154" s="347">
        <f t="shared" si="14"/>
        <v>0</v>
      </c>
      <c r="H154" s="347">
        <f t="shared" si="15"/>
        <v>0</v>
      </c>
      <c r="I154" s="347">
        <f t="shared" si="16"/>
        <v>0</v>
      </c>
      <c r="J154" s="347">
        <f t="shared" si="17"/>
        <v>0</v>
      </c>
      <c r="K154"/>
      <c r="L154"/>
      <c r="M154"/>
      <c r="N154"/>
      <c r="O154"/>
      <c r="P154"/>
      <c r="Q154"/>
      <c r="R154"/>
      <c r="S154"/>
      <c r="T154"/>
      <c r="U154"/>
      <c r="V154"/>
      <c r="W154"/>
      <c r="X154"/>
      <c r="Y154"/>
      <c r="Z154"/>
      <c r="AA154"/>
      <c r="AB154"/>
      <c r="AC154"/>
    </row>
    <row r="155" spans="1:29" ht="15.75">
      <c r="A155" s="28"/>
      <c r="B155" s="346">
        <f t="shared" si="9"/>
        <v>119</v>
      </c>
      <c r="C155" s="347">
        <f t="shared" si="10"/>
        <v>0</v>
      </c>
      <c r="D155" s="347">
        <f t="shared" si="11"/>
        <v>0</v>
      </c>
      <c r="E155" s="347">
        <f t="shared" si="12"/>
        <v>0</v>
      </c>
      <c r="F155" s="347">
        <f t="shared" si="13"/>
        <v>0</v>
      </c>
      <c r="G155" s="347">
        <f t="shared" si="14"/>
        <v>0</v>
      </c>
      <c r="H155" s="347">
        <f t="shared" si="15"/>
        <v>0</v>
      </c>
      <c r="I155" s="347">
        <f t="shared" si="16"/>
        <v>0</v>
      </c>
      <c r="J155" s="347">
        <f t="shared" si="17"/>
        <v>0</v>
      </c>
      <c r="K155"/>
      <c r="L155"/>
      <c r="M155"/>
      <c r="N155"/>
      <c r="O155"/>
      <c r="P155"/>
      <c r="Q155"/>
      <c r="R155"/>
      <c r="S155"/>
      <c r="T155"/>
      <c r="U155"/>
      <c r="V155"/>
      <c r="W155"/>
      <c r="X155"/>
      <c r="Y155"/>
      <c r="Z155"/>
      <c r="AA155"/>
      <c r="AB155"/>
      <c r="AC155"/>
    </row>
    <row r="156" spans="1:29" ht="15.75">
      <c r="A156" s="28"/>
      <c r="B156" s="346">
        <f t="shared" si="9"/>
        <v>120</v>
      </c>
      <c r="C156" s="347">
        <f t="shared" si="10"/>
        <v>0</v>
      </c>
      <c r="D156" s="347">
        <f t="shared" si="11"/>
        <v>0</v>
      </c>
      <c r="E156" s="347">
        <f t="shared" si="12"/>
        <v>0</v>
      </c>
      <c r="F156" s="347">
        <f t="shared" si="13"/>
        <v>0</v>
      </c>
      <c r="G156" s="347">
        <f t="shared" si="14"/>
        <v>0</v>
      </c>
      <c r="H156" s="347">
        <f t="shared" si="15"/>
        <v>0</v>
      </c>
      <c r="I156" s="347">
        <f t="shared" si="16"/>
        <v>0</v>
      </c>
      <c r="J156" s="347">
        <f t="shared" si="17"/>
        <v>0</v>
      </c>
      <c r="K156"/>
      <c r="L156"/>
      <c r="M156"/>
      <c r="N156"/>
      <c r="O156"/>
      <c r="P156"/>
      <c r="Q156"/>
      <c r="R156"/>
      <c r="S156"/>
      <c r="T156"/>
      <c r="U156"/>
      <c r="V156"/>
      <c r="W156"/>
      <c r="X156"/>
      <c r="Y156"/>
      <c r="Z156"/>
      <c r="AA156"/>
      <c r="AB156"/>
      <c r="AC156"/>
    </row>
    <row r="157" spans="1:29" ht="15.75">
      <c r="A157" s="28"/>
      <c r="B157" s="346">
        <f t="shared" si="9"/>
        <v>121</v>
      </c>
      <c r="C157" s="347">
        <f t="shared" si="10"/>
        <v>0</v>
      </c>
      <c r="D157" s="347">
        <f t="shared" si="11"/>
        <v>0</v>
      </c>
      <c r="E157" s="347">
        <f t="shared" si="12"/>
        <v>0</v>
      </c>
      <c r="F157" s="347">
        <f t="shared" si="13"/>
        <v>0</v>
      </c>
      <c r="G157" s="347">
        <f t="shared" si="14"/>
        <v>0</v>
      </c>
      <c r="H157" s="347">
        <f t="shared" si="15"/>
        <v>0</v>
      </c>
      <c r="I157" s="347">
        <f t="shared" si="16"/>
        <v>0</v>
      </c>
      <c r="J157" s="347">
        <f t="shared" si="17"/>
        <v>0</v>
      </c>
      <c r="K157"/>
      <c r="L157"/>
      <c r="M157"/>
      <c r="N157"/>
      <c r="O157"/>
      <c r="P157"/>
      <c r="Q157"/>
      <c r="R157"/>
      <c r="S157"/>
      <c r="T157"/>
      <c r="U157"/>
      <c r="V157"/>
      <c r="W157"/>
      <c r="X157"/>
      <c r="Y157"/>
      <c r="Z157"/>
      <c r="AA157"/>
      <c r="AB157"/>
      <c r="AC157"/>
    </row>
    <row r="158" spans="1:29" ht="15.75">
      <c r="A158" s="28"/>
      <c r="B158" s="346">
        <f t="shared" si="9"/>
        <v>122</v>
      </c>
      <c r="C158" s="347">
        <f t="shared" si="10"/>
        <v>0</v>
      </c>
      <c r="D158" s="347">
        <f t="shared" si="11"/>
        <v>0</v>
      </c>
      <c r="E158" s="347">
        <f t="shared" si="12"/>
        <v>0</v>
      </c>
      <c r="F158" s="347">
        <f t="shared" si="13"/>
        <v>0</v>
      </c>
      <c r="G158" s="347">
        <f t="shared" si="14"/>
        <v>0</v>
      </c>
      <c r="H158" s="347">
        <f t="shared" si="15"/>
        <v>0</v>
      </c>
      <c r="I158" s="347">
        <f t="shared" si="16"/>
        <v>0</v>
      </c>
      <c r="J158" s="347">
        <f t="shared" si="17"/>
        <v>0</v>
      </c>
      <c r="K158"/>
      <c r="L158"/>
      <c r="M158"/>
      <c r="N158"/>
      <c r="O158"/>
      <c r="P158"/>
      <c r="Q158"/>
      <c r="R158"/>
      <c r="S158"/>
      <c r="T158"/>
      <c r="U158"/>
      <c r="V158"/>
      <c r="W158"/>
      <c r="X158"/>
      <c r="Y158"/>
      <c r="Z158"/>
      <c r="AA158"/>
      <c r="AB158"/>
      <c r="AC158"/>
    </row>
    <row r="159" spans="1:29" ht="15.75">
      <c r="A159" s="28"/>
      <c r="B159" s="346">
        <f t="shared" si="9"/>
        <v>123</v>
      </c>
      <c r="C159" s="347">
        <f t="shared" si="10"/>
        <v>0</v>
      </c>
      <c r="D159" s="347">
        <f t="shared" si="11"/>
        <v>0</v>
      </c>
      <c r="E159" s="347">
        <f t="shared" si="12"/>
        <v>0</v>
      </c>
      <c r="F159" s="347">
        <f t="shared" si="13"/>
        <v>0</v>
      </c>
      <c r="G159" s="347">
        <f t="shared" si="14"/>
        <v>0</v>
      </c>
      <c r="H159" s="347">
        <f t="shared" si="15"/>
        <v>0</v>
      </c>
      <c r="I159" s="347">
        <f t="shared" si="16"/>
        <v>0</v>
      </c>
      <c r="J159" s="347">
        <f t="shared" si="17"/>
        <v>0</v>
      </c>
      <c r="K159"/>
      <c r="L159"/>
      <c r="M159"/>
      <c r="N159"/>
      <c r="O159"/>
      <c r="P159"/>
      <c r="Q159"/>
      <c r="R159"/>
      <c r="S159"/>
      <c r="T159"/>
      <c r="U159"/>
      <c r="V159"/>
      <c r="W159"/>
      <c r="X159"/>
      <c r="Y159"/>
      <c r="Z159"/>
      <c r="AA159"/>
      <c r="AB159"/>
      <c r="AC159"/>
    </row>
    <row r="160" spans="1:29" ht="15.75">
      <c r="A160" s="28"/>
      <c r="B160" s="346">
        <f t="shared" si="9"/>
        <v>124</v>
      </c>
      <c r="C160" s="347">
        <f t="shared" si="10"/>
        <v>0</v>
      </c>
      <c r="D160" s="347">
        <f t="shared" si="11"/>
        <v>0</v>
      </c>
      <c r="E160" s="347">
        <f t="shared" si="12"/>
        <v>0</v>
      </c>
      <c r="F160" s="347">
        <f t="shared" si="13"/>
        <v>0</v>
      </c>
      <c r="G160" s="347">
        <f t="shared" si="14"/>
        <v>0</v>
      </c>
      <c r="H160" s="347">
        <f t="shared" si="15"/>
        <v>0</v>
      </c>
      <c r="I160" s="347">
        <f t="shared" si="16"/>
        <v>0</v>
      </c>
      <c r="J160" s="347">
        <f t="shared" si="17"/>
        <v>0</v>
      </c>
      <c r="K160"/>
      <c r="L160"/>
      <c r="M160"/>
      <c r="N160"/>
      <c r="O160"/>
      <c r="P160"/>
      <c r="Q160"/>
      <c r="R160"/>
      <c r="S160"/>
      <c r="T160"/>
      <c r="U160"/>
      <c r="V160"/>
      <c r="W160"/>
      <c r="X160"/>
      <c r="Y160"/>
      <c r="Z160"/>
      <c r="AA160"/>
      <c r="AB160"/>
      <c r="AC160"/>
    </row>
    <row r="161" spans="1:29" ht="15.75">
      <c r="A161" s="28"/>
      <c r="B161" s="346">
        <f t="shared" si="9"/>
        <v>125</v>
      </c>
      <c r="C161" s="347">
        <f t="shared" si="10"/>
        <v>0</v>
      </c>
      <c r="D161" s="347">
        <f t="shared" si="11"/>
        <v>0</v>
      </c>
      <c r="E161" s="347">
        <f t="shared" si="12"/>
        <v>0</v>
      </c>
      <c r="F161" s="347">
        <f t="shared" si="13"/>
        <v>0</v>
      </c>
      <c r="G161" s="347">
        <f t="shared" si="14"/>
        <v>0</v>
      </c>
      <c r="H161" s="347">
        <f t="shared" si="15"/>
        <v>0</v>
      </c>
      <c r="I161" s="347">
        <f t="shared" si="16"/>
        <v>0</v>
      </c>
      <c r="J161" s="347">
        <f t="shared" si="17"/>
        <v>0</v>
      </c>
      <c r="K161"/>
      <c r="L161"/>
      <c r="M161"/>
      <c r="N161"/>
      <c r="O161"/>
      <c r="P161"/>
      <c r="Q161"/>
      <c r="R161"/>
      <c r="S161"/>
      <c r="T161"/>
      <c r="U161"/>
      <c r="V161"/>
      <c r="W161"/>
      <c r="X161"/>
      <c r="Y161"/>
      <c r="Z161"/>
      <c r="AA161"/>
      <c r="AB161"/>
      <c r="AC161"/>
    </row>
    <row r="162" spans="1:29" ht="15.75">
      <c r="A162" s="28"/>
      <c r="B162" s="346">
        <f t="shared" si="9"/>
        <v>126</v>
      </c>
      <c r="C162" s="347">
        <f t="shared" si="10"/>
        <v>0</v>
      </c>
      <c r="D162" s="347">
        <f t="shared" si="11"/>
        <v>0</v>
      </c>
      <c r="E162" s="347">
        <f t="shared" si="12"/>
        <v>0</v>
      </c>
      <c r="F162" s="347">
        <f t="shared" si="13"/>
        <v>0</v>
      </c>
      <c r="G162" s="347">
        <f t="shared" si="14"/>
        <v>0</v>
      </c>
      <c r="H162" s="347">
        <f t="shared" si="15"/>
        <v>0</v>
      </c>
      <c r="I162" s="347">
        <f t="shared" si="16"/>
        <v>0</v>
      </c>
      <c r="J162" s="347">
        <f t="shared" si="17"/>
        <v>0</v>
      </c>
      <c r="K162"/>
      <c r="L162"/>
      <c r="M162"/>
      <c r="N162"/>
      <c r="O162"/>
      <c r="P162"/>
      <c r="Q162"/>
      <c r="R162"/>
      <c r="S162"/>
      <c r="T162"/>
      <c r="U162"/>
      <c r="V162"/>
      <c r="W162"/>
      <c r="X162"/>
      <c r="Y162"/>
      <c r="Z162"/>
      <c r="AA162"/>
      <c r="AB162"/>
      <c r="AC162"/>
    </row>
    <row r="163" spans="1:29" ht="15.75">
      <c r="A163" s="28"/>
      <c r="B163" s="346">
        <f t="shared" si="9"/>
        <v>127</v>
      </c>
      <c r="C163" s="347">
        <f t="shared" si="10"/>
        <v>0</v>
      </c>
      <c r="D163" s="347">
        <f t="shared" si="11"/>
        <v>0</v>
      </c>
      <c r="E163" s="347">
        <f t="shared" si="12"/>
        <v>0</v>
      </c>
      <c r="F163" s="347">
        <f t="shared" si="13"/>
        <v>0</v>
      </c>
      <c r="G163" s="347">
        <f t="shared" si="14"/>
        <v>0</v>
      </c>
      <c r="H163" s="347">
        <f t="shared" si="15"/>
        <v>0</v>
      </c>
      <c r="I163" s="347">
        <f t="shared" si="16"/>
        <v>0</v>
      </c>
      <c r="J163" s="347">
        <f t="shared" si="17"/>
        <v>0</v>
      </c>
      <c r="K163"/>
      <c r="L163"/>
      <c r="M163"/>
      <c r="N163"/>
      <c r="O163"/>
      <c r="P163"/>
      <c r="Q163"/>
      <c r="R163"/>
      <c r="S163"/>
      <c r="T163"/>
      <c r="U163"/>
      <c r="V163"/>
      <c r="W163"/>
      <c r="X163"/>
      <c r="Y163"/>
      <c r="Z163"/>
      <c r="AA163"/>
      <c r="AB163"/>
      <c r="AC163"/>
    </row>
    <row r="164" spans="1:29" ht="15.75">
      <c r="A164" s="28"/>
      <c r="B164" s="346">
        <f t="shared" si="9"/>
        <v>128</v>
      </c>
      <c r="C164" s="347">
        <f t="shared" si="10"/>
        <v>0</v>
      </c>
      <c r="D164" s="347">
        <f t="shared" si="11"/>
        <v>0</v>
      </c>
      <c r="E164" s="347">
        <f t="shared" si="12"/>
        <v>0</v>
      </c>
      <c r="F164" s="347">
        <f t="shared" si="13"/>
        <v>0</v>
      </c>
      <c r="G164" s="347">
        <f t="shared" si="14"/>
        <v>0</v>
      </c>
      <c r="H164" s="347">
        <f t="shared" si="15"/>
        <v>0</v>
      </c>
      <c r="I164" s="347">
        <f t="shared" si="16"/>
        <v>0</v>
      </c>
      <c r="J164" s="347">
        <f t="shared" si="17"/>
        <v>0</v>
      </c>
      <c r="K164"/>
      <c r="L164"/>
      <c r="M164"/>
      <c r="N164"/>
      <c r="O164"/>
      <c r="P164"/>
      <c r="Q164"/>
      <c r="R164"/>
      <c r="S164"/>
      <c r="T164"/>
      <c r="U164"/>
      <c r="V164"/>
      <c r="W164"/>
      <c r="X164"/>
      <c r="Y164"/>
      <c r="Z164"/>
      <c r="AA164"/>
      <c r="AB164"/>
      <c r="AC164"/>
    </row>
    <row r="165" spans="1:29" ht="15.75">
      <c r="A165" s="28"/>
      <c r="B165" s="346">
        <f t="shared" si="9"/>
        <v>129</v>
      </c>
      <c r="C165" s="347">
        <f t="shared" si="10"/>
        <v>0</v>
      </c>
      <c r="D165" s="347">
        <f t="shared" si="11"/>
        <v>0</v>
      </c>
      <c r="E165" s="347">
        <f t="shared" si="12"/>
        <v>0</v>
      </c>
      <c r="F165" s="347">
        <f t="shared" si="13"/>
        <v>0</v>
      </c>
      <c r="G165" s="347">
        <f t="shared" si="14"/>
        <v>0</v>
      </c>
      <c r="H165" s="347">
        <f t="shared" si="15"/>
        <v>0</v>
      </c>
      <c r="I165" s="347">
        <f t="shared" si="16"/>
        <v>0</v>
      </c>
      <c r="J165" s="347">
        <f t="shared" si="17"/>
        <v>0</v>
      </c>
      <c r="K165"/>
      <c r="L165"/>
      <c r="M165"/>
      <c r="N165"/>
      <c r="O165"/>
      <c r="P165"/>
      <c r="Q165"/>
      <c r="R165"/>
      <c r="S165"/>
      <c r="T165"/>
      <c r="U165"/>
      <c r="V165"/>
      <c r="W165"/>
      <c r="X165"/>
      <c r="Y165"/>
      <c r="Z165"/>
      <c r="AA165"/>
      <c r="AB165"/>
      <c r="AC165"/>
    </row>
    <row r="166" spans="1:29" ht="15.75">
      <c r="A166" s="28"/>
      <c r="B166" s="346">
        <f aca="true" t="shared" si="18" ref="B166:B229">1+B165</f>
        <v>130</v>
      </c>
      <c r="C166" s="347">
        <f aca="true" t="shared" si="19" ref="C166:C229">IF((E165&lt;$C$24-G166),E165,$C$24-G166)</f>
        <v>0</v>
      </c>
      <c r="D166" s="347">
        <f aca="true" t="shared" si="20" ref="D166:D229">IF(AND($C$20&lt;=B166,E165&gt;C166+$C$18),IF(MOD($B166,$C$19)=0,$C$18,0),0)</f>
        <v>0</v>
      </c>
      <c r="E166" s="347">
        <f aca="true" t="shared" si="21" ref="E166:E229">IF(E165-C166&lt;=1,0,E165-C166-D166)</f>
        <v>0</v>
      </c>
      <c r="F166" s="347">
        <f aca="true" t="shared" si="22" ref="F166:F229">F165+C166+D166</f>
        <v>0</v>
      </c>
      <c r="G166" s="347">
        <f aca="true" t="shared" si="23" ref="G166:G229">E165*($C$13/$C$15)</f>
        <v>0</v>
      </c>
      <c r="H166" s="347">
        <f aca="true" t="shared" si="24" ref="H166:H229">H165+G166</f>
        <v>0</v>
      </c>
      <c r="I166" s="347">
        <f aca="true" t="shared" si="25" ref="I166:I229">IF(I165-($C$24-J166)&lt;=1,0,I165-($C$24-J166))</f>
        <v>0</v>
      </c>
      <c r="J166" s="347">
        <f aca="true" t="shared" si="26" ref="J166:J229">I165*($C$13/$C$15)</f>
        <v>0</v>
      </c>
      <c r="K166"/>
      <c r="L166"/>
      <c r="M166"/>
      <c r="N166"/>
      <c r="O166"/>
      <c r="P166"/>
      <c r="Q166"/>
      <c r="R166"/>
      <c r="S166"/>
      <c r="T166"/>
      <c r="U166"/>
      <c r="V166"/>
      <c r="W166"/>
      <c r="X166"/>
      <c r="Y166"/>
      <c r="Z166"/>
      <c r="AA166"/>
      <c r="AB166"/>
      <c r="AC166"/>
    </row>
    <row r="167" spans="1:29" ht="15.75">
      <c r="A167" s="28"/>
      <c r="B167" s="346">
        <f t="shared" si="18"/>
        <v>131</v>
      </c>
      <c r="C167" s="347">
        <f t="shared" si="19"/>
        <v>0</v>
      </c>
      <c r="D167" s="347">
        <f t="shared" si="20"/>
        <v>0</v>
      </c>
      <c r="E167" s="347">
        <f t="shared" si="21"/>
        <v>0</v>
      </c>
      <c r="F167" s="347">
        <f t="shared" si="22"/>
        <v>0</v>
      </c>
      <c r="G167" s="347">
        <f t="shared" si="23"/>
        <v>0</v>
      </c>
      <c r="H167" s="347">
        <f t="shared" si="24"/>
        <v>0</v>
      </c>
      <c r="I167" s="347">
        <f t="shared" si="25"/>
        <v>0</v>
      </c>
      <c r="J167" s="347">
        <f t="shared" si="26"/>
        <v>0</v>
      </c>
      <c r="K167"/>
      <c r="L167"/>
      <c r="M167"/>
      <c r="N167"/>
      <c r="O167"/>
      <c r="P167"/>
      <c r="Q167"/>
      <c r="R167"/>
      <c r="S167"/>
      <c r="T167"/>
      <c r="U167"/>
      <c r="V167"/>
      <c r="W167"/>
      <c r="X167"/>
      <c r="Y167"/>
      <c r="Z167"/>
      <c r="AA167"/>
      <c r="AB167"/>
      <c r="AC167"/>
    </row>
    <row r="168" spans="1:29" ht="15.75">
      <c r="A168" s="28"/>
      <c r="B168" s="346">
        <f t="shared" si="18"/>
        <v>132</v>
      </c>
      <c r="C168" s="347">
        <f t="shared" si="19"/>
        <v>0</v>
      </c>
      <c r="D168" s="347">
        <f t="shared" si="20"/>
        <v>0</v>
      </c>
      <c r="E168" s="347">
        <f t="shared" si="21"/>
        <v>0</v>
      </c>
      <c r="F168" s="347">
        <f t="shared" si="22"/>
        <v>0</v>
      </c>
      <c r="G168" s="347">
        <f t="shared" si="23"/>
        <v>0</v>
      </c>
      <c r="H168" s="347">
        <f t="shared" si="24"/>
        <v>0</v>
      </c>
      <c r="I168" s="347">
        <f t="shared" si="25"/>
        <v>0</v>
      </c>
      <c r="J168" s="347">
        <f t="shared" si="26"/>
        <v>0</v>
      </c>
      <c r="K168"/>
      <c r="L168"/>
      <c r="M168"/>
      <c r="N168"/>
      <c r="O168"/>
      <c r="P168"/>
      <c r="Q168"/>
      <c r="R168"/>
      <c r="S168"/>
      <c r="T168"/>
      <c r="U168"/>
      <c r="V168"/>
      <c r="W168"/>
      <c r="X168"/>
      <c r="Y168"/>
      <c r="Z168"/>
      <c r="AA168"/>
      <c r="AB168"/>
      <c r="AC168"/>
    </row>
    <row r="169" spans="1:29" ht="15.75">
      <c r="A169" s="28"/>
      <c r="B169" s="346">
        <f t="shared" si="18"/>
        <v>133</v>
      </c>
      <c r="C169" s="347">
        <f t="shared" si="19"/>
        <v>0</v>
      </c>
      <c r="D169" s="347">
        <f t="shared" si="20"/>
        <v>0</v>
      </c>
      <c r="E169" s="347">
        <f t="shared" si="21"/>
        <v>0</v>
      </c>
      <c r="F169" s="347">
        <f t="shared" si="22"/>
        <v>0</v>
      </c>
      <c r="G169" s="347">
        <f t="shared" si="23"/>
        <v>0</v>
      </c>
      <c r="H169" s="347">
        <f t="shared" si="24"/>
        <v>0</v>
      </c>
      <c r="I169" s="347">
        <f t="shared" si="25"/>
        <v>0</v>
      </c>
      <c r="J169" s="347">
        <f t="shared" si="26"/>
        <v>0</v>
      </c>
      <c r="K169"/>
      <c r="L169"/>
      <c r="M169"/>
      <c r="N169"/>
      <c r="O169"/>
      <c r="P169"/>
      <c r="Q169"/>
      <c r="R169"/>
      <c r="S169"/>
      <c r="T169"/>
      <c r="U169"/>
      <c r="V169"/>
      <c r="W169"/>
      <c r="X169"/>
      <c r="Y169"/>
      <c r="Z169"/>
      <c r="AA169"/>
      <c r="AB169"/>
      <c r="AC169"/>
    </row>
    <row r="170" spans="1:29" ht="15.75">
      <c r="A170" s="28"/>
      <c r="B170" s="346">
        <f t="shared" si="18"/>
        <v>134</v>
      </c>
      <c r="C170" s="347">
        <f t="shared" si="19"/>
        <v>0</v>
      </c>
      <c r="D170" s="347">
        <f t="shared" si="20"/>
        <v>0</v>
      </c>
      <c r="E170" s="347">
        <f t="shared" si="21"/>
        <v>0</v>
      </c>
      <c r="F170" s="347">
        <f t="shared" si="22"/>
        <v>0</v>
      </c>
      <c r="G170" s="347">
        <f t="shared" si="23"/>
        <v>0</v>
      </c>
      <c r="H170" s="347">
        <f t="shared" si="24"/>
        <v>0</v>
      </c>
      <c r="I170" s="347">
        <f t="shared" si="25"/>
        <v>0</v>
      </c>
      <c r="J170" s="347">
        <f t="shared" si="26"/>
        <v>0</v>
      </c>
      <c r="K170"/>
      <c r="L170"/>
      <c r="M170"/>
      <c r="N170"/>
      <c r="O170"/>
      <c r="P170"/>
      <c r="Q170"/>
      <c r="R170"/>
      <c r="S170"/>
      <c r="T170"/>
      <c r="U170"/>
      <c r="V170"/>
      <c r="W170"/>
      <c r="X170"/>
      <c r="Y170"/>
      <c r="Z170"/>
      <c r="AA170"/>
      <c r="AB170"/>
      <c r="AC170"/>
    </row>
    <row r="171" spans="1:29" ht="15.75">
      <c r="A171" s="28"/>
      <c r="B171" s="346">
        <f t="shared" si="18"/>
        <v>135</v>
      </c>
      <c r="C171" s="347">
        <f t="shared" si="19"/>
        <v>0</v>
      </c>
      <c r="D171" s="347">
        <f t="shared" si="20"/>
        <v>0</v>
      </c>
      <c r="E171" s="347">
        <f t="shared" si="21"/>
        <v>0</v>
      </c>
      <c r="F171" s="347">
        <f t="shared" si="22"/>
        <v>0</v>
      </c>
      <c r="G171" s="347">
        <f t="shared" si="23"/>
        <v>0</v>
      </c>
      <c r="H171" s="347">
        <f t="shared" si="24"/>
        <v>0</v>
      </c>
      <c r="I171" s="347">
        <f t="shared" si="25"/>
        <v>0</v>
      </c>
      <c r="J171" s="347">
        <f t="shared" si="26"/>
        <v>0</v>
      </c>
      <c r="K171"/>
      <c r="L171"/>
      <c r="M171"/>
      <c r="N171"/>
      <c r="O171"/>
      <c r="P171"/>
      <c r="Q171"/>
      <c r="R171"/>
      <c r="S171"/>
      <c r="T171"/>
      <c r="U171"/>
      <c r="V171"/>
      <c r="W171"/>
      <c r="X171"/>
      <c r="Y171"/>
      <c r="Z171"/>
      <c r="AA171"/>
      <c r="AB171"/>
      <c r="AC171"/>
    </row>
    <row r="172" spans="1:29" ht="15.75">
      <c r="A172" s="28"/>
      <c r="B172" s="346">
        <f t="shared" si="18"/>
        <v>136</v>
      </c>
      <c r="C172" s="347">
        <f t="shared" si="19"/>
        <v>0</v>
      </c>
      <c r="D172" s="347">
        <f t="shared" si="20"/>
        <v>0</v>
      </c>
      <c r="E172" s="347">
        <f t="shared" si="21"/>
        <v>0</v>
      </c>
      <c r="F172" s="347">
        <f t="shared" si="22"/>
        <v>0</v>
      </c>
      <c r="G172" s="347">
        <f t="shared" si="23"/>
        <v>0</v>
      </c>
      <c r="H172" s="347">
        <f t="shared" si="24"/>
        <v>0</v>
      </c>
      <c r="I172" s="347">
        <f t="shared" si="25"/>
        <v>0</v>
      </c>
      <c r="J172" s="347">
        <f t="shared" si="26"/>
        <v>0</v>
      </c>
      <c r="K172"/>
      <c r="L172"/>
      <c r="M172"/>
      <c r="N172"/>
      <c r="O172"/>
      <c r="P172"/>
      <c r="Q172"/>
      <c r="R172"/>
      <c r="S172"/>
      <c r="T172"/>
      <c r="U172"/>
      <c r="V172"/>
      <c r="W172"/>
      <c r="X172"/>
      <c r="Y172"/>
      <c r="Z172"/>
      <c r="AA172"/>
      <c r="AB172"/>
      <c r="AC172"/>
    </row>
    <row r="173" spans="1:29" ht="15.75">
      <c r="A173" s="28"/>
      <c r="B173" s="346">
        <f t="shared" si="18"/>
        <v>137</v>
      </c>
      <c r="C173" s="347">
        <f t="shared" si="19"/>
        <v>0</v>
      </c>
      <c r="D173" s="347">
        <f t="shared" si="20"/>
        <v>0</v>
      </c>
      <c r="E173" s="347">
        <f t="shared" si="21"/>
        <v>0</v>
      </c>
      <c r="F173" s="347">
        <f t="shared" si="22"/>
        <v>0</v>
      </c>
      <c r="G173" s="347">
        <f t="shared" si="23"/>
        <v>0</v>
      </c>
      <c r="H173" s="347">
        <f t="shared" si="24"/>
        <v>0</v>
      </c>
      <c r="I173" s="347">
        <f t="shared" si="25"/>
        <v>0</v>
      </c>
      <c r="J173" s="347">
        <f t="shared" si="26"/>
        <v>0</v>
      </c>
      <c r="K173"/>
      <c r="L173"/>
      <c r="M173"/>
      <c r="N173"/>
      <c r="O173"/>
      <c r="P173"/>
      <c r="Q173"/>
      <c r="R173"/>
      <c r="S173"/>
      <c r="T173"/>
      <c r="U173"/>
      <c r="V173"/>
      <c r="W173"/>
      <c r="X173"/>
      <c r="Y173"/>
      <c r="Z173"/>
      <c r="AA173"/>
      <c r="AB173"/>
      <c r="AC173"/>
    </row>
    <row r="174" spans="1:29" ht="15.75">
      <c r="A174" s="28"/>
      <c r="B174" s="346">
        <f t="shared" si="18"/>
        <v>138</v>
      </c>
      <c r="C174" s="347">
        <f t="shared" si="19"/>
        <v>0</v>
      </c>
      <c r="D174" s="347">
        <f t="shared" si="20"/>
        <v>0</v>
      </c>
      <c r="E174" s="347">
        <f t="shared" si="21"/>
        <v>0</v>
      </c>
      <c r="F174" s="347">
        <f t="shared" si="22"/>
        <v>0</v>
      </c>
      <c r="G174" s="347">
        <f t="shared" si="23"/>
        <v>0</v>
      </c>
      <c r="H174" s="347">
        <f t="shared" si="24"/>
        <v>0</v>
      </c>
      <c r="I174" s="347">
        <f t="shared" si="25"/>
        <v>0</v>
      </c>
      <c r="J174" s="347">
        <f t="shared" si="26"/>
        <v>0</v>
      </c>
      <c r="K174"/>
      <c r="L174"/>
      <c r="M174"/>
      <c r="N174"/>
      <c r="O174"/>
      <c r="P174"/>
      <c r="Q174"/>
      <c r="R174"/>
      <c r="S174"/>
      <c r="T174"/>
      <c r="U174"/>
      <c r="V174"/>
      <c r="W174"/>
      <c r="X174"/>
      <c r="Y174"/>
      <c r="Z174"/>
      <c r="AA174"/>
      <c r="AB174"/>
      <c r="AC174"/>
    </row>
    <row r="175" spans="1:29" ht="15.75">
      <c r="A175" s="28"/>
      <c r="B175" s="346">
        <f t="shared" si="18"/>
        <v>139</v>
      </c>
      <c r="C175" s="347">
        <f t="shared" si="19"/>
        <v>0</v>
      </c>
      <c r="D175" s="347">
        <f t="shared" si="20"/>
        <v>0</v>
      </c>
      <c r="E175" s="347">
        <f t="shared" si="21"/>
        <v>0</v>
      </c>
      <c r="F175" s="347">
        <f t="shared" si="22"/>
        <v>0</v>
      </c>
      <c r="G175" s="347">
        <f t="shared" si="23"/>
        <v>0</v>
      </c>
      <c r="H175" s="347">
        <f t="shared" si="24"/>
        <v>0</v>
      </c>
      <c r="I175" s="347">
        <f t="shared" si="25"/>
        <v>0</v>
      </c>
      <c r="J175" s="347">
        <f t="shared" si="26"/>
        <v>0</v>
      </c>
      <c r="K175"/>
      <c r="L175"/>
      <c r="M175"/>
      <c r="N175"/>
      <c r="O175"/>
      <c r="P175"/>
      <c r="Q175"/>
      <c r="R175"/>
      <c r="S175"/>
      <c r="T175"/>
      <c r="U175"/>
      <c r="V175"/>
      <c r="W175"/>
      <c r="X175"/>
      <c r="Y175"/>
      <c r="Z175"/>
      <c r="AA175"/>
      <c r="AB175"/>
      <c r="AC175"/>
    </row>
    <row r="176" spans="1:29" ht="15.75">
      <c r="A176" s="28"/>
      <c r="B176" s="346">
        <f t="shared" si="18"/>
        <v>140</v>
      </c>
      <c r="C176" s="347">
        <f t="shared" si="19"/>
        <v>0</v>
      </c>
      <c r="D176" s="347">
        <f t="shared" si="20"/>
        <v>0</v>
      </c>
      <c r="E176" s="347">
        <f t="shared" si="21"/>
        <v>0</v>
      </c>
      <c r="F176" s="347">
        <f t="shared" si="22"/>
        <v>0</v>
      </c>
      <c r="G176" s="347">
        <f t="shared" si="23"/>
        <v>0</v>
      </c>
      <c r="H176" s="347">
        <f t="shared" si="24"/>
        <v>0</v>
      </c>
      <c r="I176" s="347">
        <f t="shared" si="25"/>
        <v>0</v>
      </c>
      <c r="J176" s="347">
        <f t="shared" si="26"/>
        <v>0</v>
      </c>
      <c r="K176"/>
      <c r="L176"/>
      <c r="M176"/>
      <c r="N176"/>
      <c r="O176"/>
      <c r="P176"/>
      <c r="Q176"/>
      <c r="R176"/>
      <c r="S176"/>
      <c r="T176"/>
      <c r="U176"/>
      <c r="V176"/>
      <c r="W176"/>
      <c r="X176"/>
      <c r="Y176"/>
      <c r="Z176"/>
      <c r="AA176"/>
      <c r="AB176"/>
      <c r="AC176"/>
    </row>
    <row r="177" spans="1:29" ht="15.75">
      <c r="A177" s="28"/>
      <c r="B177" s="346">
        <f t="shared" si="18"/>
        <v>141</v>
      </c>
      <c r="C177" s="347">
        <f t="shared" si="19"/>
        <v>0</v>
      </c>
      <c r="D177" s="347">
        <f t="shared" si="20"/>
        <v>0</v>
      </c>
      <c r="E177" s="347">
        <f t="shared" si="21"/>
        <v>0</v>
      </c>
      <c r="F177" s="347">
        <f t="shared" si="22"/>
        <v>0</v>
      </c>
      <c r="G177" s="347">
        <f t="shared" si="23"/>
        <v>0</v>
      </c>
      <c r="H177" s="347">
        <f t="shared" si="24"/>
        <v>0</v>
      </c>
      <c r="I177" s="347">
        <f t="shared" si="25"/>
        <v>0</v>
      </c>
      <c r="J177" s="347">
        <f t="shared" si="26"/>
        <v>0</v>
      </c>
      <c r="K177"/>
      <c r="L177"/>
      <c r="M177"/>
      <c r="N177"/>
      <c r="O177"/>
      <c r="P177"/>
      <c r="Q177"/>
      <c r="R177"/>
      <c r="S177"/>
      <c r="T177"/>
      <c r="U177"/>
      <c r="V177"/>
      <c r="W177"/>
      <c r="X177"/>
      <c r="Y177"/>
      <c r="Z177"/>
      <c r="AA177"/>
      <c r="AB177"/>
      <c r="AC177"/>
    </row>
    <row r="178" spans="1:29" ht="15.75">
      <c r="A178" s="28"/>
      <c r="B178" s="346">
        <f t="shared" si="18"/>
        <v>142</v>
      </c>
      <c r="C178" s="347">
        <f t="shared" si="19"/>
        <v>0</v>
      </c>
      <c r="D178" s="347">
        <f t="shared" si="20"/>
        <v>0</v>
      </c>
      <c r="E178" s="347">
        <f t="shared" si="21"/>
        <v>0</v>
      </c>
      <c r="F178" s="347">
        <f t="shared" si="22"/>
        <v>0</v>
      </c>
      <c r="G178" s="347">
        <f t="shared" si="23"/>
        <v>0</v>
      </c>
      <c r="H178" s="347">
        <f t="shared" si="24"/>
        <v>0</v>
      </c>
      <c r="I178" s="347">
        <f t="shared" si="25"/>
        <v>0</v>
      </c>
      <c r="J178" s="347">
        <f t="shared" si="26"/>
        <v>0</v>
      </c>
      <c r="K178"/>
      <c r="L178"/>
      <c r="M178"/>
      <c r="N178"/>
      <c r="O178"/>
      <c r="P178"/>
      <c r="Q178"/>
      <c r="R178"/>
      <c r="S178"/>
      <c r="T178"/>
      <c r="U178"/>
      <c r="V178"/>
      <c r="W178"/>
      <c r="X178"/>
      <c r="Y178"/>
      <c r="Z178"/>
      <c r="AA178"/>
      <c r="AB178"/>
      <c r="AC178"/>
    </row>
    <row r="179" spans="1:29" ht="15.75">
      <c r="A179" s="28"/>
      <c r="B179" s="346">
        <f t="shared" si="18"/>
        <v>143</v>
      </c>
      <c r="C179" s="347">
        <f t="shared" si="19"/>
        <v>0</v>
      </c>
      <c r="D179" s="347">
        <f t="shared" si="20"/>
        <v>0</v>
      </c>
      <c r="E179" s="347">
        <f t="shared" si="21"/>
        <v>0</v>
      </c>
      <c r="F179" s="347">
        <f t="shared" si="22"/>
        <v>0</v>
      </c>
      <c r="G179" s="347">
        <f t="shared" si="23"/>
        <v>0</v>
      </c>
      <c r="H179" s="347">
        <f t="shared" si="24"/>
        <v>0</v>
      </c>
      <c r="I179" s="347">
        <f t="shared" si="25"/>
        <v>0</v>
      </c>
      <c r="J179" s="347">
        <f t="shared" si="26"/>
        <v>0</v>
      </c>
      <c r="K179"/>
      <c r="L179"/>
      <c r="M179"/>
      <c r="N179"/>
      <c r="O179"/>
      <c r="P179"/>
      <c r="Q179"/>
      <c r="R179"/>
      <c r="S179"/>
      <c r="T179"/>
      <c r="U179"/>
      <c r="V179"/>
      <c r="W179"/>
      <c r="X179"/>
      <c r="Y179"/>
      <c r="Z179"/>
      <c r="AA179"/>
      <c r="AB179"/>
      <c r="AC179"/>
    </row>
    <row r="180" spans="1:29" ht="15.75">
      <c r="A180" s="28"/>
      <c r="B180" s="346">
        <f t="shared" si="18"/>
        <v>144</v>
      </c>
      <c r="C180" s="347">
        <f t="shared" si="19"/>
        <v>0</v>
      </c>
      <c r="D180" s="347">
        <f t="shared" si="20"/>
        <v>0</v>
      </c>
      <c r="E180" s="347">
        <f t="shared" si="21"/>
        <v>0</v>
      </c>
      <c r="F180" s="347">
        <f t="shared" si="22"/>
        <v>0</v>
      </c>
      <c r="G180" s="347">
        <f t="shared" si="23"/>
        <v>0</v>
      </c>
      <c r="H180" s="347">
        <f t="shared" si="24"/>
        <v>0</v>
      </c>
      <c r="I180" s="347">
        <f t="shared" si="25"/>
        <v>0</v>
      </c>
      <c r="J180" s="347">
        <f t="shared" si="26"/>
        <v>0</v>
      </c>
      <c r="K180"/>
      <c r="L180"/>
      <c r="M180"/>
      <c r="N180"/>
      <c r="O180"/>
      <c r="P180"/>
      <c r="Q180"/>
      <c r="R180"/>
      <c r="S180"/>
      <c r="T180"/>
      <c r="U180"/>
      <c r="V180"/>
      <c r="W180"/>
      <c r="X180"/>
      <c r="Y180"/>
      <c r="Z180"/>
      <c r="AA180"/>
      <c r="AB180"/>
      <c r="AC180"/>
    </row>
    <row r="181" spans="1:29" ht="15.75">
      <c r="A181" s="28"/>
      <c r="B181" s="346">
        <f t="shared" si="18"/>
        <v>145</v>
      </c>
      <c r="C181" s="347">
        <f t="shared" si="19"/>
        <v>0</v>
      </c>
      <c r="D181" s="347">
        <f t="shared" si="20"/>
        <v>0</v>
      </c>
      <c r="E181" s="347">
        <f t="shared" si="21"/>
        <v>0</v>
      </c>
      <c r="F181" s="347">
        <f t="shared" si="22"/>
        <v>0</v>
      </c>
      <c r="G181" s="347">
        <f t="shared" si="23"/>
        <v>0</v>
      </c>
      <c r="H181" s="347">
        <f t="shared" si="24"/>
        <v>0</v>
      </c>
      <c r="I181" s="347">
        <f t="shared" si="25"/>
        <v>0</v>
      </c>
      <c r="J181" s="347">
        <f t="shared" si="26"/>
        <v>0</v>
      </c>
      <c r="K181"/>
      <c r="L181"/>
      <c r="M181"/>
      <c r="N181"/>
      <c r="O181"/>
      <c r="P181"/>
      <c r="Q181"/>
      <c r="R181"/>
      <c r="S181"/>
      <c r="T181"/>
      <c r="U181"/>
      <c r="V181"/>
      <c r="W181"/>
      <c r="X181"/>
      <c r="Y181"/>
      <c r="Z181"/>
      <c r="AA181"/>
      <c r="AB181"/>
      <c r="AC181"/>
    </row>
    <row r="182" spans="1:29" ht="15.75">
      <c r="A182" s="28"/>
      <c r="B182" s="346">
        <f t="shared" si="18"/>
        <v>146</v>
      </c>
      <c r="C182" s="347">
        <f t="shared" si="19"/>
        <v>0</v>
      </c>
      <c r="D182" s="347">
        <f t="shared" si="20"/>
        <v>0</v>
      </c>
      <c r="E182" s="347">
        <f t="shared" si="21"/>
        <v>0</v>
      </c>
      <c r="F182" s="347">
        <f t="shared" si="22"/>
        <v>0</v>
      </c>
      <c r="G182" s="347">
        <f t="shared" si="23"/>
        <v>0</v>
      </c>
      <c r="H182" s="347">
        <f t="shared" si="24"/>
        <v>0</v>
      </c>
      <c r="I182" s="347">
        <f t="shared" si="25"/>
        <v>0</v>
      </c>
      <c r="J182" s="347">
        <f t="shared" si="26"/>
        <v>0</v>
      </c>
      <c r="K182"/>
      <c r="L182"/>
      <c r="M182"/>
      <c r="N182"/>
      <c r="O182"/>
      <c r="P182"/>
      <c r="Q182"/>
      <c r="R182"/>
      <c r="S182"/>
      <c r="T182"/>
      <c r="U182"/>
      <c r="V182"/>
      <c r="W182"/>
      <c r="X182"/>
      <c r="Y182"/>
      <c r="Z182"/>
      <c r="AA182"/>
      <c r="AB182"/>
      <c r="AC182"/>
    </row>
    <row r="183" spans="1:29" ht="15.75">
      <c r="A183" s="28"/>
      <c r="B183" s="346">
        <f t="shared" si="18"/>
        <v>147</v>
      </c>
      <c r="C183" s="347">
        <f t="shared" si="19"/>
        <v>0</v>
      </c>
      <c r="D183" s="347">
        <f t="shared" si="20"/>
        <v>0</v>
      </c>
      <c r="E183" s="347">
        <f t="shared" si="21"/>
        <v>0</v>
      </c>
      <c r="F183" s="347">
        <f t="shared" si="22"/>
        <v>0</v>
      </c>
      <c r="G183" s="347">
        <f t="shared" si="23"/>
        <v>0</v>
      </c>
      <c r="H183" s="347">
        <f t="shared" si="24"/>
        <v>0</v>
      </c>
      <c r="I183" s="347">
        <f t="shared" si="25"/>
        <v>0</v>
      </c>
      <c r="J183" s="347">
        <f t="shared" si="26"/>
        <v>0</v>
      </c>
      <c r="K183"/>
      <c r="L183"/>
      <c r="M183"/>
      <c r="N183"/>
      <c r="O183"/>
      <c r="P183"/>
      <c r="Q183"/>
      <c r="R183"/>
      <c r="S183"/>
      <c r="T183"/>
      <c r="U183"/>
      <c r="V183"/>
      <c r="W183"/>
      <c r="X183"/>
      <c r="Y183"/>
      <c r="Z183"/>
      <c r="AA183"/>
      <c r="AB183"/>
      <c r="AC183"/>
    </row>
    <row r="184" spans="1:29" ht="15.75">
      <c r="A184" s="28"/>
      <c r="B184" s="346">
        <f t="shared" si="18"/>
        <v>148</v>
      </c>
      <c r="C184" s="347">
        <f t="shared" si="19"/>
        <v>0</v>
      </c>
      <c r="D184" s="347">
        <f t="shared" si="20"/>
        <v>0</v>
      </c>
      <c r="E184" s="347">
        <f t="shared" si="21"/>
        <v>0</v>
      </c>
      <c r="F184" s="347">
        <f t="shared" si="22"/>
        <v>0</v>
      </c>
      <c r="G184" s="347">
        <f t="shared" si="23"/>
        <v>0</v>
      </c>
      <c r="H184" s="347">
        <f t="shared" si="24"/>
        <v>0</v>
      </c>
      <c r="I184" s="347">
        <f t="shared" si="25"/>
        <v>0</v>
      </c>
      <c r="J184" s="347">
        <f t="shared" si="26"/>
        <v>0</v>
      </c>
      <c r="K184"/>
      <c r="L184"/>
      <c r="M184"/>
      <c r="N184"/>
      <c r="O184"/>
      <c r="P184"/>
      <c r="Q184"/>
      <c r="R184"/>
      <c r="S184"/>
      <c r="T184"/>
      <c r="U184"/>
      <c r="V184"/>
      <c r="W184"/>
      <c r="X184"/>
      <c r="Y184"/>
      <c r="Z184"/>
      <c r="AA184"/>
      <c r="AB184"/>
      <c r="AC184"/>
    </row>
    <row r="185" spans="1:29" ht="15.75">
      <c r="A185" s="28"/>
      <c r="B185" s="346">
        <f t="shared" si="18"/>
        <v>149</v>
      </c>
      <c r="C185" s="347">
        <f t="shared" si="19"/>
        <v>0</v>
      </c>
      <c r="D185" s="347">
        <f t="shared" si="20"/>
        <v>0</v>
      </c>
      <c r="E185" s="347">
        <f t="shared" si="21"/>
        <v>0</v>
      </c>
      <c r="F185" s="347">
        <f t="shared" si="22"/>
        <v>0</v>
      </c>
      <c r="G185" s="347">
        <f t="shared" si="23"/>
        <v>0</v>
      </c>
      <c r="H185" s="347">
        <f t="shared" si="24"/>
        <v>0</v>
      </c>
      <c r="I185" s="347">
        <f t="shared" si="25"/>
        <v>0</v>
      </c>
      <c r="J185" s="347">
        <f t="shared" si="26"/>
        <v>0</v>
      </c>
      <c r="K185"/>
      <c r="L185"/>
      <c r="M185"/>
      <c r="N185"/>
      <c r="O185"/>
      <c r="P185"/>
      <c r="Q185"/>
      <c r="R185"/>
      <c r="S185"/>
      <c r="T185"/>
      <c r="U185"/>
      <c r="V185"/>
      <c r="W185"/>
      <c r="X185"/>
      <c r="Y185"/>
      <c r="Z185"/>
      <c r="AA185"/>
      <c r="AB185"/>
      <c r="AC185"/>
    </row>
    <row r="186" spans="1:29" ht="15.75">
      <c r="A186" s="28"/>
      <c r="B186" s="346">
        <f t="shared" si="18"/>
        <v>150</v>
      </c>
      <c r="C186" s="347">
        <f t="shared" si="19"/>
        <v>0</v>
      </c>
      <c r="D186" s="347">
        <f t="shared" si="20"/>
        <v>0</v>
      </c>
      <c r="E186" s="347">
        <f t="shared" si="21"/>
        <v>0</v>
      </c>
      <c r="F186" s="347">
        <f t="shared" si="22"/>
        <v>0</v>
      </c>
      <c r="G186" s="347">
        <f t="shared" si="23"/>
        <v>0</v>
      </c>
      <c r="H186" s="347">
        <f t="shared" si="24"/>
        <v>0</v>
      </c>
      <c r="I186" s="347">
        <f t="shared" si="25"/>
        <v>0</v>
      </c>
      <c r="J186" s="347">
        <f t="shared" si="26"/>
        <v>0</v>
      </c>
      <c r="K186"/>
      <c r="L186"/>
      <c r="M186"/>
      <c r="N186"/>
      <c r="O186"/>
      <c r="P186"/>
      <c r="Q186"/>
      <c r="R186"/>
      <c r="S186"/>
      <c r="T186"/>
      <c r="U186"/>
      <c r="V186"/>
      <c r="W186"/>
      <c r="X186"/>
      <c r="Y186"/>
      <c r="Z186"/>
      <c r="AA186"/>
      <c r="AB186"/>
      <c r="AC186"/>
    </row>
    <row r="187" spans="1:29" ht="15.75">
      <c r="A187" s="28"/>
      <c r="B187" s="346">
        <f t="shared" si="18"/>
        <v>151</v>
      </c>
      <c r="C187" s="347">
        <f t="shared" si="19"/>
        <v>0</v>
      </c>
      <c r="D187" s="347">
        <f t="shared" si="20"/>
        <v>0</v>
      </c>
      <c r="E187" s="347">
        <f t="shared" si="21"/>
        <v>0</v>
      </c>
      <c r="F187" s="347">
        <f t="shared" si="22"/>
        <v>0</v>
      </c>
      <c r="G187" s="347">
        <f t="shared" si="23"/>
        <v>0</v>
      </c>
      <c r="H187" s="347">
        <f t="shared" si="24"/>
        <v>0</v>
      </c>
      <c r="I187" s="347">
        <f t="shared" si="25"/>
        <v>0</v>
      </c>
      <c r="J187" s="347">
        <f t="shared" si="26"/>
        <v>0</v>
      </c>
      <c r="K187"/>
      <c r="L187"/>
      <c r="M187"/>
      <c r="N187"/>
      <c r="O187"/>
      <c r="P187"/>
      <c r="Q187"/>
      <c r="R187"/>
      <c r="S187"/>
      <c r="T187"/>
      <c r="U187"/>
      <c r="V187"/>
      <c r="W187"/>
      <c r="X187"/>
      <c r="Y187"/>
      <c r="Z187"/>
      <c r="AA187"/>
      <c r="AB187"/>
      <c r="AC187"/>
    </row>
    <row r="188" spans="1:29" ht="15.75">
      <c r="A188" s="28"/>
      <c r="B188" s="346">
        <f t="shared" si="18"/>
        <v>152</v>
      </c>
      <c r="C188" s="347">
        <f t="shared" si="19"/>
        <v>0</v>
      </c>
      <c r="D188" s="347">
        <f t="shared" si="20"/>
        <v>0</v>
      </c>
      <c r="E188" s="347">
        <f t="shared" si="21"/>
        <v>0</v>
      </c>
      <c r="F188" s="347">
        <f t="shared" si="22"/>
        <v>0</v>
      </c>
      <c r="G188" s="347">
        <f t="shared" si="23"/>
        <v>0</v>
      </c>
      <c r="H188" s="347">
        <f t="shared" si="24"/>
        <v>0</v>
      </c>
      <c r="I188" s="347">
        <f t="shared" si="25"/>
        <v>0</v>
      </c>
      <c r="J188" s="347">
        <f t="shared" si="26"/>
        <v>0</v>
      </c>
      <c r="K188"/>
      <c r="L188"/>
      <c r="M188"/>
      <c r="N188"/>
      <c r="O188"/>
      <c r="P188"/>
      <c r="Q188"/>
      <c r="R188"/>
      <c r="S188"/>
      <c r="T188"/>
      <c r="U188"/>
      <c r="V188"/>
      <c r="W188"/>
      <c r="X188"/>
      <c r="Y188"/>
      <c r="Z188"/>
      <c r="AA188"/>
      <c r="AB188"/>
      <c r="AC188"/>
    </row>
    <row r="189" spans="1:29" ht="15.75">
      <c r="A189" s="28"/>
      <c r="B189" s="346">
        <f t="shared" si="18"/>
        <v>153</v>
      </c>
      <c r="C189" s="347">
        <f t="shared" si="19"/>
        <v>0</v>
      </c>
      <c r="D189" s="347">
        <f t="shared" si="20"/>
        <v>0</v>
      </c>
      <c r="E189" s="347">
        <f t="shared" si="21"/>
        <v>0</v>
      </c>
      <c r="F189" s="347">
        <f t="shared" si="22"/>
        <v>0</v>
      </c>
      <c r="G189" s="347">
        <f t="shared" si="23"/>
        <v>0</v>
      </c>
      <c r="H189" s="347">
        <f t="shared" si="24"/>
        <v>0</v>
      </c>
      <c r="I189" s="347">
        <f t="shared" si="25"/>
        <v>0</v>
      </c>
      <c r="J189" s="347">
        <f t="shared" si="26"/>
        <v>0</v>
      </c>
      <c r="K189"/>
      <c r="L189"/>
      <c r="M189"/>
      <c r="N189"/>
      <c r="O189"/>
      <c r="P189"/>
      <c r="Q189"/>
      <c r="R189"/>
      <c r="S189"/>
      <c r="T189"/>
      <c r="U189"/>
      <c r="V189"/>
      <c r="W189"/>
      <c r="X189"/>
      <c r="Y189"/>
      <c r="Z189"/>
      <c r="AA189"/>
      <c r="AB189"/>
      <c r="AC189"/>
    </row>
    <row r="190" spans="1:29" ht="15.75">
      <c r="A190" s="28"/>
      <c r="B190" s="346">
        <f t="shared" si="18"/>
        <v>154</v>
      </c>
      <c r="C190" s="347">
        <f t="shared" si="19"/>
        <v>0</v>
      </c>
      <c r="D190" s="347">
        <f t="shared" si="20"/>
        <v>0</v>
      </c>
      <c r="E190" s="347">
        <f t="shared" si="21"/>
        <v>0</v>
      </c>
      <c r="F190" s="347">
        <f t="shared" si="22"/>
        <v>0</v>
      </c>
      <c r="G190" s="347">
        <f t="shared" si="23"/>
        <v>0</v>
      </c>
      <c r="H190" s="347">
        <f t="shared" si="24"/>
        <v>0</v>
      </c>
      <c r="I190" s="347">
        <f t="shared" si="25"/>
        <v>0</v>
      </c>
      <c r="J190" s="347">
        <f t="shared" si="26"/>
        <v>0</v>
      </c>
      <c r="K190"/>
      <c r="L190"/>
      <c r="M190"/>
      <c r="N190"/>
      <c r="O190"/>
      <c r="P190"/>
      <c r="Q190"/>
      <c r="R190"/>
      <c r="S190"/>
      <c r="T190"/>
      <c r="U190"/>
      <c r="V190"/>
      <c r="W190"/>
      <c r="X190"/>
      <c r="Y190"/>
      <c r="Z190"/>
      <c r="AA190"/>
      <c r="AB190"/>
      <c r="AC190"/>
    </row>
    <row r="191" spans="1:29" ht="15.75">
      <c r="A191" s="28"/>
      <c r="B191" s="346">
        <f t="shared" si="18"/>
        <v>155</v>
      </c>
      <c r="C191" s="347">
        <f t="shared" si="19"/>
        <v>0</v>
      </c>
      <c r="D191" s="347">
        <f t="shared" si="20"/>
        <v>0</v>
      </c>
      <c r="E191" s="347">
        <f t="shared" si="21"/>
        <v>0</v>
      </c>
      <c r="F191" s="347">
        <f t="shared" si="22"/>
        <v>0</v>
      </c>
      <c r="G191" s="347">
        <f t="shared" si="23"/>
        <v>0</v>
      </c>
      <c r="H191" s="347">
        <f t="shared" si="24"/>
        <v>0</v>
      </c>
      <c r="I191" s="347">
        <f t="shared" si="25"/>
        <v>0</v>
      </c>
      <c r="J191" s="347">
        <f t="shared" si="26"/>
        <v>0</v>
      </c>
      <c r="K191"/>
      <c r="L191"/>
      <c r="M191"/>
      <c r="N191"/>
      <c r="O191"/>
      <c r="P191"/>
      <c r="Q191"/>
      <c r="R191"/>
      <c r="S191"/>
      <c r="T191"/>
      <c r="U191"/>
      <c r="V191"/>
      <c r="W191"/>
      <c r="X191"/>
      <c r="Y191"/>
      <c r="Z191"/>
      <c r="AA191"/>
      <c r="AB191"/>
      <c r="AC191"/>
    </row>
    <row r="192" spans="1:29" ht="15.75">
      <c r="A192" s="28"/>
      <c r="B192" s="346">
        <f t="shared" si="18"/>
        <v>156</v>
      </c>
      <c r="C192" s="347">
        <f t="shared" si="19"/>
        <v>0</v>
      </c>
      <c r="D192" s="347">
        <f t="shared" si="20"/>
        <v>0</v>
      </c>
      <c r="E192" s="347">
        <f t="shared" si="21"/>
        <v>0</v>
      </c>
      <c r="F192" s="347">
        <f t="shared" si="22"/>
        <v>0</v>
      </c>
      <c r="G192" s="347">
        <f t="shared" si="23"/>
        <v>0</v>
      </c>
      <c r="H192" s="347">
        <f t="shared" si="24"/>
        <v>0</v>
      </c>
      <c r="I192" s="347">
        <f t="shared" si="25"/>
        <v>0</v>
      </c>
      <c r="J192" s="347">
        <f t="shared" si="26"/>
        <v>0</v>
      </c>
      <c r="K192"/>
      <c r="L192"/>
      <c r="M192"/>
      <c r="N192"/>
      <c r="O192"/>
      <c r="P192"/>
      <c r="Q192"/>
      <c r="R192"/>
      <c r="S192"/>
      <c r="T192"/>
      <c r="U192"/>
      <c r="V192"/>
      <c r="W192"/>
      <c r="X192"/>
      <c r="Y192"/>
      <c r="Z192"/>
      <c r="AA192"/>
      <c r="AB192"/>
      <c r="AC192"/>
    </row>
    <row r="193" spans="1:29" ht="15.75">
      <c r="A193" s="28"/>
      <c r="B193" s="346">
        <f t="shared" si="18"/>
        <v>157</v>
      </c>
      <c r="C193" s="347">
        <f t="shared" si="19"/>
        <v>0</v>
      </c>
      <c r="D193" s="347">
        <f t="shared" si="20"/>
        <v>0</v>
      </c>
      <c r="E193" s="347">
        <f t="shared" si="21"/>
        <v>0</v>
      </c>
      <c r="F193" s="347">
        <f t="shared" si="22"/>
        <v>0</v>
      </c>
      <c r="G193" s="347">
        <f t="shared" si="23"/>
        <v>0</v>
      </c>
      <c r="H193" s="347">
        <f t="shared" si="24"/>
        <v>0</v>
      </c>
      <c r="I193" s="347">
        <f t="shared" si="25"/>
        <v>0</v>
      </c>
      <c r="J193" s="347">
        <f t="shared" si="26"/>
        <v>0</v>
      </c>
      <c r="K193"/>
      <c r="L193"/>
      <c r="M193"/>
      <c r="N193"/>
      <c r="O193"/>
      <c r="P193"/>
      <c r="Q193"/>
      <c r="R193"/>
      <c r="S193"/>
      <c r="T193"/>
      <c r="U193"/>
      <c r="V193"/>
      <c r="W193"/>
      <c r="X193"/>
      <c r="Y193"/>
      <c r="Z193"/>
      <c r="AA193"/>
      <c r="AB193"/>
      <c r="AC193"/>
    </row>
    <row r="194" spans="1:29" ht="15.75">
      <c r="A194" s="28"/>
      <c r="B194" s="346">
        <f t="shared" si="18"/>
        <v>158</v>
      </c>
      <c r="C194" s="347">
        <f t="shared" si="19"/>
        <v>0</v>
      </c>
      <c r="D194" s="347">
        <f t="shared" si="20"/>
        <v>0</v>
      </c>
      <c r="E194" s="347">
        <f t="shared" si="21"/>
        <v>0</v>
      </c>
      <c r="F194" s="347">
        <f t="shared" si="22"/>
        <v>0</v>
      </c>
      <c r="G194" s="347">
        <f t="shared" si="23"/>
        <v>0</v>
      </c>
      <c r="H194" s="347">
        <f t="shared" si="24"/>
        <v>0</v>
      </c>
      <c r="I194" s="347">
        <f t="shared" si="25"/>
        <v>0</v>
      </c>
      <c r="J194" s="347">
        <f t="shared" si="26"/>
        <v>0</v>
      </c>
      <c r="K194"/>
      <c r="L194"/>
      <c r="M194"/>
      <c r="N194"/>
      <c r="O194"/>
      <c r="P194"/>
      <c r="Q194"/>
      <c r="R194"/>
      <c r="S194"/>
      <c r="T194"/>
      <c r="U194"/>
      <c r="V194"/>
      <c r="W194"/>
      <c r="X194"/>
      <c r="Y194"/>
      <c r="Z194"/>
      <c r="AA194"/>
      <c r="AB194"/>
      <c r="AC194"/>
    </row>
    <row r="195" spans="1:29" ht="15.75">
      <c r="A195" s="28"/>
      <c r="B195" s="346">
        <f t="shared" si="18"/>
        <v>159</v>
      </c>
      <c r="C195" s="347">
        <f t="shared" si="19"/>
        <v>0</v>
      </c>
      <c r="D195" s="347">
        <f t="shared" si="20"/>
        <v>0</v>
      </c>
      <c r="E195" s="347">
        <f t="shared" si="21"/>
        <v>0</v>
      </c>
      <c r="F195" s="347">
        <f t="shared" si="22"/>
        <v>0</v>
      </c>
      <c r="G195" s="347">
        <f t="shared" si="23"/>
        <v>0</v>
      </c>
      <c r="H195" s="347">
        <f t="shared" si="24"/>
        <v>0</v>
      </c>
      <c r="I195" s="347">
        <f t="shared" si="25"/>
        <v>0</v>
      </c>
      <c r="J195" s="347">
        <f t="shared" si="26"/>
        <v>0</v>
      </c>
      <c r="K195"/>
      <c r="L195"/>
      <c r="M195"/>
      <c r="N195"/>
      <c r="O195"/>
      <c r="P195"/>
      <c r="Q195"/>
      <c r="R195"/>
      <c r="S195"/>
      <c r="T195"/>
      <c r="U195"/>
      <c r="V195"/>
      <c r="W195"/>
      <c r="X195"/>
      <c r="Y195"/>
      <c r="Z195"/>
      <c r="AA195"/>
      <c r="AB195"/>
      <c r="AC195"/>
    </row>
    <row r="196" spans="1:29" ht="15.75">
      <c r="A196" s="28"/>
      <c r="B196" s="346">
        <f t="shared" si="18"/>
        <v>160</v>
      </c>
      <c r="C196" s="347">
        <f t="shared" si="19"/>
        <v>0</v>
      </c>
      <c r="D196" s="347">
        <f t="shared" si="20"/>
        <v>0</v>
      </c>
      <c r="E196" s="347">
        <f t="shared" si="21"/>
        <v>0</v>
      </c>
      <c r="F196" s="347">
        <f t="shared" si="22"/>
        <v>0</v>
      </c>
      <c r="G196" s="347">
        <f t="shared" si="23"/>
        <v>0</v>
      </c>
      <c r="H196" s="347">
        <f t="shared" si="24"/>
        <v>0</v>
      </c>
      <c r="I196" s="347">
        <f t="shared" si="25"/>
        <v>0</v>
      </c>
      <c r="J196" s="347">
        <f t="shared" si="26"/>
        <v>0</v>
      </c>
      <c r="K196"/>
      <c r="L196"/>
      <c r="M196"/>
      <c r="N196"/>
      <c r="O196"/>
      <c r="P196"/>
      <c r="Q196"/>
      <c r="R196"/>
      <c r="S196"/>
      <c r="T196"/>
      <c r="U196"/>
      <c r="V196"/>
      <c r="W196"/>
      <c r="X196"/>
      <c r="Y196"/>
      <c r="Z196"/>
      <c r="AA196"/>
      <c r="AB196"/>
      <c r="AC196"/>
    </row>
    <row r="197" spans="1:29" ht="15.75">
      <c r="A197" s="28"/>
      <c r="B197" s="346">
        <f t="shared" si="18"/>
        <v>161</v>
      </c>
      <c r="C197" s="347">
        <f t="shared" si="19"/>
        <v>0</v>
      </c>
      <c r="D197" s="347">
        <f t="shared" si="20"/>
        <v>0</v>
      </c>
      <c r="E197" s="347">
        <f t="shared" si="21"/>
        <v>0</v>
      </c>
      <c r="F197" s="347">
        <f t="shared" si="22"/>
        <v>0</v>
      </c>
      <c r="G197" s="347">
        <f t="shared" si="23"/>
        <v>0</v>
      </c>
      <c r="H197" s="347">
        <f t="shared" si="24"/>
        <v>0</v>
      </c>
      <c r="I197" s="347">
        <f t="shared" si="25"/>
        <v>0</v>
      </c>
      <c r="J197" s="347">
        <f t="shared" si="26"/>
        <v>0</v>
      </c>
      <c r="K197"/>
      <c r="L197"/>
      <c r="M197"/>
      <c r="N197"/>
      <c r="O197"/>
      <c r="P197"/>
      <c r="Q197"/>
      <c r="R197"/>
      <c r="S197"/>
      <c r="T197"/>
      <c r="U197"/>
      <c r="V197"/>
      <c r="W197"/>
      <c r="X197"/>
      <c r="Y197"/>
      <c r="Z197"/>
      <c r="AA197"/>
      <c r="AB197"/>
      <c r="AC197"/>
    </row>
    <row r="198" spans="1:29" ht="15.75">
      <c r="A198" s="28"/>
      <c r="B198" s="346">
        <f t="shared" si="18"/>
        <v>162</v>
      </c>
      <c r="C198" s="347">
        <f t="shared" si="19"/>
        <v>0</v>
      </c>
      <c r="D198" s="347">
        <f t="shared" si="20"/>
        <v>0</v>
      </c>
      <c r="E198" s="347">
        <f t="shared" si="21"/>
        <v>0</v>
      </c>
      <c r="F198" s="347">
        <f t="shared" si="22"/>
        <v>0</v>
      </c>
      <c r="G198" s="347">
        <f t="shared" si="23"/>
        <v>0</v>
      </c>
      <c r="H198" s="347">
        <f t="shared" si="24"/>
        <v>0</v>
      </c>
      <c r="I198" s="347">
        <f t="shared" si="25"/>
        <v>0</v>
      </c>
      <c r="J198" s="347">
        <f t="shared" si="26"/>
        <v>0</v>
      </c>
      <c r="K198"/>
      <c r="L198"/>
      <c r="M198"/>
      <c r="N198"/>
      <c r="O198"/>
      <c r="P198"/>
      <c r="Q198"/>
      <c r="R198"/>
      <c r="S198"/>
      <c r="T198"/>
      <c r="U198"/>
      <c r="V198"/>
      <c r="W198"/>
      <c r="X198"/>
      <c r="Y198"/>
      <c r="Z198"/>
      <c r="AA198"/>
      <c r="AB198"/>
      <c r="AC198"/>
    </row>
    <row r="199" spans="1:29" ht="15.75">
      <c r="A199" s="28"/>
      <c r="B199" s="346">
        <f t="shared" si="18"/>
        <v>163</v>
      </c>
      <c r="C199" s="347">
        <f t="shared" si="19"/>
        <v>0</v>
      </c>
      <c r="D199" s="347">
        <f t="shared" si="20"/>
        <v>0</v>
      </c>
      <c r="E199" s="347">
        <f t="shared" si="21"/>
        <v>0</v>
      </c>
      <c r="F199" s="347">
        <f t="shared" si="22"/>
        <v>0</v>
      </c>
      <c r="G199" s="347">
        <f t="shared" si="23"/>
        <v>0</v>
      </c>
      <c r="H199" s="347">
        <f t="shared" si="24"/>
        <v>0</v>
      </c>
      <c r="I199" s="347">
        <f t="shared" si="25"/>
        <v>0</v>
      </c>
      <c r="J199" s="347">
        <f t="shared" si="26"/>
        <v>0</v>
      </c>
      <c r="K199"/>
      <c r="L199"/>
      <c r="M199"/>
      <c r="N199"/>
      <c r="O199"/>
      <c r="P199"/>
      <c r="Q199"/>
      <c r="R199"/>
      <c r="S199"/>
      <c r="T199"/>
      <c r="U199"/>
      <c r="V199"/>
      <c r="W199"/>
      <c r="X199"/>
      <c r="Y199"/>
      <c r="Z199"/>
      <c r="AA199"/>
      <c r="AB199"/>
      <c r="AC199"/>
    </row>
    <row r="200" spans="1:29" ht="15.75">
      <c r="A200" s="28"/>
      <c r="B200" s="346">
        <f t="shared" si="18"/>
        <v>164</v>
      </c>
      <c r="C200" s="347">
        <f t="shared" si="19"/>
        <v>0</v>
      </c>
      <c r="D200" s="347">
        <f t="shared" si="20"/>
        <v>0</v>
      </c>
      <c r="E200" s="347">
        <f t="shared" si="21"/>
        <v>0</v>
      </c>
      <c r="F200" s="347">
        <f t="shared" si="22"/>
        <v>0</v>
      </c>
      <c r="G200" s="347">
        <f t="shared" si="23"/>
        <v>0</v>
      </c>
      <c r="H200" s="347">
        <f t="shared" si="24"/>
        <v>0</v>
      </c>
      <c r="I200" s="347">
        <f t="shared" si="25"/>
        <v>0</v>
      </c>
      <c r="J200" s="347">
        <f t="shared" si="26"/>
        <v>0</v>
      </c>
      <c r="K200"/>
      <c r="L200"/>
      <c r="M200"/>
      <c r="N200"/>
      <c r="O200"/>
      <c r="P200"/>
      <c r="Q200"/>
      <c r="R200"/>
      <c r="S200"/>
      <c r="T200"/>
      <c r="U200"/>
      <c r="V200"/>
      <c r="W200"/>
      <c r="X200"/>
      <c r="Y200"/>
      <c r="Z200"/>
      <c r="AA200"/>
      <c r="AB200"/>
      <c r="AC200"/>
    </row>
    <row r="201" spans="1:29" ht="15.75">
      <c r="A201" s="28"/>
      <c r="B201" s="346">
        <f t="shared" si="18"/>
        <v>165</v>
      </c>
      <c r="C201" s="347">
        <f t="shared" si="19"/>
        <v>0</v>
      </c>
      <c r="D201" s="347">
        <f t="shared" si="20"/>
        <v>0</v>
      </c>
      <c r="E201" s="347">
        <f t="shared" si="21"/>
        <v>0</v>
      </c>
      <c r="F201" s="347">
        <f t="shared" si="22"/>
        <v>0</v>
      </c>
      <c r="G201" s="347">
        <f t="shared" si="23"/>
        <v>0</v>
      </c>
      <c r="H201" s="347">
        <f t="shared" si="24"/>
        <v>0</v>
      </c>
      <c r="I201" s="347">
        <f t="shared" si="25"/>
        <v>0</v>
      </c>
      <c r="J201" s="347">
        <f t="shared" si="26"/>
        <v>0</v>
      </c>
      <c r="K201"/>
      <c r="L201"/>
      <c r="M201"/>
      <c r="N201"/>
      <c r="O201"/>
      <c r="P201"/>
      <c r="Q201"/>
      <c r="R201"/>
      <c r="S201"/>
      <c r="T201"/>
      <c r="U201"/>
      <c r="V201"/>
      <c r="W201"/>
      <c r="X201"/>
      <c r="Y201"/>
      <c r="Z201"/>
      <c r="AA201"/>
      <c r="AB201"/>
      <c r="AC201"/>
    </row>
    <row r="202" spans="1:29" ht="15.75">
      <c r="A202" s="28"/>
      <c r="B202" s="346">
        <f t="shared" si="18"/>
        <v>166</v>
      </c>
      <c r="C202" s="347">
        <f t="shared" si="19"/>
        <v>0</v>
      </c>
      <c r="D202" s="347">
        <f t="shared" si="20"/>
        <v>0</v>
      </c>
      <c r="E202" s="347">
        <f t="shared" si="21"/>
        <v>0</v>
      </c>
      <c r="F202" s="347">
        <f t="shared" si="22"/>
        <v>0</v>
      </c>
      <c r="G202" s="347">
        <f t="shared" si="23"/>
        <v>0</v>
      </c>
      <c r="H202" s="347">
        <f t="shared" si="24"/>
        <v>0</v>
      </c>
      <c r="I202" s="347">
        <f t="shared" si="25"/>
        <v>0</v>
      </c>
      <c r="J202" s="347">
        <f t="shared" si="26"/>
        <v>0</v>
      </c>
      <c r="K202"/>
      <c r="L202"/>
      <c r="M202"/>
      <c r="N202"/>
      <c r="O202"/>
      <c r="P202"/>
      <c r="Q202"/>
      <c r="R202"/>
      <c r="S202"/>
      <c r="T202"/>
      <c r="U202"/>
      <c r="V202"/>
      <c r="W202"/>
      <c r="X202"/>
      <c r="Y202"/>
      <c r="Z202"/>
      <c r="AA202"/>
      <c r="AB202"/>
      <c r="AC202"/>
    </row>
    <row r="203" spans="1:29" ht="15.75">
      <c r="A203" s="28"/>
      <c r="B203" s="346">
        <f t="shared" si="18"/>
        <v>167</v>
      </c>
      <c r="C203" s="347">
        <f t="shared" si="19"/>
        <v>0</v>
      </c>
      <c r="D203" s="347">
        <f t="shared" si="20"/>
        <v>0</v>
      </c>
      <c r="E203" s="347">
        <f t="shared" si="21"/>
        <v>0</v>
      </c>
      <c r="F203" s="347">
        <f t="shared" si="22"/>
        <v>0</v>
      </c>
      <c r="G203" s="347">
        <f t="shared" si="23"/>
        <v>0</v>
      </c>
      <c r="H203" s="347">
        <f t="shared" si="24"/>
        <v>0</v>
      </c>
      <c r="I203" s="347">
        <f t="shared" si="25"/>
        <v>0</v>
      </c>
      <c r="J203" s="347">
        <f t="shared" si="26"/>
        <v>0</v>
      </c>
      <c r="K203"/>
      <c r="L203"/>
      <c r="M203"/>
      <c r="N203"/>
      <c r="O203"/>
      <c r="P203"/>
      <c r="Q203"/>
      <c r="R203"/>
      <c r="S203"/>
      <c r="T203"/>
      <c r="U203"/>
      <c r="V203"/>
      <c r="W203"/>
      <c r="X203"/>
      <c r="Y203"/>
      <c r="Z203"/>
      <c r="AA203"/>
      <c r="AB203"/>
      <c r="AC203"/>
    </row>
    <row r="204" spans="1:29" ht="15.75">
      <c r="A204" s="28"/>
      <c r="B204" s="346">
        <f t="shared" si="18"/>
        <v>168</v>
      </c>
      <c r="C204" s="347">
        <f t="shared" si="19"/>
        <v>0</v>
      </c>
      <c r="D204" s="347">
        <f t="shared" si="20"/>
        <v>0</v>
      </c>
      <c r="E204" s="347">
        <f t="shared" si="21"/>
        <v>0</v>
      </c>
      <c r="F204" s="347">
        <f t="shared" si="22"/>
        <v>0</v>
      </c>
      <c r="G204" s="347">
        <f t="shared" si="23"/>
        <v>0</v>
      </c>
      <c r="H204" s="347">
        <f t="shared" si="24"/>
        <v>0</v>
      </c>
      <c r="I204" s="347">
        <f t="shared" si="25"/>
        <v>0</v>
      </c>
      <c r="J204" s="347">
        <f t="shared" si="26"/>
        <v>0</v>
      </c>
      <c r="K204"/>
      <c r="L204"/>
      <c r="M204"/>
      <c r="N204"/>
      <c r="O204"/>
      <c r="P204"/>
      <c r="Q204"/>
      <c r="R204"/>
      <c r="S204"/>
      <c r="T204"/>
      <c r="U204"/>
      <c r="V204"/>
      <c r="W204"/>
      <c r="X204"/>
      <c r="Y204"/>
      <c r="Z204"/>
      <c r="AA204"/>
      <c r="AB204"/>
      <c r="AC204"/>
    </row>
    <row r="205" spans="1:29" ht="15.75">
      <c r="A205" s="28"/>
      <c r="B205" s="346">
        <f t="shared" si="18"/>
        <v>169</v>
      </c>
      <c r="C205" s="347">
        <f t="shared" si="19"/>
        <v>0</v>
      </c>
      <c r="D205" s="347">
        <f t="shared" si="20"/>
        <v>0</v>
      </c>
      <c r="E205" s="347">
        <f t="shared" si="21"/>
        <v>0</v>
      </c>
      <c r="F205" s="347">
        <f t="shared" si="22"/>
        <v>0</v>
      </c>
      <c r="G205" s="347">
        <f t="shared" si="23"/>
        <v>0</v>
      </c>
      <c r="H205" s="347">
        <f t="shared" si="24"/>
        <v>0</v>
      </c>
      <c r="I205" s="347">
        <f t="shared" si="25"/>
        <v>0</v>
      </c>
      <c r="J205" s="347">
        <f t="shared" si="26"/>
        <v>0</v>
      </c>
      <c r="K205"/>
      <c r="L205"/>
      <c r="M205"/>
      <c r="N205"/>
      <c r="O205"/>
      <c r="P205"/>
      <c r="Q205"/>
      <c r="R205"/>
      <c r="S205"/>
      <c r="T205"/>
      <c r="U205"/>
      <c r="V205"/>
      <c r="W205"/>
      <c r="X205"/>
      <c r="Y205"/>
      <c r="Z205"/>
      <c r="AA205"/>
      <c r="AB205"/>
      <c r="AC205"/>
    </row>
    <row r="206" spans="1:29" ht="15.75">
      <c r="A206" s="28"/>
      <c r="B206" s="346">
        <f t="shared" si="18"/>
        <v>170</v>
      </c>
      <c r="C206" s="347">
        <f t="shared" si="19"/>
        <v>0</v>
      </c>
      <c r="D206" s="347">
        <f t="shared" si="20"/>
        <v>0</v>
      </c>
      <c r="E206" s="347">
        <f t="shared" si="21"/>
        <v>0</v>
      </c>
      <c r="F206" s="347">
        <f t="shared" si="22"/>
        <v>0</v>
      </c>
      <c r="G206" s="347">
        <f t="shared" si="23"/>
        <v>0</v>
      </c>
      <c r="H206" s="347">
        <f t="shared" si="24"/>
        <v>0</v>
      </c>
      <c r="I206" s="347">
        <f t="shared" si="25"/>
        <v>0</v>
      </c>
      <c r="J206" s="347">
        <f t="shared" si="26"/>
        <v>0</v>
      </c>
      <c r="K206"/>
      <c r="L206"/>
      <c r="M206"/>
      <c r="N206"/>
      <c r="O206"/>
      <c r="P206"/>
      <c r="Q206"/>
      <c r="R206"/>
      <c r="S206"/>
      <c r="T206"/>
      <c r="U206"/>
      <c r="V206"/>
      <c r="W206"/>
      <c r="X206"/>
      <c r="Y206"/>
      <c r="Z206"/>
      <c r="AA206"/>
      <c r="AB206"/>
      <c r="AC206"/>
    </row>
    <row r="207" spans="1:29" ht="15.75">
      <c r="A207" s="28"/>
      <c r="B207" s="346">
        <f t="shared" si="18"/>
        <v>171</v>
      </c>
      <c r="C207" s="347">
        <f t="shared" si="19"/>
        <v>0</v>
      </c>
      <c r="D207" s="347">
        <f t="shared" si="20"/>
        <v>0</v>
      </c>
      <c r="E207" s="347">
        <f t="shared" si="21"/>
        <v>0</v>
      </c>
      <c r="F207" s="347">
        <f t="shared" si="22"/>
        <v>0</v>
      </c>
      <c r="G207" s="347">
        <f t="shared" si="23"/>
        <v>0</v>
      </c>
      <c r="H207" s="347">
        <f t="shared" si="24"/>
        <v>0</v>
      </c>
      <c r="I207" s="347">
        <f t="shared" si="25"/>
        <v>0</v>
      </c>
      <c r="J207" s="347">
        <f t="shared" si="26"/>
        <v>0</v>
      </c>
      <c r="K207"/>
      <c r="L207"/>
      <c r="M207"/>
      <c r="N207"/>
      <c r="O207"/>
      <c r="P207"/>
      <c r="Q207"/>
      <c r="R207"/>
      <c r="S207"/>
      <c r="T207"/>
      <c r="U207"/>
      <c r="V207"/>
      <c r="W207"/>
      <c r="X207"/>
      <c r="Y207"/>
      <c r="Z207"/>
      <c r="AA207"/>
      <c r="AB207"/>
      <c r="AC207"/>
    </row>
    <row r="208" spans="1:29" ht="15.75">
      <c r="A208" s="28"/>
      <c r="B208" s="346">
        <f t="shared" si="18"/>
        <v>172</v>
      </c>
      <c r="C208" s="347">
        <f t="shared" si="19"/>
        <v>0</v>
      </c>
      <c r="D208" s="347">
        <f t="shared" si="20"/>
        <v>0</v>
      </c>
      <c r="E208" s="347">
        <f t="shared" si="21"/>
        <v>0</v>
      </c>
      <c r="F208" s="347">
        <f t="shared" si="22"/>
        <v>0</v>
      </c>
      <c r="G208" s="347">
        <f t="shared" si="23"/>
        <v>0</v>
      </c>
      <c r="H208" s="347">
        <f t="shared" si="24"/>
        <v>0</v>
      </c>
      <c r="I208" s="347">
        <f t="shared" si="25"/>
        <v>0</v>
      </c>
      <c r="J208" s="347">
        <f t="shared" si="26"/>
        <v>0</v>
      </c>
      <c r="K208"/>
      <c r="L208"/>
      <c r="M208"/>
      <c r="N208"/>
      <c r="O208"/>
      <c r="P208"/>
      <c r="Q208"/>
      <c r="R208"/>
      <c r="S208"/>
      <c r="T208"/>
      <c r="U208"/>
      <c r="V208"/>
      <c r="W208"/>
      <c r="X208"/>
      <c r="Y208"/>
      <c r="Z208"/>
      <c r="AA208"/>
      <c r="AB208"/>
      <c r="AC208"/>
    </row>
    <row r="209" spans="1:29" ht="15.75">
      <c r="A209" s="28"/>
      <c r="B209" s="346">
        <f t="shared" si="18"/>
        <v>173</v>
      </c>
      <c r="C209" s="347">
        <f t="shared" si="19"/>
        <v>0</v>
      </c>
      <c r="D209" s="347">
        <f t="shared" si="20"/>
        <v>0</v>
      </c>
      <c r="E209" s="347">
        <f t="shared" si="21"/>
        <v>0</v>
      </c>
      <c r="F209" s="347">
        <f t="shared" si="22"/>
        <v>0</v>
      </c>
      <c r="G209" s="347">
        <f t="shared" si="23"/>
        <v>0</v>
      </c>
      <c r="H209" s="347">
        <f t="shared" si="24"/>
        <v>0</v>
      </c>
      <c r="I209" s="347">
        <f t="shared" si="25"/>
        <v>0</v>
      </c>
      <c r="J209" s="347">
        <f t="shared" si="26"/>
        <v>0</v>
      </c>
      <c r="K209"/>
      <c r="L209"/>
      <c r="M209"/>
      <c r="N209"/>
      <c r="O209"/>
      <c r="P209"/>
      <c r="Q209"/>
      <c r="R209"/>
      <c r="S209"/>
      <c r="T209"/>
      <c r="U209"/>
      <c r="V209"/>
      <c r="W209"/>
      <c r="X209"/>
      <c r="Y209"/>
      <c r="Z209"/>
      <c r="AA209"/>
      <c r="AB209"/>
      <c r="AC209"/>
    </row>
    <row r="210" spans="1:29" ht="15.75">
      <c r="A210" s="28"/>
      <c r="B210" s="346">
        <f t="shared" si="18"/>
        <v>174</v>
      </c>
      <c r="C210" s="347">
        <f t="shared" si="19"/>
        <v>0</v>
      </c>
      <c r="D210" s="347">
        <f t="shared" si="20"/>
        <v>0</v>
      </c>
      <c r="E210" s="347">
        <f t="shared" si="21"/>
        <v>0</v>
      </c>
      <c r="F210" s="347">
        <f t="shared" si="22"/>
        <v>0</v>
      </c>
      <c r="G210" s="347">
        <f t="shared" si="23"/>
        <v>0</v>
      </c>
      <c r="H210" s="347">
        <f t="shared" si="24"/>
        <v>0</v>
      </c>
      <c r="I210" s="347">
        <f t="shared" si="25"/>
        <v>0</v>
      </c>
      <c r="J210" s="347">
        <f t="shared" si="26"/>
        <v>0</v>
      </c>
      <c r="K210"/>
      <c r="L210"/>
      <c r="M210"/>
      <c r="N210"/>
      <c r="O210"/>
      <c r="P210"/>
      <c r="Q210"/>
      <c r="R210"/>
      <c r="S210"/>
      <c r="T210"/>
      <c r="U210"/>
      <c r="V210"/>
      <c r="W210"/>
      <c r="X210"/>
      <c r="Y210"/>
      <c r="Z210"/>
      <c r="AA210"/>
      <c r="AB210"/>
      <c r="AC210"/>
    </row>
    <row r="211" spans="1:29" ht="15.75">
      <c r="A211" s="28"/>
      <c r="B211" s="346">
        <f t="shared" si="18"/>
        <v>175</v>
      </c>
      <c r="C211" s="347">
        <f t="shared" si="19"/>
        <v>0</v>
      </c>
      <c r="D211" s="347">
        <f t="shared" si="20"/>
        <v>0</v>
      </c>
      <c r="E211" s="347">
        <f t="shared" si="21"/>
        <v>0</v>
      </c>
      <c r="F211" s="347">
        <f t="shared" si="22"/>
        <v>0</v>
      </c>
      <c r="G211" s="347">
        <f t="shared" si="23"/>
        <v>0</v>
      </c>
      <c r="H211" s="347">
        <f t="shared" si="24"/>
        <v>0</v>
      </c>
      <c r="I211" s="347">
        <f t="shared" si="25"/>
        <v>0</v>
      </c>
      <c r="J211" s="347">
        <f t="shared" si="26"/>
        <v>0</v>
      </c>
      <c r="K211"/>
      <c r="L211"/>
      <c r="M211"/>
      <c r="N211"/>
      <c r="O211"/>
      <c r="P211"/>
      <c r="Q211"/>
      <c r="R211"/>
      <c r="S211"/>
      <c r="T211"/>
      <c r="U211"/>
      <c r="V211"/>
      <c r="W211"/>
      <c r="X211"/>
      <c r="Y211"/>
      <c r="Z211"/>
      <c r="AA211"/>
      <c r="AB211"/>
      <c r="AC211"/>
    </row>
    <row r="212" spans="1:29" ht="15.75">
      <c r="A212" s="28"/>
      <c r="B212" s="346">
        <f t="shared" si="18"/>
        <v>176</v>
      </c>
      <c r="C212" s="347">
        <f t="shared" si="19"/>
        <v>0</v>
      </c>
      <c r="D212" s="347">
        <f t="shared" si="20"/>
        <v>0</v>
      </c>
      <c r="E212" s="347">
        <f t="shared" si="21"/>
        <v>0</v>
      </c>
      <c r="F212" s="347">
        <f t="shared" si="22"/>
        <v>0</v>
      </c>
      <c r="G212" s="347">
        <f t="shared" si="23"/>
        <v>0</v>
      </c>
      <c r="H212" s="347">
        <f t="shared" si="24"/>
        <v>0</v>
      </c>
      <c r="I212" s="347">
        <f t="shared" si="25"/>
        <v>0</v>
      </c>
      <c r="J212" s="347">
        <f t="shared" si="26"/>
        <v>0</v>
      </c>
      <c r="K212"/>
      <c r="L212"/>
      <c r="M212"/>
      <c r="N212"/>
      <c r="O212"/>
      <c r="P212"/>
      <c r="Q212"/>
      <c r="R212"/>
      <c r="S212"/>
      <c r="T212"/>
      <c r="U212"/>
      <c r="V212"/>
      <c r="W212"/>
      <c r="X212"/>
      <c r="Y212"/>
      <c r="Z212"/>
      <c r="AA212"/>
      <c r="AB212"/>
      <c r="AC212"/>
    </row>
    <row r="213" spans="1:29" ht="15.75">
      <c r="A213" s="28"/>
      <c r="B213" s="346">
        <f t="shared" si="18"/>
        <v>177</v>
      </c>
      <c r="C213" s="347">
        <f t="shared" si="19"/>
        <v>0</v>
      </c>
      <c r="D213" s="347">
        <f t="shared" si="20"/>
        <v>0</v>
      </c>
      <c r="E213" s="347">
        <f t="shared" si="21"/>
        <v>0</v>
      </c>
      <c r="F213" s="347">
        <f t="shared" si="22"/>
        <v>0</v>
      </c>
      <c r="G213" s="347">
        <f t="shared" si="23"/>
        <v>0</v>
      </c>
      <c r="H213" s="347">
        <f t="shared" si="24"/>
        <v>0</v>
      </c>
      <c r="I213" s="347">
        <f t="shared" si="25"/>
        <v>0</v>
      </c>
      <c r="J213" s="347">
        <f t="shared" si="26"/>
        <v>0</v>
      </c>
      <c r="K213"/>
      <c r="L213"/>
      <c r="M213"/>
      <c r="N213"/>
      <c r="O213"/>
      <c r="P213"/>
      <c r="Q213"/>
      <c r="R213"/>
      <c r="S213"/>
      <c r="T213"/>
      <c r="U213"/>
      <c r="V213"/>
      <c r="W213"/>
      <c r="X213"/>
      <c r="Y213"/>
      <c r="Z213"/>
      <c r="AA213"/>
      <c r="AB213"/>
      <c r="AC213"/>
    </row>
    <row r="214" spans="1:29" ht="15.75">
      <c r="A214" s="28"/>
      <c r="B214" s="346">
        <f t="shared" si="18"/>
        <v>178</v>
      </c>
      <c r="C214" s="347">
        <f t="shared" si="19"/>
        <v>0</v>
      </c>
      <c r="D214" s="347">
        <f t="shared" si="20"/>
        <v>0</v>
      </c>
      <c r="E214" s="347">
        <f t="shared" si="21"/>
        <v>0</v>
      </c>
      <c r="F214" s="347">
        <f t="shared" si="22"/>
        <v>0</v>
      </c>
      <c r="G214" s="347">
        <f t="shared" si="23"/>
        <v>0</v>
      </c>
      <c r="H214" s="347">
        <f t="shared" si="24"/>
        <v>0</v>
      </c>
      <c r="I214" s="347">
        <f t="shared" si="25"/>
        <v>0</v>
      </c>
      <c r="J214" s="347">
        <f t="shared" si="26"/>
        <v>0</v>
      </c>
      <c r="K214"/>
      <c r="L214"/>
      <c r="M214"/>
      <c r="N214"/>
      <c r="O214"/>
      <c r="P214"/>
      <c r="Q214"/>
      <c r="R214"/>
      <c r="S214"/>
      <c r="T214"/>
      <c r="U214"/>
      <c r="V214"/>
      <c r="W214"/>
      <c r="X214"/>
      <c r="Y214"/>
      <c r="Z214"/>
      <c r="AA214"/>
      <c r="AB214"/>
      <c r="AC214"/>
    </row>
    <row r="215" spans="1:29" ht="15.75">
      <c r="A215" s="28"/>
      <c r="B215" s="346">
        <f t="shared" si="18"/>
        <v>179</v>
      </c>
      <c r="C215" s="347">
        <f t="shared" si="19"/>
        <v>0</v>
      </c>
      <c r="D215" s="347">
        <f t="shared" si="20"/>
        <v>0</v>
      </c>
      <c r="E215" s="347">
        <f t="shared" si="21"/>
        <v>0</v>
      </c>
      <c r="F215" s="347">
        <f t="shared" si="22"/>
        <v>0</v>
      </c>
      <c r="G215" s="347">
        <f t="shared" si="23"/>
        <v>0</v>
      </c>
      <c r="H215" s="347">
        <f t="shared" si="24"/>
        <v>0</v>
      </c>
      <c r="I215" s="347">
        <f t="shared" si="25"/>
        <v>0</v>
      </c>
      <c r="J215" s="347">
        <f t="shared" si="26"/>
        <v>0</v>
      </c>
      <c r="K215"/>
      <c r="L215"/>
      <c r="M215"/>
      <c r="N215"/>
      <c r="O215"/>
      <c r="P215"/>
      <c r="Q215"/>
      <c r="R215"/>
      <c r="S215"/>
      <c r="T215"/>
      <c r="U215"/>
      <c r="V215"/>
      <c r="W215"/>
      <c r="X215"/>
      <c r="Y215"/>
      <c r="Z215"/>
      <c r="AA215"/>
      <c r="AB215"/>
      <c r="AC215"/>
    </row>
    <row r="216" spans="1:29" ht="15.75">
      <c r="A216" s="28"/>
      <c r="B216" s="346">
        <f t="shared" si="18"/>
        <v>180</v>
      </c>
      <c r="C216" s="347">
        <f t="shared" si="19"/>
        <v>0</v>
      </c>
      <c r="D216" s="347">
        <f t="shared" si="20"/>
        <v>0</v>
      </c>
      <c r="E216" s="347">
        <f t="shared" si="21"/>
        <v>0</v>
      </c>
      <c r="F216" s="347">
        <f t="shared" si="22"/>
        <v>0</v>
      </c>
      <c r="G216" s="347">
        <f t="shared" si="23"/>
        <v>0</v>
      </c>
      <c r="H216" s="347">
        <f t="shared" si="24"/>
        <v>0</v>
      </c>
      <c r="I216" s="347">
        <f t="shared" si="25"/>
        <v>0</v>
      </c>
      <c r="J216" s="347">
        <f t="shared" si="26"/>
        <v>0</v>
      </c>
      <c r="K216"/>
      <c r="L216"/>
      <c r="M216"/>
      <c r="N216"/>
      <c r="O216"/>
      <c r="P216"/>
      <c r="Q216"/>
      <c r="R216"/>
      <c r="S216"/>
      <c r="T216"/>
      <c r="U216"/>
      <c r="V216"/>
      <c r="W216"/>
      <c r="X216"/>
      <c r="Y216"/>
      <c r="Z216"/>
      <c r="AA216"/>
      <c r="AB216"/>
      <c r="AC216"/>
    </row>
    <row r="217" spans="1:29" ht="15.75">
      <c r="A217" s="28"/>
      <c r="B217" s="346">
        <f t="shared" si="18"/>
        <v>181</v>
      </c>
      <c r="C217" s="347">
        <f t="shared" si="19"/>
        <v>0</v>
      </c>
      <c r="D217" s="347">
        <f t="shared" si="20"/>
        <v>0</v>
      </c>
      <c r="E217" s="347">
        <f t="shared" si="21"/>
        <v>0</v>
      </c>
      <c r="F217" s="347">
        <f t="shared" si="22"/>
        <v>0</v>
      </c>
      <c r="G217" s="347">
        <f t="shared" si="23"/>
        <v>0</v>
      </c>
      <c r="H217" s="347">
        <f t="shared" si="24"/>
        <v>0</v>
      </c>
      <c r="I217" s="347">
        <f t="shared" si="25"/>
        <v>0</v>
      </c>
      <c r="J217" s="347">
        <f t="shared" si="26"/>
        <v>0</v>
      </c>
      <c r="K217"/>
      <c r="L217"/>
      <c r="M217"/>
      <c r="N217"/>
      <c r="O217"/>
      <c r="P217"/>
      <c r="Q217"/>
      <c r="R217"/>
      <c r="S217"/>
      <c r="T217"/>
      <c r="U217"/>
      <c r="V217"/>
      <c r="W217"/>
      <c r="X217"/>
      <c r="Y217"/>
      <c r="Z217"/>
      <c r="AA217"/>
      <c r="AB217"/>
      <c r="AC217"/>
    </row>
    <row r="218" spans="1:29" ht="15.75">
      <c r="A218" s="28"/>
      <c r="B218" s="346">
        <f t="shared" si="18"/>
        <v>182</v>
      </c>
      <c r="C218" s="347">
        <f t="shared" si="19"/>
        <v>0</v>
      </c>
      <c r="D218" s="347">
        <f t="shared" si="20"/>
        <v>0</v>
      </c>
      <c r="E218" s="347">
        <f t="shared" si="21"/>
        <v>0</v>
      </c>
      <c r="F218" s="347">
        <f t="shared" si="22"/>
        <v>0</v>
      </c>
      <c r="G218" s="347">
        <f t="shared" si="23"/>
        <v>0</v>
      </c>
      <c r="H218" s="347">
        <f t="shared" si="24"/>
        <v>0</v>
      </c>
      <c r="I218" s="347">
        <f t="shared" si="25"/>
        <v>0</v>
      </c>
      <c r="J218" s="347">
        <f t="shared" si="26"/>
        <v>0</v>
      </c>
      <c r="K218"/>
      <c r="L218"/>
      <c r="M218"/>
      <c r="N218"/>
      <c r="O218"/>
      <c r="P218"/>
      <c r="Q218"/>
      <c r="R218"/>
      <c r="S218"/>
      <c r="T218"/>
      <c r="U218"/>
      <c r="V218"/>
      <c r="W218"/>
      <c r="X218"/>
      <c r="Y218"/>
      <c r="Z218"/>
      <c r="AA218"/>
      <c r="AB218"/>
      <c r="AC218"/>
    </row>
    <row r="219" spans="1:29" ht="15.75">
      <c r="A219" s="28"/>
      <c r="B219" s="346">
        <f t="shared" si="18"/>
        <v>183</v>
      </c>
      <c r="C219" s="347">
        <f t="shared" si="19"/>
        <v>0</v>
      </c>
      <c r="D219" s="347">
        <f t="shared" si="20"/>
        <v>0</v>
      </c>
      <c r="E219" s="347">
        <f t="shared" si="21"/>
        <v>0</v>
      </c>
      <c r="F219" s="347">
        <f t="shared" si="22"/>
        <v>0</v>
      </c>
      <c r="G219" s="347">
        <f t="shared" si="23"/>
        <v>0</v>
      </c>
      <c r="H219" s="347">
        <f t="shared" si="24"/>
        <v>0</v>
      </c>
      <c r="I219" s="347">
        <f t="shared" si="25"/>
        <v>0</v>
      </c>
      <c r="J219" s="347">
        <f t="shared" si="26"/>
        <v>0</v>
      </c>
      <c r="K219"/>
      <c r="L219"/>
      <c r="M219"/>
      <c r="N219"/>
      <c r="O219"/>
      <c r="P219"/>
      <c r="Q219"/>
      <c r="R219"/>
      <c r="S219"/>
      <c r="T219"/>
      <c r="U219"/>
      <c r="V219"/>
      <c r="W219"/>
      <c r="X219"/>
      <c r="Y219"/>
      <c r="Z219"/>
      <c r="AA219"/>
      <c r="AB219"/>
      <c r="AC219"/>
    </row>
    <row r="220" spans="1:29" ht="15.75">
      <c r="A220" s="28"/>
      <c r="B220" s="346">
        <f t="shared" si="18"/>
        <v>184</v>
      </c>
      <c r="C220" s="347">
        <f t="shared" si="19"/>
        <v>0</v>
      </c>
      <c r="D220" s="347">
        <f t="shared" si="20"/>
        <v>0</v>
      </c>
      <c r="E220" s="347">
        <f t="shared" si="21"/>
        <v>0</v>
      </c>
      <c r="F220" s="347">
        <f t="shared" si="22"/>
        <v>0</v>
      </c>
      <c r="G220" s="347">
        <f t="shared" si="23"/>
        <v>0</v>
      </c>
      <c r="H220" s="347">
        <f t="shared" si="24"/>
        <v>0</v>
      </c>
      <c r="I220" s="347">
        <f t="shared" si="25"/>
        <v>0</v>
      </c>
      <c r="J220" s="347">
        <f t="shared" si="26"/>
        <v>0</v>
      </c>
      <c r="K220"/>
      <c r="L220"/>
      <c r="M220"/>
      <c r="N220"/>
      <c r="O220"/>
      <c r="P220"/>
      <c r="Q220"/>
      <c r="R220"/>
      <c r="S220"/>
      <c r="T220"/>
      <c r="U220"/>
      <c r="V220"/>
      <c r="W220"/>
      <c r="X220"/>
      <c r="Y220"/>
      <c r="Z220"/>
      <c r="AA220"/>
      <c r="AB220"/>
      <c r="AC220"/>
    </row>
    <row r="221" spans="1:29" ht="15.75">
      <c r="A221" s="28"/>
      <c r="B221" s="346">
        <f t="shared" si="18"/>
        <v>185</v>
      </c>
      <c r="C221" s="347">
        <f t="shared" si="19"/>
        <v>0</v>
      </c>
      <c r="D221" s="347">
        <f t="shared" si="20"/>
        <v>0</v>
      </c>
      <c r="E221" s="347">
        <f t="shared" si="21"/>
        <v>0</v>
      </c>
      <c r="F221" s="347">
        <f t="shared" si="22"/>
        <v>0</v>
      </c>
      <c r="G221" s="347">
        <f t="shared" si="23"/>
        <v>0</v>
      </c>
      <c r="H221" s="347">
        <f t="shared" si="24"/>
        <v>0</v>
      </c>
      <c r="I221" s="347">
        <f t="shared" si="25"/>
        <v>0</v>
      </c>
      <c r="J221" s="347">
        <f t="shared" si="26"/>
        <v>0</v>
      </c>
      <c r="K221"/>
      <c r="L221"/>
      <c r="M221"/>
      <c r="N221"/>
      <c r="O221"/>
      <c r="P221"/>
      <c r="Q221"/>
      <c r="R221"/>
      <c r="S221"/>
      <c r="T221"/>
      <c r="U221"/>
      <c r="V221"/>
      <c r="W221"/>
      <c r="X221"/>
      <c r="Y221"/>
      <c r="Z221"/>
      <c r="AA221"/>
      <c r="AB221"/>
      <c r="AC221"/>
    </row>
    <row r="222" spans="1:29" ht="15.75">
      <c r="A222" s="28"/>
      <c r="B222" s="346">
        <f t="shared" si="18"/>
        <v>186</v>
      </c>
      <c r="C222" s="347">
        <f t="shared" si="19"/>
        <v>0</v>
      </c>
      <c r="D222" s="347">
        <f t="shared" si="20"/>
        <v>0</v>
      </c>
      <c r="E222" s="347">
        <f t="shared" si="21"/>
        <v>0</v>
      </c>
      <c r="F222" s="347">
        <f t="shared" si="22"/>
        <v>0</v>
      </c>
      <c r="G222" s="347">
        <f t="shared" si="23"/>
        <v>0</v>
      </c>
      <c r="H222" s="347">
        <f t="shared" si="24"/>
        <v>0</v>
      </c>
      <c r="I222" s="347">
        <f t="shared" si="25"/>
        <v>0</v>
      </c>
      <c r="J222" s="347">
        <f t="shared" si="26"/>
        <v>0</v>
      </c>
      <c r="K222"/>
      <c r="L222"/>
      <c r="M222"/>
      <c r="N222"/>
      <c r="O222"/>
      <c r="P222"/>
      <c r="Q222"/>
      <c r="R222"/>
      <c r="S222"/>
      <c r="T222"/>
      <c r="U222"/>
      <c r="V222"/>
      <c r="W222"/>
      <c r="X222"/>
      <c r="Y222"/>
      <c r="Z222"/>
      <c r="AA222"/>
      <c r="AB222"/>
      <c r="AC222"/>
    </row>
    <row r="223" spans="1:29" ht="15.75">
      <c r="A223" s="28"/>
      <c r="B223" s="346">
        <f t="shared" si="18"/>
        <v>187</v>
      </c>
      <c r="C223" s="347">
        <f t="shared" si="19"/>
        <v>0</v>
      </c>
      <c r="D223" s="347">
        <f t="shared" si="20"/>
        <v>0</v>
      </c>
      <c r="E223" s="347">
        <f t="shared" si="21"/>
        <v>0</v>
      </c>
      <c r="F223" s="347">
        <f t="shared" si="22"/>
        <v>0</v>
      </c>
      <c r="G223" s="347">
        <f t="shared" si="23"/>
        <v>0</v>
      </c>
      <c r="H223" s="347">
        <f t="shared" si="24"/>
        <v>0</v>
      </c>
      <c r="I223" s="347">
        <f t="shared" si="25"/>
        <v>0</v>
      </c>
      <c r="J223" s="347">
        <f t="shared" si="26"/>
        <v>0</v>
      </c>
      <c r="K223"/>
      <c r="L223"/>
      <c r="M223"/>
      <c r="N223"/>
      <c r="O223"/>
      <c r="P223"/>
      <c r="Q223"/>
      <c r="R223"/>
      <c r="S223"/>
      <c r="T223"/>
      <c r="U223"/>
      <c r="V223"/>
      <c r="W223"/>
      <c r="X223"/>
      <c r="Y223"/>
      <c r="Z223"/>
      <c r="AA223"/>
      <c r="AB223"/>
      <c r="AC223"/>
    </row>
    <row r="224" spans="1:29" ht="15.75">
      <c r="A224" s="28"/>
      <c r="B224" s="346">
        <f t="shared" si="18"/>
        <v>188</v>
      </c>
      <c r="C224" s="347">
        <f t="shared" si="19"/>
        <v>0</v>
      </c>
      <c r="D224" s="347">
        <f t="shared" si="20"/>
        <v>0</v>
      </c>
      <c r="E224" s="347">
        <f t="shared" si="21"/>
        <v>0</v>
      </c>
      <c r="F224" s="347">
        <f t="shared" si="22"/>
        <v>0</v>
      </c>
      <c r="G224" s="347">
        <f t="shared" si="23"/>
        <v>0</v>
      </c>
      <c r="H224" s="347">
        <f t="shared" si="24"/>
        <v>0</v>
      </c>
      <c r="I224" s="347">
        <f t="shared" si="25"/>
        <v>0</v>
      </c>
      <c r="J224" s="347">
        <f t="shared" si="26"/>
        <v>0</v>
      </c>
      <c r="K224"/>
      <c r="L224"/>
      <c r="M224"/>
      <c r="N224"/>
      <c r="O224"/>
      <c r="P224"/>
      <c r="Q224"/>
      <c r="R224"/>
      <c r="S224"/>
      <c r="T224"/>
      <c r="U224"/>
      <c r="V224"/>
      <c r="W224"/>
      <c r="X224"/>
      <c r="Y224"/>
      <c r="Z224"/>
      <c r="AA224"/>
      <c r="AB224"/>
      <c r="AC224"/>
    </row>
    <row r="225" spans="1:29" ht="15.75">
      <c r="A225" s="28"/>
      <c r="B225" s="346">
        <f t="shared" si="18"/>
        <v>189</v>
      </c>
      <c r="C225" s="347">
        <f t="shared" si="19"/>
        <v>0</v>
      </c>
      <c r="D225" s="347">
        <f t="shared" si="20"/>
        <v>0</v>
      </c>
      <c r="E225" s="347">
        <f t="shared" si="21"/>
        <v>0</v>
      </c>
      <c r="F225" s="347">
        <f t="shared" si="22"/>
        <v>0</v>
      </c>
      <c r="G225" s="347">
        <f t="shared" si="23"/>
        <v>0</v>
      </c>
      <c r="H225" s="347">
        <f t="shared" si="24"/>
        <v>0</v>
      </c>
      <c r="I225" s="347">
        <f t="shared" si="25"/>
        <v>0</v>
      </c>
      <c r="J225" s="347">
        <f t="shared" si="26"/>
        <v>0</v>
      </c>
      <c r="K225"/>
      <c r="L225"/>
      <c r="M225"/>
      <c r="N225"/>
      <c r="O225"/>
      <c r="P225"/>
      <c r="Q225"/>
      <c r="R225"/>
      <c r="S225"/>
      <c r="T225"/>
      <c r="U225"/>
      <c r="V225"/>
      <c r="W225"/>
      <c r="X225"/>
      <c r="Y225"/>
      <c r="Z225"/>
      <c r="AA225"/>
      <c r="AB225"/>
      <c r="AC225"/>
    </row>
    <row r="226" spans="1:29" ht="15.75">
      <c r="A226" s="28"/>
      <c r="B226" s="346">
        <f t="shared" si="18"/>
        <v>190</v>
      </c>
      <c r="C226" s="347">
        <f t="shared" si="19"/>
        <v>0</v>
      </c>
      <c r="D226" s="347">
        <f t="shared" si="20"/>
        <v>0</v>
      </c>
      <c r="E226" s="347">
        <f t="shared" si="21"/>
        <v>0</v>
      </c>
      <c r="F226" s="347">
        <f t="shared" si="22"/>
        <v>0</v>
      </c>
      <c r="G226" s="347">
        <f t="shared" si="23"/>
        <v>0</v>
      </c>
      <c r="H226" s="347">
        <f t="shared" si="24"/>
        <v>0</v>
      </c>
      <c r="I226" s="347">
        <f t="shared" si="25"/>
        <v>0</v>
      </c>
      <c r="J226" s="347">
        <f t="shared" si="26"/>
        <v>0</v>
      </c>
      <c r="K226"/>
      <c r="L226"/>
      <c r="M226"/>
      <c r="N226"/>
      <c r="O226"/>
      <c r="P226"/>
      <c r="Q226"/>
      <c r="R226"/>
      <c r="S226"/>
      <c r="T226"/>
      <c r="U226"/>
      <c r="V226"/>
      <c r="W226"/>
      <c r="X226"/>
      <c r="Y226"/>
      <c r="Z226"/>
      <c r="AA226"/>
      <c r="AB226"/>
      <c r="AC226"/>
    </row>
    <row r="227" spans="1:29" ht="15.75">
      <c r="A227" s="28"/>
      <c r="B227" s="346">
        <f t="shared" si="18"/>
        <v>191</v>
      </c>
      <c r="C227" s="347">
        <f t="shared" si="19"/>
        <v>0</v>
      </c>
      <c r="D227" s="347">
        <f t="shared" si="20"/>
        <v>0</v>
      </c>
      <c r="E227" s="347">
        <f t="shared" si="21"/>
        <v>0</v>
      </c>
      <c r="F227" s="347">
        <f t="shared" si="22"/>
        <v>0</v>
      </c>
      <c r="G227" s="347">
        <f t="shared" si="23"/>
        <v>0</v>
      </c>
      <c r="H227" s="347">
        <f t="shared" si="24"/>
        <v>0</v>
      </c>
      <c r="I227" s="347">
        <f t="shared" si="25"/>
        <v>0</v>
      </c>
      <c r="J227" s="347">
        <f t="shared" si="26"/>
        <v>0</v>
      </c>
      <c r="K227"/>
      <c r="L227"/>
      <c r="M227"/>
      <c r="N227"/>
      <c r="O227"/>
      <c r="P227"/>
      <c r="Q227"/>
      <c r="R227"/>
      <c r="S227"/>
      <c r="T227"/>
      <c r="U227"/>
      <c r="V227"/>
      <c r="W227"/>
      <c r="X227"/>
      <c r="Y227"/>
      <c r="Z227"/>
      <c r="AA227"/>
      <c r="AB227"/>
      <c r="AC227"/>
    </row>
    <row r="228" spans="1:29" ht="15.75">
      <c r="A228" s="28"/>
      <c r="B228" s="346">
        <f t="shared" si="18"/>
        <v>192</v>
      </c>
      <c r="C228" s="347">
        <f t="shared" si="19"/>
        <v>0</v>
      </c>
      <c r="D228" s="347">
        <f t="shared" si="20"/>
        <v>0</v>
      </c>
      <c r="E228" s="347">
        <f t="shared" si="21"/>
        <v>0</v>
      </c>
      <c r="F228" s="347">
        <f t="shared" si="22"/>
        <v>0</v>
      </c>
      <c r="G228" s="347">
        <f t="shared" si="23"/>
        <v>0</v>
      </c>
      <c r="H228" s="347">
        <f t="shared" si="24"/>
        <v>0</v>
      </c>
      <c r="I228" s="347">
        <f t="shared" si="25"/>
        <v>0</v>
      </c>
      <c r="J228" s="347">
        <f t="shared" si="26"/>
        <v>0</v>
      </c>
      <c r="K228"/>
      <c r="L228"/>
      <c r="M228"/>
      <c r="N228"/>
      <c r="O228"/>
      <c r="P228"/>
      <c r="Q228"/>
      <c r="R228"/>
      <c r="S228"/>
      <c r="T228"/>
      <c r="U228"/>
      <c r="V228"/>
      <c r="W228"/>
      <c r="X228"/>
      <c r="Y228"/>
      <c r="Z228"/>
      <c r="AA228"/>
      <c r="AB228"/>
      <c r="AC228"/>
    </row>
    <row r="229" spans="1:29" ht="15.75">
      <c r="A229" s="28"/>
      <c r="B229" s="346">
        <f t="shared" si="18"/>
        <v>193</v>
      </c>
      <c r="C229" s="347">
        <f t="shared" si="19"/>
        <v>0</v>
      </c>
      <c r="D229" s="347">
        <f t="shared" si="20"/>
        <v>0</v>
      </c>
      <c r="E229" s="347">
        <f t="shared" si="21"/>
        <v>0</v>
      </c>
      <c r="F229" s="347">
        <f t="shared" si="22"/>
        <v>0</v>
      </c>
      <c r="G229" s="347">
        <f t="shared" si="23"/>
        <v>0</v>
      </c>
      <c r="H229" s="347">
        <f t="shared" si="24"/>
        <v>0</v>
      </c>
      <c r="I229" s="347">
        <f t="shared" si="25"/>
        <v>0</v>
      </c>
      <c r="J229" s="347">
        <f t="shared" si="26"/>
        <v>0</v>
      </c>
      <c r="K229"/>
      <c r="L229"/>
      <c r="M229"/>
      <c r="N229"/>
      <c r="O229"/>
      <c r="P229"/>
      <c r="Q229"/>
      <c r="R229"/>
      <c r="S229"/>
      <c r="T229"/>
      <c r="U229"/>
      <c r="V229"/>
      <c r="W229"/>
      <c r="X229"/>
      <c r="Y229"/>
      <c r="Z229"/>
      <c r="AA229"/>
      <c r="AB229"/>
      <c r="AC229"/>
    </row>
    <row r="230" spans="1:29" ht="15.75">
      <c r="A230" s="28"/>
      <c r="B230" s="346">
        <f aca="true" t="shared" si="27" ref="B230:B293">1+B229</f>
        <v>194</v>
      </c>
      <c r="C230" s="347">
        <f aca="true" t="shared" si="28" ref="C230:C293">IF((E229&lt;$C$24-G230),E229,$C$24-G230)</f>
        <v>0</v>
      </c>
      <c r="D230" s="347">
        <f aca="true" t="shared" si="29" ref="D230:D293">IF(AND($C$20&lt;=B230,E229&gt;C230+$C$18),IF(MOD($B230,$C$19)=0,$C$18,0),0)</f>
        <v>0</v>
      </c>
      <c r="E230" s="347">
        <f aca="true" t="shared" si="30" ref="E230:E293">IF(E229-C230&lt;=1,0,E229-C230-D230)</f>
        <v>0</v>
      </c>
      <c r="F230" s="347">
        <f aca="true" t="shared" si="31" ref="F230:F293">F229+C230+D230</f>
        <v>0</v>
      </c>
      <c r="G230" s="347">
        <f aca="true" t="shared" si="32" ref="G230:G293">E229*($C$13/$C$15)</f>
        <v>0</v>
      </c>
      <c r="H230" s="347">
        <f aca="true" t="shared" si="33" ref="H230:H293">H229+G230</f>
        <v>0</v>
      </c>
      <c r="I230" s="347">
        <f aca="true" t="shared" si="34" ref="I230:I293">IF(I229-($C$24-J230)&lt;=1,0,I229-($C$24-J230))</f>
        <v>0</v>
      </c>
      <c r="J230" s="347">
        <f aca="true" t="shared" si="35" ref="J230:J293">I229*($C$13/$C$15)</f>
        <v>0</v>
      </c>
      <c r="K230"/>
      <c r="L230"/>
      <c r="M230"/>
      <c r="N230"/>
      <c r="O230"/>
      <c r="P230"/>
      <c r="Q230"/>
      <c r="R230"/>
      <c r="S230"/>
      <c r="T230"/>
      <c r="U230"/>
      <c r="V230"/>
      <c r="W230"/>
      <c r="X230"/>
      <c r="Y230"/>
      <c r="Z230"/>
      <c r="AA230"/>
      <c r="AB230"/>
      <c r="AC230"/>
    </row>
    <row r="231" spans="1:29" ht="15.75">
      <c r="A231" s="28"/>
      <c r="B231" s="346">
        <f t="shared" si="27"/>
        <v>195</v>
      </c>
      <c r="C231" s="347">
        <f t="shared" si="28"/>
        <v>0</v>
      </c>
      <c r="D231" s="347">
        <f t="shared" si="29"/>
        <v>0</v>
      </c>
      <c r="E231" s="347">
        <f t="shared" si="30"/>
        <v>0</v>
      </c>
      <c r="F231" s="347">
        <f t="shared" si="31"/>
        <v>0</v>
      </c>
      <c r="G231" s="347">
        <f t="shared" si="32"/>
        <v>0</v>
      </c>
      <c r="H231" s="347">
        <f t="shared" si="33"/>
        <v>0</v>
      </c>
      <c r="I231" s="347">
        <f t="shared" si="34"/>
        <v>0</v>
      </c>
      <c r="J231" s="347">
        <f t="shared" si="35"/>
        <v>0</v>
      </c>
      <c r="K231"/>
      <c r="L231"/>
      <c r="M231"/>
      <c r="N231"/>
      <c r="O231"/>
      <c r="P231"/>
      <c r="Q231"/>
      <c r="R231"/>
      <c r="S231"/>
      <c r="T231"/>
      <c r="U231"/>
      <c r="V231"/>
      <c r="W231"/>
      <c r="X231"/>
      <c r="Y231"/>
      <c r="Z231"/>
      <c r="AA231"/>
      <c r="AB231"/>
      <c r="AC231"/>
    </row>
    <row r="232" spans="1:29" ht="15.75">
      <c r="A232" s="28"/>
      <c r="B232" s="346">
        <f t="shared" si="27"/>
        <v>196</v>
      </c>
      <c r="C232" s="347">
        <f t="shared" si="28"/>
        <v>0</v>
      </c>
      <c r="D232" s="347">
        <f t="shared" si="29"/>
        <v>0</v>
      </c>
      <c r="E232" s="347">
        <f t="shared" si="30"/>
        <v>0</v>
      </c>
      <c r="F232" s="347">
        <f t="shared" si="31"/>
        <v>0</v>
      </c>
      <c r="G232" s="347">
        <f t="shared" si="32"/>
        <v>0</v>
      </c>
      <c r="H232" s="347">
        <f t="shared" si="33"/>
        <v>0</v>
      </c>
      <c r="I232" s="347">
        <f t="shared" si="34"/>
        <v>0</v>
      </c>
      <c r="J232" s="347">
        <f t="shared" si="35"/>
        <v>0</v>
      </c>
      <c r="K232"/>
      <c r="L232"/>
      <c r="M232"/>
      <c r="N232"/>
      <c r="O232"/>
      <c r="P232"/>
      <c r="Q232"/>
      <c r="R232"/>
      <c r="S232"/>
      <c r="T232"/>
      <c r="U232"/>
      <c r="V232"/>
      <c r="W232"/>
      <c r="X232"/>
      <c r="Y232"/>
      <c r="Z232"/>
      <c r="AA232"/>
      <c r="AB232"/>
      <c r="AC232"/>
    </row>
    <row r="233" spans="1:29" ht="15.75">
      <c r="A233" s="28"/>
      <c r="B233" s="346">
        <f t="shared" si="27"/>
        <v>197</v>
      </c>
      <c r="C233" s="347">
        <f t="shared" si="28"/>
        <v>0</v>
      </c>
      <c r="D233" s="347">
        <f t="shared" si="29"/>
        <v>0</v>
      </c>
      <c r="E233" s="347">
        <f t="shared" si="30"/>
        <v>0</v>
      </c>
      <c r="F233" s="347">
        <f t="shared" si="31"/>
        <v>0</v>
      </c>
      <c r="G233" s="347">
        <f t="shared" si="32"/>
        <v>0</v>
      </c>
      <c r="H233" s="347">
        <f t="shared" si="33"/>
        <v>0</v>
      </c>
      <c r="I233" s="347">
        <f t="shared" si="34"/>
        <v>0</v>
      </c>
      <c r="J233" s="347">
        <f t="shared" si="35"/>
        <v>0</v>
      </c>
      <c r="K233"/>
      <c r="L233"/>
      <c r="M233"/>
      <c r="N233"/>
      <c r="O233"/>
      <c r="P233"/>
      <c r="Q233"/>
      <c r="R233"/>
      <c r="S233"/>
      <c r="T233"/>
      <c r="U233"/>
      <c r="V233"/>
      <c r="W233"/>
      <c r="X233"/>
      <c r="Y233"/>
      <c r="Z233"/>
      <c r="AA233"/>
      <c r="AB233"/>
      <c r="AC233"/>
    </row>
    <row r="234" spans="1:29" ht="15.75">
      <c r="A234" s="28"/>
      <c r="B234" s="346">
        <f t="shared" si="27"/>
        <v>198</v>
      </c>
      <c r="C234" s="347">
        <f t="shared" si="28"/>
        <v>0</v>
      </c>
      <c r="D234" s="347">
        <f t="shared" si="29"/>
        <v>0</v>
      </c>
      <c r="E234" s="347">
        <f t="shared" si="30"/>
        <v>0</v>
      </c>
      <c r="F234" s="347">
        <f t="shared" si="31"/>
        <v>0</v>
      </c>
      <c r="G234" s="347">
        <f t="shared" si="32"/>
        <v>0</v>
      </c>
      <c r="H234" s="347">
        <f t="shared" si="33"/>
        <v>0</v>
      </c>
      <c r="I234" s="347">
        <f t="shared" si="34"/>
        <v>0</v>
      </c>
      <c r="J234" s="347">
        <f t="shared" si="35"/>
        <v>0</v>
      </c>
      <c r="K234"/>
      <c r="L234"/>
      <c r="M234"/>
      <c r="N234"/>
      <c r="O234"/>
      <c r="P234"/>
      <c r="Q234"/>
      <c r="R234"/>
      <c r="S234"/>
      <c r="T234"/>
      <c r="U234"/>
      <c r="V234"/>
      <c r="W234"/>
      <c r="X234"/>
      <c r="Y234"/>
      <c r="Z234"/>
      <c r="AA234"/>
      <c r="AB234"/>
      <c r="AC234"/>
    </row>
    <row r="235" spans="1:29" ht="15.75">
      <c r="A235" s="28"/>
      <c r="B235" s="346">
        <f t="shared" si="27"/>
        <v>199</v>
      </c>
      <c r="C235" s="347">
        <f t="shared" si="28"/>
        <v>0</v>
      </c>
      <c r="D235" s="347">
        <f t="shared" si="29"/>
        <v>0</v>
      </c>
      <c r="E235" s="347">
        <f t="shared" si="30"/>
        <v>0</v>
      </c>
      <c r="F235" s="347">
        <f t="shared" si="31"/>
        <v>0</v>
      </c>
      <c r="G235" s="347">
        <f t="shared" si="32"/>
        <v>0</v>
      </c>
      <c r="H235" s="347">
        <f t="shared" si="33"/>
        <v>0</v>
      </c>
      <c r="I235" s="347">
        <f t="shared" si="34"/>
        <v>0</v>
      </c>
      <c r="J235" s="347">
        <f t="shared" si="35"/>
        <v>0</v>
      </c>
      <c r="K235"/>
      <c r="L235"/>
      <c r="M235"/>
      <c r="N235"/>
      <c r="O235"/>
      <c r="P235"/>
      <c r="Q235"/>
      <c r="R235"/>
      <c r="S235"/>
      <c r="T235"/>
      <c r="U235"/>
      <c r="V235"/>
      <c r="W235"/>
      <c r="X235"/>
      <c r="Y235"/>
      <c r="Z235"/>
      <c r="AA235"/>
      <c r="AB235"/>
      <c r="AC235"/>
    </row>
    <row r="236" spans="1:29" ht="15.75">
      <c r="A236" s="28"/>
      <c r="B236" s="346">
        <f t="shared" si="27"/>
        <v>200</v>
      </c>
      <c r="C236" s="347">
        <f t="shared" si="28"/>
        <v>0</v>
      </c>
      <c r="D236" s="347">
        <f t="shared" si="29"/>
        <v>0</v>
      </c>
      <c r="E236" s="347">
        <f t="shared" si="30"/>
        <v>0</v>
      </c>
      <c r="F236" s="347">
        <f t="shared" si="31"/>
        <v>0</v>
      </c>
      <c r="G236" s="347">
        <f t="shared" si="32"/>
        <v>0</v>
      </c>
      <c r="H236" s="347">
        <f t="shared" si="33"/>
        <v>0</v>
      </c>
      <c r="I236" s="347">
        <f t="shared" si="34"/>
        <v>0</v>
      </c>
      <c r="J236" s="347">
        <f t="shared" si="35"/>
        <v>0</v>
      </c>
      <c r="K236"/>
      <c r="L236"/>
      <c r="M236"/>
      <c r="N236"/>
      <c r="O236"/>
      <c r="P236"/>
      <c r="Q236"/>
      <c r="R236"/>
      <c r="S236"/>
      <c r="T236"/>
      <c r="U236"/>
      <c r="V236"/>
      <c r="W236"/>
      <c r="X236"/>
      <c r="Y236"/>
      <c r="Z236"/>
      <c r="AA236"/>
      <c r="AB236"/>
      <c r="AC236"/>
    </row>
    <row r="237" spans="1:29" ht="15.75">
      <c r="A237" s="28"/>
      <c r="B237" s="346">
        <f t="shared" si="27"/>
        <v>201</v>
      </c>
      <c r="C237" s="347">
        <f t="shared" si="28"/>
        <v>0</v>
      </c>
      <c r="D237" s="347">
        <f t="shared" si="29"/>
        <v>0</v>
      </c>
      <c r="E237" s="347">
        <f t="shared" si="30"/>
        <v>0</v>
      </c>
      <c r="F237" s="347">
        <f t="shared" si="31"/>
        <v>0</v>
      </c>
      <c r="G237" s="347">
        <f t="shared" si="32"/>
        <v>0</v>
      </c>
      <c r="H237" s="347">
        <f t="shared" si="33"/>
        <v>0</v>
      </c>
      <c r="I237" s="347">
        <f t="shared" si="34"/>
        <v>0</v>
      </c>
      <c r="J237" s="347">
        <f t="shared" si="35"/>
        <v>0</v>
      </c>
      <c r="K237"/>
      <c r="L237"/>
      <c r="M237"/>
      <c r="N237"/>
      <c r="O237"/>
      <c r="P237"/>
      <c r="Q237"/>
      <c r="R237"/>
      <c r="S237"/>
      <c r="T237"/>
      <c r="U237"/>
      <c r="V237"/>
      <c r="W237"/>
      <c r="X237"/>
      <c r="Y237"/>
      <c r="Z237"/>
      <c r="AA237"/>
      <c r="AB237"/>
      <c r="AC237"/>
    </row>
    <row r="238" spans="1:29" ht="15.75">
      <c r="A238" s="28"/>
      <c r="B238" s="346">
        <f t="shared" si="27"/>
        <v>202</v>
      </c>
      <c r="C238" s="347">
        <f t="shared" si="28"/>
        <v>0</v>
      </c>
      <c r="D238" s="347">
        <f t="shared" si="29"/>
        <v>0</v>
      </c>
      <c r="E238" s="347">
        <f t="shared" si="30"/>
        <v>0</v>
      </c>
      <c r="F238" s="347">
        <f t="shared" si="31"/>
        <v>0</v>
      </c>
      <c r="G238" s="347">
        <f t="shared" si="32"/>
        <v>0</v>
      </c>
      <c r="H238" s="347">
        <f t="shared" si="33"/>
        <v>0</v>
      </c>
      <c r="I238" s="347">
        <f t="shared" si="34"/>
        <v>0</v>
      </c>
      <c r="J238" s="347">
        <f t="shared" si="35"/>
        <v>0</v>
      </c>
      <c r="K238"/>
      <c r="L238"/>
      <c r="M238"/>
      <c r="N238"/>
      <c r="O238"/>
      <c r="P238"/>
      <c r="Q238"/>
      <c r="R238"/>
      <c r="S238"/>
      <c r="T238"/>
      <c r="U238"/>
      <c r="V238"/>
      <c r="W238"/>
      <c r="X238"/>
      <c r="Y238"/>
      <c r="Z238"/>
      <c r="AA238"/>
      <c r="AB238"/>
      <c r="AC238"/>
    </row>
    <row r="239" spans="1:29" ht="15.75">
      <c r="A239" s="28"/>
      <c r="B239" s="346">
        <f t="shared" si="27"/>
        <v>203</v>
      </c>
      <c r="C239" s="347">
        <f t="shared" si="28"/>
        <v>0</v>
      </c>
      <c r="D239" s="347">
        <f t="shared" si="29"/>
        <v>0</v>
      </c>
      <c r="E239" s="347">
        <f t="shared" si="30"/>
        <v>0</v>
      </c>
      <c r="F239" s="347">
        <f t="shared" si="31"/>
        <v>0</v>
      </c>
      <c r="G239" s="347">
        <f t="shared" si="32"/>
        <v>0</v>
      </c>
      <c r="H239" s="347">
        <f t="shared" si="33"/>
        <v>0</v>
      </c>
      <c r="I239" s="347">
        <f t="shared" si="34"/>
        <v>0</v>
      </c>
      <c r="J239" s="347">
        <f t="shared" si="35"/>
        <v>0</v>
      </c>
      <c r="K239"/>
      <c r="L239"/>
      <c r="M239"/>
      <c r="N239"/>
      <c r="O239"/>
      <c r="P239"/>
      <c r="Q239"/>
      <c r="R239"/>
      <c r="S239"/>
      <c r="T239"/>
      <c r="U239"/>
      <c r="V239"/>
      <c r="W239"/>
      <c r="X239"/>
      <c r="Y239"/>
      <c r="Z239"/>
      <c r="AA239"/>
      <c r="AB239"/>
      <c r="AC239"/>
    </row>
    <row r="240" spans="1:29" ht="15.75">
      <c r="A240" s="28"/>
      <c r="B240" s="346">
        <f t="shared" si="27"/>
        <v>204</v>
      </c>
      <c r="C240" s="347">
        <f t="shared" si="28"/>
        <v>0</v>
      </c>
      <c r="D240" s="347">
        <f t="shared" si="29"/>
        <v>0</v>
      </c>
      <c r="E240" s="347">
        <f t="shared" si="30"/>
        <v>0</v>
      </c>
      <c r="F240" s="347">
        <f t="shared" si="31"/>
        <v>0</v>
      </c>
      <c r="G240" s="347">
        <f t="shared" si="32"/>
        <v>0</v>
      </c>
      <c r="H240" s="347">
        <f t="shared" si="33"/>
        <v>0</v>
      </c>
      <c r="I240" s="347">
        <f t="shared" si="34"/>
        <v>0</v>
      </c>
      <c r="J240" s="347">
        <f t="shared" si="35"/>
        <v>0</v>
      </c>
      <c r="K240"/>
      <c r="L240"/>
      <c r="M240"/>
      <c r="N240"/>
      <c r="O240"/>
      <c r="P240"/>
      <c r="Q240"/>
      <c r="R240"/>
      <c r="S240"/>
      <c r="T240"/>
      <c r="U240"/>
      <c r="V240"/>
      <c r="W240"/>
      <c r="X240"/>
      <c r="Y240"/>
      <c r="Z240"/>
      <c r="AA240"/>
      <c r="AB240"/>
      <c r="AC240"/>
    </row>
    <row r="241" spans="1:29" ht="15.75">
      <c r="A241" s="28"/>
      <c r="B241" s="346">
        <f t="shared" si="27"/>
        <v>205</v>
      </c>
      <c r="C241" s="347">
        <f t="shared" si="28"/>
        <v>0</v>
      </c>
      <c r="D241" s="347">
        <f t="shared" si="29"/>
        <v>0</v>
      </c>
      <c r="E241" s="347">
        <f t="shared" si="30"/>
        <v>0</v>
      </c>
      <c r="F241" s="347">
        <f t="shared" si="31"/>
        <v>0</v>
      </c>
      <c r="G241" s="347">
        <f t="shared" si="32"/>
        <v>0</v>
      </c>
      <c r="H241" s="347">
        <f t="shared" si="33"/>
        <v>0</v>
      </c>
      <c r="I241" s="347">
        <f t="shared" si="34"/>
        <v>0</v>
      </c>
      <c r="J241" s="347">
        <f t="shared" si="35"/>
        <v>0</v>
      </c>
      <c r="K241"/>
      <c r="L241"/>
      <c r="M241"/>
      <c r="N241"/>
      <c r="O241"/>
      <c r="P241"/>
      <c r="Q241"/>
      <c r="R241"/>
      <c r="S241"/>
      <c r="T241"/>
      <c r="U241"/>
      <c r="V241"/>
      <c r="W241"/>
      <c r="X241"/>
      <c r="Y241"/>
      <c r="Z241"/>
      <c r="AA241"/>
      <c r="AB241"/>
      <c r="AC241"/>
    </row>
    <row r="242" spans="1:29" ht="15.75">
      <c r="A242" s="28"/>
      <c r="B242" s="346">
        <f t="shared" si="27"/>
        <v>206</v>
      </c>
      <c r="C242" s="347">
        <f t="shared" si="28"/>
        <v>0</v>
      </c>
      <c r="D242" s="347">
        <f t="shared" si="29"/>
        <v>0</v>
      </c>
      <c r="E242" s="347">
        <f t="shared" si="30"/>
        <v>0</v>
      </c>
      <c r="F242" s="347">
        <f t="shared" si="31"/>
        <v>0</v>
      </c>
      <c r="G242" s="347">
        <f t="shared" si="32"/>
        <v>0</v>
      </c>
      <c r="H242" s="347">
        <f t="shared" si="33"/>
        <v>0</v>
      </c>
      <c r="I242" s="347">
        <f t="shared" si="34"/>
        <v>0</v>
      </c>
      <c r="J242" s="347">
        <f t="shared" si="35"/>
        <v>0</v>
      </c>
      <c r="K242"/>
      <c r="L242"/>
      <c r="M242"/>
      <c r="N242"/>
      <c r="O242"/>
      <c r="P242"/>
      <c r="Q242"/>
      <c r="R242"/>
      <c r="S242"/>
      <c r="T242"/>
      <c r="U242"/>
      <c r="V242"/>
      <c r="W242"/>
      <c r="X242"/>
      <c r="Y242"/>
      <c r="Z242"/>
      <c r="AA242"/>
      <c r="AB242"/>
      <c r="AC242"/>
    </row>
    <row r="243" spans="1:29" ht="15.75">
      <c r="A243" s="28"/>
      <c r="B243" s="346">
        <f t="shared" si="27"/>
        <v>207</v>
      </c>
      <c r="C243" s="347">
        <f t="shared" si="28"/>
        <v>0</v>
      </c>
      <c r="D243" s="347">
        <f t="shared" si="29"/>
        <v>0</v>
      </c>
      <c r="E243" s="347">
        <f t="shared" si="30"/>
        <v>0</v>
      </c>
      <c r="F243" s="347">
        <f t="shared" si="31"/>
        <v>0</v>
      </c>
      <c r="G243" s="347">
        <f t="shared" si="32"/>
        <v>0</v>
      </c>
      <c r="H243" s="347">
        <f t="shared" si="33"/>
        <v>0</v>
      </c>
      <c r="I243" s="347">
        <f t="shared" si="34"/>
        <v>0</v>
      </c>
      <c r="J243" s="347">
        <f t="shared" si="35"/>
        <v>0</v>
      </c>
      <c r="K243"/>
      <c r="L243"/>
      <c r="M243"/>
      <c r="N243"/>
      <c r="O243"/>
      <c r="P243"/>
      <c r="Q243"/>
      <c r="R243"/>
      <c r="S243"/>
      <c r="T243"/>
      <c r="U243"/>
      <c r="V243"/>
      <c r="W243"/>
      <c r="X243"/>
      <c r="Y243"/>
      <c r="Z243"/>
      <c r="AA243"/>
      <c r="AB243"/>
      <c r="AC243"/>
    </row>
    <row r="244" spans="1:29" ht="15.75">
      <c r="A244" s="28"/>
      <c r="B244" s="346">
        <f t="shared" si="27"/>
        <v>208</v>
      </c>
      <c r="C244" s="347">
        <f t="shared" si="28"/>
        <v>0</v>
      </c>
      <c r="D244" s="347">
        <f t="shared" si="29"/>
        <v>0</v>
      </c>
      <c r="E244" s="347">
        <f t="shared" si="30"/>
        <v>0</v>
      </c>
      <c r="F244" s="347">
        <f t="shared" si="31"/>
        <v>0</v>
      </c>
      <c r="G244" s="347">
        <f t="shared" si="32"/>
        <v>0</v>
      </c>
      <c r="H244" s="347">
        <f t="shared" si="33"/>
        <v>0</v>
      </c>
      <c r="I244" s="347">
        <f t="shared" si="34"/>
        <v>0</v>
      </c>
      <c r="J244" s="347">
        <f t="shared" si="35"/>
        <v>0</v>
      </c>
      <c r="K244"/>
      <c r="L244"/>
      <c r="M244"/>
      <c r="N244"/>
      <c r="O244"/>
      <c r="P244"/>
      <c r="Q244"/>
      <c r="R244"/>
      <c r="S244"/>
      <c r="T244"/>
      <c r="U244"/>
      <c r="V244"/>
      <c r="W244"/>
      <c r="X244"/>
      <c r="Y244"/>
      <c r="Z244"/>
      <c r="AA244"/>
      <c r="AB244"/>
      <c r="AC244"/>
    </row>
    <row r="245" spans="1:29" ht="15.75">
      <c r="A245" s="28"/>
      <c r="B245" s="346">
        <f t="shared" si="27"/>
        <v>209</v>
      </c>
      <c r="C245" s="347">
        <f t="shared" si="28"/>
        <v>0</v>
      </c>
      <c r="D245" s="347">
        <f t="shared" si="29"/>
        <v>0</v>
      </c>
      <c r="E245" s="347">
        <f t="shared" si="30"/>
        <v>0</v>
      </c>
      <c r="F245" s="347">
        <f t="shared" si="31"/>
        <v>0</v>
      </c>
      <c r="G245" s="347">
        <f t="shared" si="32"/>
        <v>0</v>
      </c>
      <c r="H245" s="347">
        <f t="shared" si="33"/>
        <v>0</v>
      </c>
      <c r="I245" s="347">
        <f t="shared" si="34"/>
        <v>0</v>
      </c>
      <c r="J245" s="347">
        <f t="shared" si="35"/>
        <v>0</v>
      </c>
      <c r="K245"/>
      <c r="L245"/>
      <c r="M245"/>
      <c r="N245"/>
      <c r="O245"/>
      <c r="P245"/>
      <c r="Q245"/>
      <c r="R245"/>
      <c r="S245"/>
      <c r="T245"/>
      <c r="U245"/>
      <c r="V245"/>
      <c r="W245"/>
      <c r="X245"/>
      <c r="Y245"/>
      <c r="Z245"/>
      <c r="AA245"/>
      <c r="AB245"/>
      <c r="AC245"/>
    </row>
    <row r="246" spans="1:29" ht="15.75">
      <c r="A246" s="28"/>
      <c r="B246" s="346">
        <f t="shared" si="27"/>
        <v>210</v>
      </c>
      <c r="C246" s="347">
        <f t="shared" si="28"/>
        <v>0</v>
      </c>
      <c r="D246" s="347">
        <f t="shared" si="29"/>
        <v>0</v>
      </c>
      <c r="E246" s="347">
        <f t="shared" si="30"/>
        <v>0</v>
      </c>
      <c r="F246" s="347">
        <f t="shared" si="31"/>
        <v>0</v>
      </c>
      <c r="G246" s="347">
        <f t="shared" si="32"/>
        <v>0</v>
      </c>
      <c r="H246" s="347">
        <f t="shared" si="33"/>
        <v>0</v>
      </c>
      <c r="I246" s="347">
        <f t="shared" si="34"/>
        <v>0</v>
      </c>
      <c r="J246" s="347">
        <f t="shared" si="35"/>
        <v>0</v>
      </c>
      <c r="K246"/>
      <c r="L246"/>
      <c r="M246"/>
      <c r="N246"/>
      <c r="O246"/>
      <c r="P246"/>
      <c r="Q246"/>
      <c r="R246"/>
      <c r="S246"/>
      <c r="T246"/>
      <c r="U246"/>
      <c r="V246"/>
      <c r="W246"/>
      <c r="X246"/>
      <c r="Y246"/>
      <c r="Z246"/>
      <c r="AA246"/>
      <c r="AB246"/>
      <c r="AC246"/>
    </row>
    <row r="247" spans="1:29" ht="15.75">
      <c r="A247" s="28"/>
      <c r="B247" s="346">
        <f t="shared" si="27"/>
        <v>211</v>
      </c>
      <c r="C247" s="347">
        <f t="shared" si="28"/>
        <v>0</v>
      </c>
      <c r="D247" s="347">
        <f t="shared" si="29"/>
        <v>0</v>
      </c>
      <c r="E247" s="347">
        <f t="shared" si="30"/>
        <v>0</v>
      </c>
      <c r="F247" s="347">
        <f t="shared" si="31"/>
        <v>0</v>
      </c>
      <c r="G247" s="347">
        <f t="shared" si="32"/>
        <v>0</v>
      </c>
      <c r="H247" s="347">
        <f t="shared" si="33"/>
        <v>0</v>
      </c>
      <c r="I247" s="347">
        <f t="shared" si="34"/>
        <v>0</v>
      </c>
      <c r="J247" s="347">
        <f t="shared" si="35"/>
        <v>0</v>
      </c>
      <c r="K247"/>
      <c r="L247"/>
      <c r="M247"/>
      <c r="N247"/>
      <c r="O247"/>
      <c r="P247"/>
      <c r="Q247"/>
      <c r="R247"/>
      <c r="S247"/>
      <c r="T247"/>
      <c r="U247"/>
      <c r="V247"/>
      <c r="W247"/>
      <c r="X247"/>
      <c r="Y247"/>
      <c r="Z247"/>
      <c r="AA247"/>
      <c r="AB247"/>
      <c r="AC247"/>
    </row>
    <row r="248" spans="1:29" ht="15.75">
      <c r="A248" s="28"/>
      <c r="B248" s="346">
        <f t="shared" si="27"/>
        <v>212</v>
      </c>
      <c r="C248" s="347">
        <f t="shared" si="28"/>
        <v>0</v>
      </c>
      <c r="D248" s="347">
        <f t="shared" si="29"/>
        <v>0</v>
      </c>
      <c r="E248" s="347">
        <f t="shared" si="30"/>
        <v>0</v>
      </c>
      <c r="F248" s="347">
        <f t="shared" si="31"/>
        <v>0</v>
      </c>
      <c r="G248" s="347">
        <f t="shared" si="32"/>
        <v>0</v>
      </c>
      <c r="H248" s="347">
        <f t="shared" si="33"/>
        <v>0</v>
      </c>
      <c r="I248" s="347">
        <f t="shared" si="34"/>
        <v>0</v>
      </c>
      <c r="J248" s="347">
        <f t="shared" si="35"/>
        <v>0</v>
      </c>
      <c r="K248"/>
      <c r="L248"/>
      <c r="M248"/>
      <c r="N248"/>
      <c r="O248"/>
      <c r="P248"/>
      <c r="Q248"/>
      <c r="R248"/>
      <c r="S248"/>
      <c r="T248"/>
      <c r="U248"/>
      <c r="V248"/>
      <c r="W248"/>
      <c r="X248"/>
      <c r="Y248"/>
      <c r="Z248"/>
      <c r="AA248"/>
      <c r="AB248"/>
      <c r="AC248"/>
    </row>
    <row r="249" spans="1:29" ht="15.75">
      <c r="A249" s="28"/>
      <c r="B249" s="346">
        <f t="shared" si="27"/>
        <v>213</v>
      </c>
      <c r="C249" s="347">
        <f t="shared" si="28"/>
        <v>0</v>
      </c>
      <c r="D249" s="347">
        <f t="shared" si="29"/>
        <v>0</v>
      </c>
      <c r="E249" s="347">
        <f t="shared" si="30"/>
        <v>0</v>
      </c>
      <c r="F249" s="347">
        <f t="shared" si="31"/>
        <v>0</v>
      </c>
      <c r="G249" s="347">
        <f t="shared" si="32"/>
        <v>0</v>
      </c>
      <c r="H249" s="347">
        <f t="shared" si="33"/>
        <v>0</v>
      </c>
      <c r="I249" s="347">
        <f t="shared" si="34"/>
        <v>0</v>
      </c>
      <c r="J249" s="347">
        <f t="shared" si="35"/>
        <v>0</v>
      </c>
      <c r="K249"/>
      <c r="L249"/>
      <c r="M249"/>
      <c r="N249"/>
      <c r="O249"/>
      <c r="P249"/>
      <c r="Q249"/>
      <c r="R249"/>
      <c r="S249"/>
      <c r="T249"/>
      <c r="U249"/>
      <c r="V249"/>
      <c r="W249"/>
      <c r="X249"/>
      <c r="Y249"/>
      <c r="Z249"/>
      <c r="AA249"/>
      <c r="AB249"/>
      <c r="AC249"/>
    </row>
    <row r="250" spans="1:29" ht="15.75">
      <c r="A250" s="28"/>
      <c r="B250" s="346">
        <f t="shared" si="27"/>
        <v>214</v>
      </c>
      <c r="C250" s="347">
        <f t="shared" si="28"/>
        <v>0</v>
      </c>
      <c r="D250" s="347">
        <f t="shared" si="29"/>
        <v>0</v>
      </c>
      <c r="E250" s="347">
        <f t="shared" si="30"/>
        <v>0</v>
      </c>
      <c r="F250" s="347">
        <f t="shared" si="31"/>
        <v>0</v>
      </c>
      <c r="G250" s="347">
        <f t="shared" si="32"/>
        <v>0</v>
      </c>
      <c r="H250" s="347">
        <f t="shared" si="33"/>
        <v>0</v>
      </c>
      <c r="I250" s="347">
        <f t="shared" si="34"/>
        <v>0</v>
      </c>
      <c r="J250" s="347">
        <f t="shared" si="35"/>
        <v>0</v>
      </c>
      <c r="K250"/>
      <c r="L250"/>
      <c r="M250"/>
      <c r="N250"/>
      <c r="O250"/>
      <c r="P250"/>
      <c r="Q250"/>
      <c r="R250"/>
      <c r="S250"/>
      <c r="T250"/>
      <c r="U250"/>
      <c r="V250"/>
      <c r="W250"/>
      <c r="X250"/>
      <c r="Y250"/>
      <c r="Z250"/>
      <c r="AA250"/>
      <c r="AB250"/>
      <c r="AC250"/>
    </row>
    <row r="251" spans="1:29" ht="15.75">
      <c r="A251" s="28"/>
      <c r="B251" s="346">
        <f t="shared" si="27"/>
        <v>215</v>
      </c>
      <c r="C251" s="347">
        <f t="shared" si="28"/>
        <v>0</v>
      </c>
      <c r="D251" s="347">
        <f t="shared" si="29"/>
        <v>0</v>
      </c>
      <c r="E251" s="347">
        <f t="shared" si="30"/>
        <v>0</v>
      </c>
      <c r="F251" s="347">
        <f t="shared" si="31"/>
        <v>0</v>
      </c>
      <c r="G251" s="347">
        <f t="shared" si="32"/>
        <v>0</v>
      </c>
      <c r="H251" s="347">
        <f t="shared" si="33"/>
        <v>0</v>
      </c>
      <c r="I251" s="347">
        <f t="shared" si="34"/>
        <v>0</v>
      </c>
      <c r="J251" s="347">
        <f t="shared" si="35"/>
        <v>0</v>
      </c>
      <c r="K251"/>
      <c r="L251"/>
      <c r="M251"/>
      <c r="N251"/>
      <c r="O251"/>
      <c r="P251"/>
      <c r="Q251"/>
      <c r="R251"/>
      <c r="S251"/>
      <c r="T251"/>
      <c r="U251"/>
      <c r="V251"/>
      <c r="W251"/>
      <c r="X251"/>
      <c r="Y251"/>
      <c r="Z251"/>
      <c r="AA251"/>
      <c r="AB251"/>
      <c r="AC251"/>
    </row>
    <row r="252" spans="1:29" ht="15.75">
      <c r="A252" s="28"/>
      <c r="B252" s="346">
        <f t="shared" si="27"/>
        <v>216</v>
      </c>
      <c r="C252" s="347">
        <f t="shared" si="28"/>
        <v>0</v>
      </c>
      <c r="D252" s="347">
        <f t="shared" si="29"/>
        <v>0</v>
      </c>
      <c r="E252" s="347">
        <f t="shared" si="30"/>
        <v>0</v>
      </c>
      <c r="F252" s="347">
        <f t="shared" si="31"/>
        <v>0</v>
      </c>
      <c r="G252" s="347">
        <f t="shared" si="32"/>
        <v>0</v>
      </c>
      <c r="H252" s="347">
        <f t="shared" si="33"/>
        <v>0</v>
      </c>
      <c r="I252" s="347">
        <f t="shared" si="34"/>
        <v>0</v>
      </c>
      <c r="J252" s="347">
        <f t="shared" si="35"/>
        <v>0</v>
      </c>
      <c r="K252"/>
      <c r="L252"/>
      <c r="M252"/>
      <c r="N252"/>
      <c r="O252"/>
      <c r="P252"/>
      <c r="Q252"/>
      <c r="R252"/>
      <c r="S252"/>
      <c r="T252"/>
      <c r="U252"/>
      <c r="V252"/>
      <c r="W252"/>
      <c r="X252"/>
      <c r="Y252"/>
      <c r="Z252"/>
      <c r="AA252"/>
      <c r="AB252"/>
      <c r="AC252"/>
    </row>
    <row r="253" spans="1:29" ht="15.75">
      <c r="A253" s="28"/>
      <c r="B253" s="346">
        <f t="shared" si="27"/>
        <v>217</v>
      </c>
      <c r="C253" s="347">
        <f t="shared" si="28"/>
        <v>0</v>
      </c>
      <c r="D253" s="347">
        <f t="shared" si="29"/>
        <v>0</v>
      </c>
      <c r="E253" s="347">
        <f t="shared" si="30"/>
        <v>0</v>
      </c>
      <c r="F253" s="347">
        <f t="shared" si="31"/>
        <v>0</v>
      </c>
      <c r="G253" s="347">
        <f t="shared" si="32"/>
        <v>0</v>
      </c>
      <c r="H253" s="347">
        <f t="shared" si="33"/>
        <v>0</v>
      </c>
      <c r="I253" s="347">
        <f t="shared" si="34"/>
        <v>0</v>
      </c>
      <c r="J253" s="347">
        <f t="shared" si="35"/>
        <v>0</v>
      </c>
      <c r="K253"/>
      <c r="L253"/>
      <c r="M253"/>
      <c r="N253"/>
      <c r="O253"/>
      <c r="P253"/>
      <c r="Q253"/>
      <c r="R253"/>
      <c r="S253"/>
      <c r="T253"/>
      <c r="U253"/>
      <c r="V253"/>
      <c r="W253"/>
      <c r="X253"/>
      <c r="Y253"/>
      <c r="Z253"/>
      <c r="AA253"/>
      <c r="AB253"/>
      <c r="AC253"/>
    </row>
    <row r="254" spans="1:29" ht="15.75">
      <c r="A254" s="28"/>
      <c r="B254" s="346">
        <f t="shared" si="27"/>
        <v>218</v>
      </c>
      <c r="C254" s="347">
        <f t="shared" si="28"/>
        <v>0</v>
      </c>
      <c r="D254" s="347">
        <f t="shared" si="29"/>
        <v>0</v>
      </c>
      <c r="E254" s="347">
        <f t="shared" si="30"/>
        <v>0</v>
      </c>
      <c r="F254" s="347">
        <f t="shared" si="31"/>
        <v>0</v>
      </c>
      <c r="G254" s="347">
        <f t="shared" si="32"/>
        <v>0</v>
      </c>
      <c r="H254" s="347">
        <f t="shared" si="33"/>
        <v>0</v>
      </c>
      <c r="I254" s="347">
        <f t="shared" si="34"/>
        <v>0</v>
      </c>
      <c r="J254" s="347">
        <f t="shared" si="35"/>
        <v>0</v>
      </c>
      <c r="K254"/>
      <c r="L254"/>
      <c r="M254"/>
      <c r="N254"/>
      <c r="O254"/>
      <c r="P254"/>
      <c r="Q254"/>
      <c r="R254"/>
      <c r="S254"/>
      <c r="T254"/>
      <c r="U254"/>
      <c r="V254"/>
      <c r="W254"/>
      <c r="X254"/>
      <c r="Y254"/>
      <c r="Z254"/>
      <c r="AA254"/>
      <c r="AB254"/>
      <c r="AC254"/>
    </row>
    <row r="255" spans="1:29" ht="15.75">
      <c r="A255" s="28"/>
      <c r="B255" s="346">
        <f t="shared" si="27"/>
        <v>219</v>
      </c>
      <c r="C255" s="347">
        <f t="shared" si="28"/>
        <v>0</v>
      </c>
      <c r="D255" s="347">
        <f t="shared" si="29"/>
        <v>0</v>
      </c>
      <c r="E255" s="347">
        <f t="shared" si="30"/>
        <v>0</v>
      </c>
      <c r="F255" s="347">
        <f t="shared" si="31"/>
        <v>0</v>
      </c>
      <c r="G255" s="347">
        <f t="shared" si="32"/>
        <v>0</v>
      </c>
      <c r="H255" s="347">
        <f t="shared" si="33"/>
        <v>0</v>
      </c>
      <c r="I255" s="347">
        <f t="shared" si="34"/>
        <v>0</v>
      </c>
      <c r="J255" s="347">
        <f t="shared" si="35"/>
        <v>0</v>
      </c>
      <c r="K255"/>
      <c r="L255"/>
      <c r="M255"/>
      <c r="N255"/>
      <c r="O255"/>
      <c r="P255"/>
      <c r="Q255"/>
      <c r="R255"/>
      <c r="S255"/>
      <c r="T255"/>
      <c r="U255"/>
      <c r="V255"/>
      <c r="W255"/>
      <c r="X255"/>
      <c r="Y255"/>
      <c r="Z255"/>
      <c r="AA255"/>
      <c r="AB255"/>
      <c r="AC255"/>
    </row>
    <row r="256" spans="1:29" ht="15.75">
      <c r="A256" s="28"/>
      <c r="B256" s="346">
        <f t="shared" si="27"/>
        <v>220</v>
      </c>
      <c r="C256" s="347">
        <f t="shared" si="28"/>
        <v>0</v>
      </c>
      <c r="D256" s="347">
        <f t="shared" si="29"/>
        <v>0</v>
      </c>
      <c r="E256" s="347">
        <f t="shared" si="30"/>
        <v>0</v>
      </c>
      <c r="F256" s="347">
        <f t="shared" si="31"/>
        <v>0</v>
      </c>
      <c r="G256" s="347">
        <f t="shared" si="32"/>
        <v>0</v>
      </c>
      <c r="H256" s="347">
        <f t="shared" si="33"/>
        <v>0</v>
      </c>
      <c r="I256" s="347">
        <f t="shared" si="34"/>
        <v>0</v>
      </c>
      <c r="J256" s="347">
        <f t="shared" si="35"/>
        <v>0</v>
      </c>
      <c r="K256"/>
      <c r="L256"/>
      <c r="M256"/>
      <c r="N256"/>
      <c r="O256"/>
      <c r="P256"/>
      <c r="Q256"/>
      <c r="R256"/>
      <c r="S256"/>
      <c r="T256"/>
      <c r="U256"/>
      <c r="V256"/>
      <c r="W256"/>
      <c r="X256"/>
      <c r="Y256"/>
      <c r="Z256"/>
      <c r="AA256"/>
      <c r="AB256"/>
      <c r="AC256"/>
    </row>
    <row r="257" spans="1:29" ht="15.75">
      <c r="A257" s="28"/>
      <c r="B257" s="346">
        <f t="shared" si="27"/>
        <v>221</v>
      </c>
      <c r="C257" s="347">
        <f t="shared" si="28"/>
        <v>0</v>
      </c>
      <c r="D257" s="347">
        <f t="shared" si="29"/>
        <v>0</v>
      </c>
      <c r="E257" s="347">
        <f t="shared" si="30"/>
        <v>0</v>
      </c>
      <c r="F257" s="347">
        <f t="shared" si="31"/>
        <v>0</v>
      </c>
      <c r="G257" s="347">
        <f t="shared" si="32"/>
        <v>0</v>
      </c>
      <c r="H257" s="347">
        <f t="shared" si="33"/>
        <v>0</v>
      </c>
      <c r="I257" s="347">
        <f t="shared" si="34"/>
        <v>0</v>
      </c>
      <c r="J257" s="347">
        <f t="shared" si="35"/>
        <v>0</v>
      </c>
      <c r="K257"/>
      <c r="L257"/>
      <c r="M257"/>
      <c r="N257"/>
      <c r="O257"/>
      <c r="P257"/>
      <c r="Q257"/>
      <c r="R257"/>
      <c r="S257"/>
      <c r="T257"/>
      <c r="U257"/>
      <c r="V257"/>
      <c r="W257"/>
      <c r="X257"/>
      <c r="Y257"/>
      <c r="Z257"/>
      <c r="AA257"/>
      <c r="AB257"/>
      <c r="AC257"/>
    </row>
    <row r="258" spans="1:29" ht="15.75">
      <c r="A258" s="28"/>
      <c r="B258" s="346">
        <f t="shared" si="27"/>
        <v>222</v>
      </c>
      <c r="C258" s="347">
        <f t="shared" si="28"/>
        <v>0</v>
      </c>
      <c r="D258" s="347">
        <f t="shared" si="29"/>
        <v>0</v>
      </c>
      <c r="E258" s="347">
        <f t="shared" si="30"/>
        <v>0</v>
      </c>
      <c r="F258" s="347">
        <f t="shared" si="31"/>
        <v>0</v>
      </c>
      <c r="G258" s="347">
        <f t="shared" si="32"/>
        <v>0</v>
      </c>
      <c r="H258" s="347">
        <f t="shared" si="33"/>
        <v>0</v>
      </c>
      <c r="I258" s="347">
        <f t="shared" si="34"/>
        <v>0</v>
      </c>
      <c r="J258" s="347">
        <f t="shared" si="35"/>
        <v>0</v>
      </c>
      <c r="K258"/>
      <c r="L258"/>
      <c r="M258"/>
      <c r="N258"/>
      <c r="O258"/>
      <c r="P258"/>
      <c r="Q258"/>
      <c r="R258"/>
      <c r="S258"/>
      <c r="T258"/>
      <c r="U258"/>
      <c r="V258"/>
      <c r="W258"/>
      <c r="X258"/>
      <c r="Y258"/>
      <c r="Z258"/>
      <c r="AA258"/>
      <c r="AB258"/>
      <c r="AC258"/>
    </row>
    <row r="259" spans="1:29" ht="15.75">
      <c r="A259" s="28"/>
      <c r="B259" s="346">
        <f t="shared" si="27"/>
        <v>223</v>
      </c>
      <c r="C259" s="347">
        <f t="shared" si="28"/>
        <v>0</v>
      </c>
      <c r="D259" s="347">
        <f t="shared" si="29"/>
        <v>0</v>
      </c>
      <c r="E259" s="347">
        <f t="shared" si="30"/>
        <v>0</v>
      </c>
      <c r="F259" s="347">
        <f t="shared" si="31"/>
        <v>0</v>
      </c>
      <c r="G259" s="347">
        <f t="shared" si="32"/>
        <v>0</v>
      </c>
      <c r="H259" s="347">
        <f t="shared" si="33"/>
        <v>0</v>
      </c>
      <c r="I259" s="347">
        <f t="shared" si="34"/>
        <v>0</v>
      </c>
      <c r="J259" s="347">
        <f t="shared" si="35"/>
        <v>0</v>
      </c>
      <c r="K259"/>
      <c r="L259"/>
      <c r="M259"/>
      <c r="N259"/>
      <c r="O259"/>
      <c r="P259"/>
      <c r="Q259"/>
      <c r="R259"/>
      <c r="S259"/>
      <c r="T259"/>
      <c r="U259"/>
      <c r="V259"/>
      <c r="W259"/>
      <c r="X259"/>
      <c r="Y259"/>
      <c r="Z259"/>
      <c r="AA259"/>
      <c r="AB259"/>
      <c r="AC259"/>
    </row>
    <row r="260" spans="1:29" ht="15.75">
      <c r="A260" s="28"/>
      <c r="B260" s="346">
        <f t="shared" si="27"/>
        <v>224</v>
      </c>
      <c r="C260" s="347">
        <f t="shared" si="28"/>
        <v>0</v>
      </c>
      <c r="D260" s="347">
        <f t="shared" si="29"/>
        <v>0</v>
      </c>
      <c r="E260" s="347">
        <f t="shared" si="30"/>
        <v>0</v>
      </c>
      <c r="F260" s="347">
        <f t="shared" si="31"/>
        <v>0</v>
      </c>
      <c r="G260" s="347">
        <f t="shared" si="32"/>
        <v>0</v>
      </c>
      <c r="H260" s="347">
        <f t="shared" si="33"/>
        <v>0</v>
      </c>
      <c r="I260" s="347">
        <f t="shared" si="34"/>
        <v>0</v>
      </c>
      <c r="J260" s="347">
        <f t="shared" si="35"/>
        <v>0</v>
      </c>
      <c r="K260"/>
      <c r="L260"/>
      <c r="M260"/>
      <c r="N260"/>
      <c r="O260"/>
      <c r="P260"/>
      <c r="Q260"/>
      <c r="R260"/>
      <c r="S260"/>
      <c r="T260"/>
      <c r="U260"/>
      <c r="V260"/>
      <c r="W260"/>
      <c r="X260"/>
      <c r="Y260"/>
      <c r="Z260"/>
      <c r="AA260"/>
      <c r="AB260"/>
      <c r="AC260"/>
    </row>
    <row r="261" spans="1:29" ht="15.75">
      <c r="A261" s="28"/>
      <c r="B261" s="346">
        <f t="shared" si="27"/>
        <v>225</v>
      </c>
      <c r="C261" s="347">
        <f t="shared" si="28"/>
        <v>0</v>
      </c>
      <c r="D261" s="347">
        <f t="shared" si="29"/>
        <v>0</v>
      </c>
      <c r="E261" s="347">
        <f t="shared" si="30"/>
        <v>0</v>
      </c>
      <c r="F261" s="347">
        <f t="shared" si="31"/>
        <v>0</v>
      </c>
      <c r="G261" s="347">
        <f t="shared" si="32"/>
        <v>0</v>
      </c>
      <c r="H261" s="347">
        <f t="shared" si="33"/>
        <v>0</v>
      </c>
      <c r="I261" s="347">
        <f t="shared" si="34"/>
        <v>0</v>
      </c>
      <c r="J261" s="347">
        <f t="shared" si="35"/>
        <v>0</v>
      </c>
      <c r="K261"/>
      <c r="L261"/>
      <c r="M261"/>
      <c r="N261"/>
      <c r="O261"/>
      <c r="P261"/>
      <c r="Q261"/>
      <c r="R261"/>
      <c r="S261"/>
      <c r="T261"/>
      <c r="U261"/>
      <c r="V261"/>
      <c r="W261"/>
      <c r="X261"/>
      <c r="Y261"/>
      <c r="Z261"/>
      <c r="AA261"/>
      <c r="AB261"/>
      <c r="AC261"/>
    </row>
    <row r="262" spans="1:29" ht="15.75">
      <c r="A262" s="28"/>
      <c r="B262" s="346">
        <f t="shared" si="27"/>
        <v>226</v>
      </c>
      <c r="C262" s="347">
        <f t="shared" si="28"/>
        <v>0</v>
      </c>
      <c r="D262" s="347">
        <f t="shared" si="29"/>
        <v>0</v>
      </c>
      <c r="E262" s="347">
        <f t="shared" si="30"/>
        <v>0</v>
      </c>
      <c r="F262" s="347">
        <f t="shared" si="31"/>
        <v>0</v>
      </c>
      <c r="G262" s="347">
        <f t="shared" si="32"/>
        <v>0</v>
      </c>
      <c r="H262" s="347">
        <f t="shared" si="33"/>
        <v>0</v>
      </c>
      <c r="I262" s="347">
        <f t="shared" si="34"/>
        <v>0</v>
      </c>
      <c r="J262" s="347">
        <f t="shared" si="35"/>
        <v>0</v>
      </c>
      <c r="K262"/>
      <c r="L262"/>
      <c r="M262"/>
      <c r="N262"/>
      <c r="O262"/>
      <c r="P262"/>
      <c r="Q262"/>
      <c r="R262"/>
      <c r="S262"/>
      <c r="T262"/>
      <c r="U262"/>
      <c r="V262"/>
      <c r="W262"/>
      <c r="X262"/>
      <c r="Y262"/>
      <c r="Z262"/>
      <c r="AA262"/>
      <c r="AB262"/>
      <c r="AC262"/>
    </row>
    <row r="263" spans="1:29" ht="15.75">
      <c r="A263" s="28"/>
      <c r="B263" s="346">
        <f t="shared" si="27"/>
        <v>227</v>
      </c>
      <c r="C263" s="347">
        <f t="shared" si="28"/>
        <v>0</v>
      </c>
      <c r="D263" s="347">
        <f t="shared" si="29"/>
        <v>0</v>
      </c>
      <c r="E263" s="347">
        <f t="shared" si="30"/>
        <v>0</v>
      </c>
      <c r="F263" s="347">
        <f t="shared" si="31"/>
        <v>0</v>
      </c>
      <c r="G263" s="347">
        <f t="shared" si="32"/>
        <v>0</v>
      </c>
      <c r="H263" s="347">
        <f t="shared" si="33"/>
        <v>0</v>
      </c>
      <c r="I263" s="347">
        <f t="shared" si="34"/>
        <v>0</v>
      </c>
      <c r="J263" s="347">
        <f t="shared" si="35"/>
        <v>0</v>
      </c>
      <c r="K263"/>
      <c r="L263"/>
      <c r="M263"/>
      <c r="N263"/>
      <c r="O263"/>
      <c r="P263"/>
      <c r="Q263"/>
      <c r="R263"/>
      <c r="S263"/>
      <c r="T263"/>
      <c r="U263"/>
      <c r="V263"/>
      <c r="W263"/>
      <c r="X263"/>
      <c r="Y263"/>
      <c r="Z263"/>
      <c r="AA263"/>
      <c r="AB263"/>
      <c r="AC263"/>
    </row>
    <row r="264" spans="1:29" ht="15.75">
      <c r="A264" s="28"/>
      <c r="B264" s="346">
        <f t="shared" si="27"/>
        <v>228</v>
      </c>
      <c r="C264" s="347">
        <f t="shared" si="28"/>
        <v>0</v>
      </c>
      <c r="D264" s="347">
        <f t="shared" si="29"/>
        <v>0</v>
      </c>
      <c r="E264" s="347">
        <f t="shared" si="30"/>
        <v>0</v>
      </c>
      <c r="F264" s="347">
        <f t="shared" si="31"/>
        <v>0</v>
      </c>
      <c r="G264" s="347">
        <f t="shared" si="32"/>
        <v>0</v>
      </c>
      <c r="H264" s="347">
        <f t="shared" si="33"/>
        <v>0</v>
      </c>
      <c r="I264" s="347">
        <f t="shared" si="34"/>
        <v>0</v>
      </c>
      <c r="J264" s="347">
        <f t="shared" si="35"/>
        <v>0</v>
      </c>
      <c r="K264"/>
      <c r="L264"/>
      <c r="M264"/>
      <c r="N264"/>
      <c r="O264"/>
      <c r="P264"/>
      <c r="Q264"/>
      <c r="R264"/>
      <c r="S264"/>
      <c r="T264"/>
      <c r="U264"/>
      <c r="V264"/>
      <c r="W264"/>
      <c r="X264"/>
      <c r="Y264"/>
      <c r="Z264"/>
      <c r="AA264"/>
      <c r="AB264"/>
      <c r="AC264"/>
    </row>
    <row r="265" spans="1:29" ht="15.75">
      <c r="A265" s="28"/>
      <c r="B265" s="346">
        <f t="shared" si="27"/>
        <v>229</v>
      </c>
      <c r="C265" s="347">
        <f t="shared" si="28"/>
        <v>0</v>
      </c>
      <c r="D265" s="347">
        <f t="shared" si="29"/>
        <v>0</v>
      </c>
      <c r="E265" s="347">
        <f t="shared" si="30"/>
        <v>0</v>
      </c>
      <c r="F265" s="347">
        <f t="shared" si="31"/>
        <v>0</v>
      </c>
      <c r="G265" s="347">
        <f t="shared" si="32"/>
        <v>0</v>
      </c>
      <c r="H265" s="347">
        <f t="shared" si="33"/>
        <v>0</v>
      </c>
      <c r="I265" s="347">
        <f t="shared" si="34"/>
        <v>0</v>
      </c>
      <c r="J265" s="347">
        <f t="shared" si="35"/>
        <v>0</v>
      </c>
      <c r="K265"/>
      <c r="L265"/>
      <c r="M265"/>
      <c r="N265"/>
      <c r="O265"/>
      <c r="P265"/>
      <c r="Q265"/>
      <c r="R265"/>
      <c r="S265"/>
      <c r="T265"/>
      <c r="U265"/>
      <c r="V265"/>
      <c r="W265"/>
      <c r="X265"/>
      <c r="Y265"/>
      <c r="Z265"/>
      <c r="AA265"/>
      <c r="AB265"/>
      <c r="AC265"/>
    </row>
    <row r="266" spans="1:29" ht="15.75">
      <c r="A266" s="28"/>
      <c r="B266" s="346">
        <f t="shared" si="27"/>
        <v>230</v>
      </c>
      <c r="C266" s="347">
        <f t="shared" si="28"/>
        <v>0</v>
      </c>
      <c r="D266" s="347">
        <f t="shared" si="29"/>
        <v>0</v>
      </c>
      <c r="E266" s="347">
        <f t="shared" si="30"/>
        <v>0</v>
      </c>
      <c r="F266" s="347">
        <f t="shared" si="31"/>
        <v>0</v>
      </c>
      <c r="G266" s="347">
        <f t="shared" si="32"/>
        <v>0</v>
      </c>
      <c r="H266" s="347">
        <f t="shared" si="33"/>
        <v>0</v>
      </c>
      <c r="I266" s="347">
        <f t="shared" si="34"/>
        <v>0</v>
      </c>
      <c r="J266" s="347">
        <f t="shared" si="35"/>
        <v>0</v>
      </c>
      <c r="K266"/>
      <c r="L266"/>
      <c r="M266"/>
      <c r="N266"/>
      <c r="O266"/>
      <c r="P266"/>
      <c r="Q266"/>
      <c r="R266"/>
      <c r="S266"/>
      <c r="T266"/>
      <c r="U266"/>
      <c r="V266"/>
      <c r="W266"/>
      <c r="X266"/>
      <c r="Y266"/>
      <c r="Z266"/>
      <c r="AA266"/>
      <c r="AB266"/>
      <c r="AC266"/>
    </row>
    <row r="267" spans="1:29" ht="15.75">
      <c r="A267" s="28"/>
      <c r="B267" s="346">
        <f t="shared" si="27"/>
        <v>231</v>
      </c>
      <c r="C267" s="347">
        <f t="shared" si="28"/>
        <v>0</v>
      </c>
      <c r="D267" s="347">
        <f t="shared" si="29"/>
        <v>0</v>
      </c>
      <c r="E267" s="347">
        <f t="shared" si="30"/>
        <v>0</v>
      </c>
      <c r="F267" s="347">
        <f t="shared" si="31"/>
        <v>0</v>
      </c>
      <c r="G267" s="347">
        <f t="shared" si="32"/>
        <v>0</v>
      </c>
      <c r="H267" s="347">
        <f t="shared" si="33"/>
        <v>0</v>
      </c>
      <c r="I267" s="347">
        <f t="shared" si="34"/>
        <v>0</v>
      </c>
      <c r="J267" s="347">
        <f t="shared" si="35"/>
        <v>0</v>
      </c>
      <c r="K267"/>
      <c r="L267"/>
      <c r="M267"/>
      <c r="N267"/>
      <c r="O267"/>
      <c r="P267"/>
      <c r="Q267"/>
      <c r="R267"/>
      <c r="S267"/>
      <c r="T267"/>
      <c r="U267"/>
      <c r="V267"/>
      <c r="W267"/>
      <c r="X267"/>
      <c r="Y267"/>
      <c r="Z267"/>
      <c r="AA267"/>
      <c r="AB267"/>
      <c r="AC267"/>
    </row>
    <row r="268" spans="1:29" ht="15.75">
      <c r="A268" s="28"/>
      <c r="B268" s="346">
        <f t="shared" si="27"/>
        <v>232</v>
      </c>
      <c r="C268" s="347">
        <f t="shared" si="28"/>
        <v>0</v>
      </c>
      <c r="D268" s="347">
        <f t="shared" si="29"/>
        <v>0</v>
      </c>
      <c r="E268" s="347">
        <f t="shared" si="30"/>
        <v>0</v>
      </c>
      <c r="F268" s="347">
        <f t="shared" si="31"/>
        <v>0</v>
      </c>
      <c r="G268" s="347">
        <f t="shared" si="32"/>
        <v>0</v>
      </c>
      <c r="H268" s="347">
        <f t="shared" si="33"/>
        <v>0</v>
      </c>
      <c r="I268" s="347">
        <f t="shared" si="34"/>
        <v>0</v>
      </c>
      <c r="J268" s="347">
        <f t="shared" si="35"/>
        <v>0</v>
      </c>
      <c r="K268"/>
      <c r="L268"/>
      <c r="M268"/>
      <c r="N268"/>
      <c r="O268"/>
      <c r="P268"/>
      <c r="Q268"/>
      <c r="R268"/>
      <c r="S268"/>
      <c r="T268"/>
      <c r="U268"/>
      <c r="V268"/>
      <c r="W268"/>
      <c r="X268"/>
      <c r="Y268"/>
      <c r="Z268"/>
      <c r="AA268"/>
      <c r="AB268"/>
      <c r="AC268"/>
    </row>
    <row r="269" spans="1:29" ht="15.75">
      <c r="A269" s="28"/>
      <c r="B269" s="346">
        <f t="shared" si="27"/>
        <v>233</v>
      </c>
      <c r="C269" s="347">
        <f t="shared" si="28"/>
        <v>0</v>
      </c>
      <c r="D269" s="347">
        <f t="shared" si="29"/>
        <v>0</v>
      </c>
      <c r="E269" s="347">
        <f t="shared" si="30"/>
        <v>0</v>
      </c>
      <c r="F269" s="347">
        <f t="shared" si="31"/>
        <v>0</v>
      </c>
      <c r="G269" s="347">
        <f t="shared" si="32"/>
        <v>0</v>
      </c>
      <c r="H269" s="347">
        <f t="shared" si="33"/>
        <v>0</v>
      </c>
      <c r="I269" s="347">
        <f t="shared" si="34"/>
        <v>0</v>
      </c>
      <c r="J269" s="347">
        <f t="shared" si="35"/>
        <v>0</v>
      </c>
      <c r="K269"/>
      <c r="L269"/>
      <c r="M269"/>
      <c r="N269"/>
      <c r="O269"/>
      <c r="P269"/>
      <c r="Q269"/>
      <c r="R269"/>
      <c r="S269"/>
      <c r="T269"/>
      <c r="U269"/>
      <c r="V269"/>
      <c r="W269"/>
      <c r="X269"/>
      <c r="Y269"/>
      <c r="Z269"/>
      <c r="AA269"/>
      <c r="AB269"/>
      <c r="AC269"/>
    </row>
    <row r="270" spans="1:29" ht="15.75">
      <c r="A270" s="28"/>
      <c r="B270" s="346">
        <f t="shared" si="27"/>
        <v>234</v>
      </c>
      <c r="C270" s="347">
        <f t="shared" si="28"/>
        <v>0</v>
      </c>
      <c r="D270" s="347">
        <f t="shared" si="29"/>
        <v>0</v>
      </c>
      <c r="E270" s="347">
        <f t="shared" si="30"/>
        <v>0</v>
      </c>
      <c r="F270" s="347">
        <f t="shared" si="31"/>
        <v>0</v>
      </c>
      <c r="G270" s="347">
        <f t="shared" si="32"/>
        <v>0</v>
      </c>
      <c r="H270" s="347">
        <f t="shared" si="33"/>
        <v>0</v>
      </c>
      <c r="I270" s="347">
        <f t="shared" si="34"/>
        <v>0</v>
      </c>
      <c r="J270" s="347">
        <f t="shared" si="35"/>
        <v>0</v>
      </c>
      <c r="K270"/>
      <c r="L270"/>
      <c r="M270"/>
      <c r="N270"/>
      <c r="O270"/>
      <c r="P270"/>
      <c r="Q270"/>
      <c r="R270"/>
      <c r="S270"/>
      <c r="T270"/>
      <c r="U270"/>
      <c r="V270"/>
      <c r="W270"/>
      <c r="X270"/>
      <c r="Y270"/>
      <c r="Z270"/>
      <c r="AA270"/>
      <c r="AB270"/>
      <c r="AC270"/>
    </row>
    <row r="271" spans="1:29" ht="15.75">
      <c r="A271" s="28"/>
      <c r="B271" s="346">
        <f t="shared" si="27"/>
        <v>235</v>
      </c>
      <c r="C271" s="347">
        <f t="shared" si="28"/>
        <v>0</v>
      </c>
      <c r="D271" s="347">
        <f t="shared" si="29"/>
        <v>0</v>
      </c>
      <c r="E271" s="347">
        <f t="shared" si="30"/>
        <v>0</v>
      </c>
      <c r="F271" s="347">
        <f t="shared" si="31"/>
        <v>0</v>
      </c>
      <c r="G271" s="347">
        <f t="shared" si="32"/>
        <v>0</v>
      </c>
      <c r="H271" s="347">
        <f t="shared" si="33"/>
        <v>0</v>
      </c>
      <c r="I271" s="347">
        <f t="shared" si="34"/>
        <v>0</v>
      </c>
      <c r="J271" s="347">
        <f t="shared" si="35"/>
        <v>0</v>
      </c>
      <c r="K271"/>
      <c r="L271"/>
      <c r="M271"/>
      <c r="N271"/>
      <c r="O271"/>
      <c r="P271"/>
      <c r="Q271"/>
      <c r="R271"/>
      <c r="S271"/>
      <c r="T271"/>
      <c r="U271"/>
      <c r="V271"/>
      <c r="W271"/>
      <c r="X271"/>
      <c r="Y271"/>
      <c r="Z271"/>
      <c r="AA271"/>
      <c r="AB271"/>
      <c r="AC271"/>
    </row>
    <row r="272" spans="1:29" ht="15.75">
      <c r="A272" s="28"/>
      <c r="B272" s="346">
        <f t="shared" si="27"/>
        <v>236</v>
      </c>
      <c r="C272" s="347">
        <f t="shared" si="28"/>
        <v>0</v>
      </c>
      <c r="D272" s="347">
        <f t="shared" si="29"/>
        <v>0</v>
      </c>
      <c r="E272" s="347">
        <f t="shared" si="30"/>
        <v>0</v>
      </c>
      <c r="F272" s="347">
        <f t="shared" si="31"/>
        <v>0</v>
      </c>
      <c r="G272" s="347">
        <f t="shared" si="32"/>
        <v>0</v>
      </c>
      <c r="H272" s="347">
        <f t="shared" si="33"/>
        <v>0</v>
      </c>
      <c r="I272" s="347">
        <f t="shared" si="34"/>
        <v>0</v>
      </c>
      <c r="J272" s="347">
        <f t="shared" si="35"/>
        <v>0</v>
      </c>
      <c r="K272"/>
      <c r="L272"/>
      <c r="M272"/>
      <c r="N272"/>
      <c r="O272"/>
      <c r="P272"/>
      <c r="Q272"/>
      <c r="R272"/>
      <c r="S272"/>
      <c r="T272"/>
      <c r="U272"/>
      <c r="V272"/>
      <c r="W272"/>
      <c r="X272"/>
      <c r="Y272"/>
      <c r="Z272"/>
      <c r="AA272"/>
      <c r="AB272"/>
      <c r="AC272"/>
    </row>
    <row r="273" spans="1:29" ht="15.75">
      <c r="A273" s="28"/>
      <c r="B273" s="346">
        <f t="shared" si="27"/>
        <v>237</v>
      </c>
      <c r="C273" s="347">
        <f t="shared" si="28"/>
        <v>0</v>
      </c>
      <c r="D273" s="347">
        <f t="shared" si="29"/>
        <v>0</v>
      </c>
      <c r="E273" s="347">
        <f t="shared" si="30"/>
        <v>0</v>
      </c>
      <c r="F273" s="347">
        <f t="shared" si="31"/>
        <v>0</v>
      </c>
      <c r="G273" s="347">
        <f t="shared" si="32"/>
        <v>0</v>
      </c>
      <c r="H273" s="347">
        <f t="shared" si="33"/>
        <v>0</v>
      </c>
      <c r="I273" s="347">
        <f t="shared" si="34"/>
        <v>0</v>
      </c>
      <c r="J273" s="347">
        <f t="shared" si="35"/>
        <v>0</v>
      </c>
      <c r="K273"/>
      <c r="L273"/>
      <c r="M273"/>
      <c r="N273"/>
      <c r="O273"/>
      <c r="P273"/>
      <c r="Q273"/>
      <c r="R273"/>
      <c r="S273"/>
      <c r="T273"/>
      <c r="U273"/>
      <c r="V273"/>
      <c r="W273"/>
      <c r="X273"/>
      <c r="Y273"/>
      <c r="Z273"/>
      <c r="AA273"/>
      <c r="AB273"/>
      <c r="AC273"/>
    </row>
    <row r="274" spans="1:29" ht="15.75">
      <c r="A274" s="28"/>
      <c r="B274" s="346">
        <f t="shared" si="27"/>
        <v>238</v>
      </c>
      <c r="C274" s="347">
        <f t="shared" si="28"/>
        <v>0</v>
      </c>
      <c r="D274" s="347">
        <f t="shared" si="29"/>
        <v>0</v>
      </c>
      <c r="E274" s="347">
        <f t="shared" si="30"/>
        <v>0</v>
      </c>
      <c r="F274" s="347">
        <f t="shared" si="31"/>
        <v>0</v>
      </c>
      <c r="G274" s="347">
        <f t="shared" si="32"/>
        <v>0</v>
      </c>
      <c r="H274" s="347">
        <f t="shared" si="33"/>
        <v>0</v>
      </c>
      <c r="I274" s="347">
        <f t="shared" si="34"/>
        <v>0</v>
      </c>
      <c r="J274" s="347">
        <f t="shared" si="35"/>
        <v>0</v>
      </c>
      <c r="K274"/>
      <c r="L274"/>
      <c r="M274"/>
      <c r="N274"/>
      <c r="O274"/>
      <c r="P274"/>
      <c r="Q274"/>
      <c r="R274"/>
      <c r="S274"/>
      <c r="T274"/>
      <c r="U274"/>
      <c r="V274"/>
      <c r="W274"/>
      <c r="X274"/>
      <c r="Y274"/>
      <c r="Z274"/>
      <c r="AA274"/>
      <c r="AB274"/>
      <c r="AC274"/>
    </row>
    <row r="275" spans="1:29" ht="15.75">
      <c r="A275" s="28"/>
      <c r="B275" s="346">
        <f t="shared" si="27"/>
        <v>239</v>
      </c>
      <c r="C275" s="347">
        <f t="shared" si="28"/>
        <v>0</v>
      </c>
      <c r="D275" s="347">
        <f t="shared" si="29"/>
        <v>0</v>
      </c>
      <c r="E275" s="347">
        <f t="shared" si="30"/>
        <v>0</v>
      </c>
      <c r="F275" s="347">
        <f t="shared" si="31"/>
        <v>0</v>
      </c>
      <c r="G275" s="347">
        <f t="shared" si="32"/>
        <v>0</v>
      </c>
      <c r="H275" s="347">
        <f t="shared" si="33"/>
        <v>0</v>
      </c>
      <c r="I275" s="347">
        <f t="shared" si="34"/>
        <v>0</v>
      </c>
      <c r="J275" s="347">
        <f t="shared" si="35"/>
        <v>0</v>
      </c>
      <c r="K275"/>
      <c r="L275"/>
      <c r="M275"/>
      <c r="N275"/>
      <c r="O275"/>
      <c r="P275"/>
      <c r="Q275"/>
      <c r="R275"/>
      <c r="S275"/>
      <c r="T275"/>
      <c r="U275"/>
      <c r="V275"/>
      <c r="W275"/>
      <c r="X275"/>
      <c r="Y275"/>
      <c r="Z275"/>
      <c r="AA275"/>
      <c r="AB275"/>
      <c r="AC275"/>
    </row>
    <row r="276" spans="1:29" ht="15.75">
      <c r="A276" s="28"/>
      <c r="B276" s="346">
        <f t="shared" si="27"/>
        <v>240</v>
      </c>
      <c r="C276" s="347">
        <f t="shared" si="28"/>
        <v>0</v>
      </c>
      <c r="D276" s="347">
        <f t="shared" si="29"/>
        <v>0</v>
      </c>
      <c r="E276" s="347">
        <f t="shared" si="30"/>
        <v>0</v>
      </c>
      <c r="F276" s="347">
        <f t="shared" si="31"/>
        <v>0</v>
      </c>
      <c r="G276" s="347">
        <f t="shared" si="32"/>
        <v>0</v>
      </c>
      <c r="H276" s="347">
        <f t="shared" si="33"/>
        <v>0</v>
      </c>
      <c r="I276" s="347">
        <f t="shared" si="34"/>
        <v>0</v>
      </c>
      <c r="J276" s="347">
        <f t="shared" si="35"/>
        <v>0</v>
      </c>
      <c r="K276"/>
      <c r="L276"/>
      <c r="M276"/>
      <c r="N276"/>
      <c r="O276"/>
      <c r="P276"/>
      <c r="Q276"/>
      <c r="R276"/>
      <c r="S276"/>
      <c r="T276"/>
      <c r="U276"/>
      <c r="V276"/>
      <c r="W276"/>
      <c r="X276"/>
      <c r="Y276"/>
      <c r="Z276"/>
      <c r="AA276"/>
      <c r="AB276"/>
      <c r="AC276"/>
    </row>
    <row r="277" spans="1:29" ht="15.75">
      <c r="A277" s="28"/>
      <c r="B277" s="346">
        <f t="shared" si="27"/>
        <v>241</v>
      </c>
      <c r="C277" s="347">
        <f t="shared" si="28"/>
        <v>0</v>
      </c>
      <c r="D277" s="347">
        <f t="shared" si="29"/>
        <v>0</v>
      </c>
      <c r="E277" s="347">
        <f t="shared" si="30"/>
        <v>0</v>
      </c>
      <c r="F277" s="347">
        <f t="shared" si="31"/>
        <v>0</v>
      </c>
      <c r="G277" s="347">
        <f t="shared" si="32"/>
        <v>0</v>
      </c>
      <c r="H277" s="347">
        <f t="shared" si="33"/>
        <v>0</v>
      </c>
      <c r="I277" s="347">
        <f t="shared" si="34"/>
        <v>0</v>
      </c>
      <c r="J277" s="347">
        <f t="shared" si="35"/>
        <v>0</v>
      </c>
      <c r="K277"/>
      <c r="L277"/>
      <c r="M277"/>
      <c r="N277"/>
      <c r="O277"/>
      <c r="P277"/>
      <c r="Q277"/>
      <c r="R277"/>
      <c r="S277"/>
      <c r="T277"/>
      <c r="U277"/>
      <c r="V277"/>
      <c r="W277"/>
      <c r="X277"/>
      <c r="Y277"/>
      <c r="Z277"/>
      <c r="AA277"/>
      <c r="AB277"/>
      <c r="AC277"/>
    </row>
    <row r="278" spans="1:29" ht="15.75">
      <c r="A278" s="28"/>
      <c r="B278" s="346">
        <f t="shared" si="27"/>
        <v>242</v>
      </c>
      <c r="C278" s="347">
        <f t="shared" si="28"/>
        <v>0</v>
      </c>
      <c r="D278" s="347">
        <f t="shared" si="29"/>
        <v>0</v>
      </c>
      <c r="E278" s="347">
        <f t="shared" si="30"/>
        <v>0</v>
      </c>
      <c r="F278" s="347">
        <f t="shared" si="31"/>
        <v>0</v>
      </c>
      <c r="G278" s="347">
        <f t="shared" si="32"/>
        <v>0</v>
      </c>
      <c r="H278" s="347">
        <f t="shared" si="33"/>
        <v>0</v>
      </c>
      <c r="I278" s="347">
        <f t="shared" si="34"/>
        <v>0</v>
      </c>
      <c r="J278" s="347">
        <f t="shared" si="35"/>
        <v>0</v>
      </c>
      <c r="K278"/>
      <c r="L278"/>
      <c r="M278"/>
      <c r="N278"/>
      <c r="O278"/>
      <c r="P278"/>
      <c r="Q278"/>
      <c r="R278"/>
      <c r="S278"/>
      <c r="T278"/>
      <c r="U278"/>
      <c r="V278"/>
      <c r="W278"/>
      <c r="X278"/>
      <c r="Y278"/>
      <c r="Z278"/>
      <c r="AA278"/>
      <c r="AB278"/>
      <c r="AC278"/>
    </row>
    <row r="279" spans="1:29" ht="15.75">
      <c r="A279" s="28"/>
      <c r="B279" s="346">
        <f t="shared" si="27"/>
        <v>243</v>
      </c>
      <c r="C279" s="347">
        <f t="shared" si="28"/>
        <v>0</v>
      </c>
      <c r="D279" s="347">
        <f t="shared" si="29"/>
        <v>0</v>
      </c>
      <c r="E279" s="347">
        <f t="shared" si="30"/>
        <v>0</v>
      </c>
      <c r="F279" s="347">
        <f t="shared" si="31"/>
        <v>0</v>
      </c>
      <c r="G279" s="347">
        <f t="shared" si="32"/>
        <v>0</v>
      </c>
      <c r="H279" s="347">
        <f t="shared" si="33"/>
        <v>0</v>
      </c>
      <c r="I279" s="347">
        <f t="shared" si="34"/>
        <v>0</v>
      </c>
      <c r="J279" s="347">
        <f t="shared" si="35"/>
        <v>0</v>
      </c>
      <c r="K279"/>
      <c r="L279"/>
      <c r="M279"/>
      <c r="N279"/>
      <c r="O279"/>
      <c r="P279"/>
      <c r="Q279"/>
      <c r="R279"/>
      <c r="S279"/>
      <c r="T279"/>
      <c r="U279"/>
      <c r="V279"/>
      <c r="W279"/>
      <c r="X279"/>
      <c r="Y279"/>
      <c r="Z279"/>
      <c r="AA279"/>
      <c r="AB279"/>
      <c r="AC279"/>
    </row>
    <row r="280" spans="1:29" ht="15.75">
      <c r="A280" s="28"/>
      <c r="B280" s="346">
        <f t="shared" si="27"/>
        <v>244</v>
      </c>
      <c r="C280" s="347">
        <f t="shared" si="28"/>
        <v>0</v>
      </c>
      <c r="D280" s="347">
        <f t="shared" si="29"/>
        <v>0</v>
      </c>
      <c r="E280" s="347">
        <f t="shared" si="30"/>
        <v>0</v>
      </c>
      <c r="F280" s="347">
        <f t="shared" si="31"/>
        <v>0</v>
      </c>
      <c r="G280" s="347">
        <f t="shared" si="32"/>
        <v>0</v>
      </c>
      <c r="H280" s="347">
        <f t="shared" si="33"/>
        <v>0</v>
      </c>
      <c r="I280" s="347">
        <f t="shared" si="34"/>
        <v>0</v>
      </c>
      <c r="J280" s="347">
        <f t="shared" si="35"/>
        <v>0</v>
      </c>
      <c r="K280"/>
      <c r="L280"/>
      <c r="M280"/>
      <c r="N280"/>
      <c r="O280"/>
      <c r="P280"/>
      <c r="Q280"/>
      <c r="R280"/>
      <c r="S280"/>
      <c r="T280"/>
      <c r="U280"/>
      <c r="V280"/>
      <c r="W280"/>
      <c r="X280"/>
      <c r="Y280"/>
      <c r="Z280"/>
      <c r="AA280"/>
      <c r="AB280"/>
      <c r="AC280"/>
    </row>
    <row r="281" spans="1:29" ht="15.75">
      <c r="A281" s="28"/>
      <c r="B281" s="346">
        <f t="shared" si="27"/>
        <v>245</v>
      </c>
      <c r="C281" s="347">
        <f t="shared" si="28"/>
        <v>0</v>
      </c>
      <c r="D281" s="347">
        <f t="shared" si="29"/>
        <v>0</v>
      </c>
      <c r="E281" s="347">
        <f t="shared" si="30"/>
        <v>0</v>
      </c>
      <c r="F281" s="347">
        <f t="shared" si="31"/>
        <v>0</v>
      </c>
      <c r="G281" s="347">
        <f t="shared" si="32"/>
        <v>0</v>
      </c>
      <c r="H281" s="347">
        <f t="shared" si="33"/>
        <v>0</v>
      </c>
      <c r="I281" s="347">
        <f t="shared" si="34"/>
        <v>0</v>
      </c>
      <c r="J281" s="347">
        <f t="shared" si="35"/>
        <v>0</v>
      </c>
      <c r="K281"/>
      <c r="L281"/>
      <c r="M281"/>
      <c r="N281"/>
      <c r="O281"/>
      <c r="P281"/>
      <c r="Q281"/>
      <c r="R281"/>
      <c r="S281"/>
      <c r="T281"/>
      <c r="U281"/>
      <c r="V281"/>
      <c r="W281"/>
      <c r="X281"/>
      <c r="Y281"/>
      <c r="Z281"/>
      <c r="AA281"/>
      <c r="AB281"/>
      <c r="AC281"/>
    </row>
    <row r="282" spans="1:29" ht="15.75">
      <c r="A282" s="28"/>
      <c r="B282" s="346">
        <f t="shared" si="27"/>
        <v>246</v>
      </c>
      <c r="C282" s="347">
        <f t="shared" si="28"/>
        <v>0</v>
      </c>
      <c r="D282" s="347">
        <f t="shared" si="29"/>
        <v>0</v>
      </c>
      <c r="E282" s="347">
        <f t="shared" si="30"/>
        <v>0</v>
      </c>
      <c r="F282" s="347">
        <f t="shared" si="31"/>
        <v>0</v>
      </c>
      <c r="G282" s="347">
        <f t="shared" si="32"/>
        <v>0</v>
      </c>
      <c r="H282" s="347">
        <f t="shared" si="33"/>
        <v>0</v>
      </c>
      <c r="I282" s="347">
        <f t="shared" si="34"/>
        <v>0</v>
      </c>
      <c r="J282" s="347">
        <f t="shared" si="35"/>
        <v>0</v>
      </c>
      <c r="K282"/>
      <c r="L282"/>
      <c r="M282"/>
      <c r="N282"/>
      <c r="O282"/>
      <c r="P282"/>
      <c r="Q282"/>
      <c r="R282"/>
      <c r="S282"/>
      <c r="T282"/>
      <c r="U282"/>
      <c r="V282"/>
      <c r="W282"/>
      <c r="X282"/>
      <c r="Y282"/>
      <c r="Z282"/>
      <c r="AA282"/>
      <c r="AB282"/>
      <c r="AC282"/>
    </row>
    <row r="283" spans="1:29" ht="15.75">
      <c r="A283" s="28"/>
      <c r="B283" s="346">
        <f t="shared" si="27"/>
        <v>247</v>
      </c>
      <c r="C283" s="347">
        <f t="shared" si="28"/>
        <v>0</v>
      </c>
      <c r="D283" s="347">
        <f t="shared" si="29"/>
        <v>0</v>
      </c>
      <c r="E283" s="347">
        <f t="shared" si="30"/>
        <v>0</v>
      </c>
      <c r="F283" s="347">
        <f t="shared" si="31"/>
        <v>0</v>
      </c>
      <c r="G283" s="347">
        <f t="shared" si="32"/>
        <v>0</v>
      </c>
      <c r="H283" s="347">
        <f t="shared" si="33"/>
        <v>0</v>
      </c>
      <c r="I283" s="347">
        <f t="shared" si="34"/>
        <v>0</v>
      </c>
      <c r="J283" s="347">
        <f t="shared" si="35"/>
        <v>0</v>
      </c>
      <c r="K283"/>
      <c r="L283"/>
      <c r="M283"/>
      <c r="N283"/>
      <c r="O283"/>
      <c r="P283"/>
      <c r="Q283"/>
      <c r="R283"/>
      <c r="S283"/>
      <c r="T283"/>
      <c r="U283"/>
      <c r="V283"/>
      <c r="W283"/>
      <c r="X283"/>
      <c r="Y283"/>
      <c r="Z283"/>
      <c r="AA283"/>
      <c r="AB283"/>
      <c r="AC283"/>
    </row>
    <row r="284" spans="1:29" ht="15.75">
      <c r="A284" s="28"/>
      <c r="B284" s="346">
        <f t="shared" si="27"/>
        <v>248</v>
      </c>
      <c r="C284" s="347">
        <f t="shared" si="28"/>
        <v>0</v>
      </c>
      <c r="D284" s="347">
        <f t="shared" si="29"/>
        <v>0</v>
      </c>
      <c r="E284" s="347">
        <f t="shared" si="30"/>
        <v>0</v>
      </c>
      <c r="F284" s="347">
        <f t="shared" si="31"/>
        <v>0</v>
      </c>
      <c r="G284" s="347">
        <f t="shared" si="32"/>
        <v>0</v>
      </c>
      <c r="H284" s="347">
        <f t="shared" si="33"/>
        <v>0</v>
      </c>
      <c r="I284" s="347">
        <f t="shared" si="34"/>
        <v>0</v>
      </c>
      <c r="J284" s="347">
        <f t="shared" si="35"/>
        <v>0</v>
      </c>
      <c r="K284"/>
      <c r="L284"/>
      <c r="M284"/>
      <c r="N284"/>
      <c r="O284"/>
      <c r="P284"/>
      <c r="Q284"/>
      <c r="R284"/>
      <c r="S284"/>
      <c r="T284"/>
      <c r="U284"/>
      <c r="V284"/>
      <c r="W284"/>
      <c r="X284"/>
      <c r="Y284"/>
      <c r="Z284"/>
      <c r="AA284"/>
      <c r="AB284"/>
      <c r="AC284"/>
    </row>
    <row r="285" spans="1:29" ht="15.75">
      <c r="A285" s="28"/>
      <c r="B285" s="346">
        <f t="shared" si="27"/>
        <v>249</v>
      </c>
      <c r="C285" s="347">
        <f t="shared" si="28"/>
        <v>0</v>
      </c>
      <c r="D285" s="347">
        <f t="shared" si="29"/>
        <v>0</v>
      </c>
      <c r="E285" s="347">
        <f t="shared" si="30"/>
        <v>0</v>
      </c>
      <c r="F285" s="347">
        <f t="shared" si="31"/>
        <v>0</v>
      </c>
      <c r="G285" s="347">
        <f t="shared" si="32"/>
        <v>0</v>
      </c>
      <c r="H285" s="347">
        <f t="shared" si="33"/>
        <v>0</v>
      </c>
      <c r="I285" s="347">
        <f t="shared" si="34"/>
        <v>0</v>
      </c>
      <c r="J285" s="347">
        <f t="shared" si="35"/>
        <v>0</v>
      </c>
      <c r="K285"/>
      <c r="L285"/>
      <c r="M285"/>
      <c r="N285"/>
      <c r="O285"/>
      <c r="P285"/>
      <c r="Q285"/>
      <c r="R285"/>
      <c r="S285"/>
      <c r="T285"/>
      <c r="U285"/>
      <c r="V285"/>
      <c r="W285"/>
      <c r="X285"/>
      <c r="Y285"/>
      <c r="Z285"/>
      <c r="AA285"/>
      <c r="AB285"/>
      <c r="AC285"/>
    </row>
    <row r="286" spans="1:29" ht="15.75">
      <c r="A286" s="28"/>
      <c r="B286" s="346">
        <f t="shared" si="27"/>
        <v>250</v>
      </c>
      <c r="C286" s="347">
        <f t="shared" si="28"/>
        <v>0</v>
      </c>
      <c r="D286" s="347">
        <f t="shared" si="29"/>
        <v>0</v>
      </c>
      <c r="E286" s="347">
        <f t="shared" si="30"/>
        <v>0</v>
      </c>
      <c r="F286" s="347">
        <f t="shared" si="31"/>
        <v>0</v>
      </c>
      <c r="G286" s="347">
        <f t="shared" si="32"/>
        <v>0</v>
      </c>
      <c r="H286" s="347">
        <f t="shared" si="33"/>
        <v>0</v>
      </c>
      <c r="I286" s="347">
        <f t="shared" si="34"/>
        <v>0</v>
      </c>
      <c r="J286" s="347">
        <f t="shared" si="35"/>
        <v>0</v>
      </c>
      <c r="K286"/>
      <c r="L286"/>
      <c r="M286"/>
      <c r="N286"/>
      <c r="O286"/>
      <c r="P286"/>
      <c r="Q286"/>
      <c r="R286"/>
      <c r="S286"/>
      <c r="T286"/>
      <c r="U286"/>
      <c r="V286"/>
      <c r="W286"/>
      <c r="X286"/>
      <c r="Y286"/>
      <c r="Z286"/>
      <c r="AA286"/>
      <c r="AB286"/>
      <c r="AC286"/>
    </row>
    <row r="287" spans="1:29" ht="15.75">
      <c r="A287" s="28"/>
      <c r="B287" s="346">
        <f t="shared" si="27"/>
        <v>251</v>
      </c>
      <c r="C287" s="347">
        <f t="shared" si="28"/>
        <v>0</v>
      </c>
      <c r="D287" s="347">
        <f t="shared" si="29"/>
        <v>0</v>
      </c>
      <c r="E287" s="347">
        <f t="shared" si="30"/>
        <v>0</v>
      </c>
      <c r="F287" s="347">
        <f t="shared" si="31"/>
        <v>0</v>
      </c>
      <c r="G287" s="347">
        <f t="shared" si="32"/>
        <v>0</v>
      </c>
      <c r="H287" s="347">
        <f t="shared" si="33"/>
        <v>0</v>
      </c>
      <c r="I287" s="347">
        <f t="shared" si="34"/>
        <v>0</v>
      </c>
      <c r="J287" s="347">
        <f t="shared" si="35"/>
        <v>0</v>
      </c>
      <c r="K287"/>
      <c r="L287"/>
      <c r="M287"/>
      <c r="N287"/>
      <c r="O287"/>
      <c r="P287"/>
      <c r="Q287"/>
      <c r="R287"/>
      <c r="S287"/>
      <c r="T287"/>
      <c r="U287"/>
      <c r="V287"/>
      <c r="W287"/>
      <c r="X287"/>
      <c r="Y287"/>
      <c r="Z287"/>
      <c r="AA287"/>
      <c r="AB287"/>
      <c r="AC287"/>
    </row>
    <row r="288" spans="1:29" ht="15.75">
      <c r="A288" s="28"/>
      <c r="B288" s="346">
        <f t="shared" si="27"/>
        <v>252</v>
      </c>
      <c r="C288" s="347">
        <f t="shared" si="28"/>
        <v>0</v>
      </c>
      <c r="D288" s="347">
        <f t="shared" si="29"/>
        <v>0</v>
      </c>
      <c r="E288" s="347">
        <f t="shared" si="30"/>
        <v>0</v>
      </c>
      <c r="F288" s="347">
        <f t="shared" si="31"/>
        <v>0</v>
      </c>
      <c r="G288" s="347">
        <f t="shared" si="32"/>
        <v>0</v>
      </c>
      <c r="H288" s="347">
        <f t="shared" si="33"/>
        <v>0</v>
      </c>
      <c r="I288" s="347">
        <f t="shared" si="34"/>
        <v>0</v>
      </c>
      <c r="J288" s="347">
        <f t="shared" si="35"/>
        <v>0</v>
      </c>
      <c r="K288"/>
      <c r="L288"/>
      <c r="M288"/>
      <c r="N288"/>
      <c r="O288"/>
      <c r="P288"/>
      <c r="Q288"/>
      <c r="R288"/>
      <c r="S288"/>
      <c r="T288"/>
      <c r="U288"/>
      <c r="V288"/>
      <c r="W288"/>
      <c r="X288"/>
      <c r="Y288"/>
      <c r="Z288"/>
      <c r="AA288"/>
      <c r="AB288"/>
      <c r="AC288"/>
    </row>
    <row r="289" spans="1:29" ht="15.75">
      <c r="A289" s="28"/>
      <c r="B289" s="346">
        <f t="shared" si="27"/>
        <v>253</v>
      </c>
      <c r="C289" s="347">
        <f t="shared" si="28"/>
        <v>0</v>
      </c>
      <c r="D289" s="347">
        <f t="shared" si="29"/>
        <v>0</v>
      </c>
      <c r="E289" s="347">
        <f t="shared" si="30"/>
        <v>0</v>
      </c>
      <c r="F289" s="347">
        <f t="shared" si="31"/>
        <v>0</v>
      </c>
      <c r="G289" s="347">
        <f t="shared" si="32"/>
        <v>0</v>
      </c>
      <c r="H289" s="347">
        <f t="shared" si="33"/>
        <v>0</v>
      </c>
      <c r="I289" s="347">
        <f t="shared" si="34"/>
        <v>0</v>
      </c>
      <c r="J289" s="347">
        <f t="shared" si="35"/>
        <v>0</v>
      </c>
      <c r="K289"/>
      <c r="L289"/>
      <c r="M289"/>
      <c r="N289"/>
      <c r="O289"/>
      <c r="P289"/>
      <c r="Q289"/>
      <c r="R289"/>
      <c r="S289"/>
      <c r="T289"/>
      <c r="U289"/>
      <c r="V289"/>
      <c r="W289"/>
      <c r="X289"/>
      <c r="Y289"/>
      <c r="Z289"/>
      <c r="AA289"/>
      <c r="AB289"/>
      <c r="AC289"/>
    </row>
    <row r="290" spans="1:29" ht="15.75">
      <c r="A290" s="28"/>
      <c r="B290" s="346">
        <f t="shared" si="27"/>
        <v>254</v>
      </c>
      <c r="C290" s="347">
        <f t="shared" si="28"/>
        <v>0</v>
      </c>
      <c r="D290" s="347">
        <f t="shared" si="29"/>
        <v>0</v>
      </c>
      <c r="E290" s="347">
        <f t="shared" si="30"/>
        <v>0</v>
      </c>
      <c r="F290" s="347">
        <f t="shared" si="31"/>
        <v>0</v>
      </c>
      <c r="G290" s="347">
        <f t="shared" si="32"/>
        <v>0</v>
      </c>
      <c r="H290" s="347">
        <f t="shared" si="33"/>
        <v>0</v>
      </c>
      <c r="I290" s="347">
        <f t="shared" si="34"/>
        <v>0</v>
      </c>
      <c r="J290" s="347">
        <f t="shared" si="35"/>
        <v>0</v>
      </c>
      <c r="K290"/>
      <c r="L290"/>
      <c r="M290"/>
      <c r="N290"/>
      <c r="O290"/>
      <c r="P290"/>
      <c r="Q290"/>
      <c r="R290"/>
      <c r="S290"/>
      <c r="T290"/>
      <c r="U290"/>
      <c r="V290"/>
      <c r="W290"/>
      <c r="X290"/>
      <c r="Y290"/>
      <c r="Z290"/>
      <c r="AA290"/>
      <c r="AB290"/>
      <c r="AC290"/>
    </row>
    <row r="291" spans="1:29" ht="15.75">
      <c r="A291" s="28"/>
      <c r="B291" s="346">
        <f t="shared" si="27"/>
        <v>255</v>
      </c>
      <c r="C291" s="347">
        <f t="shared" si="28"/>
        <v>0</v>
      </c>
      <c r="D291" s="347">
        <f t="shared" si="29"/>
        <v>0</v>
      </c>
      <c r="E291" s="347">
        <f t="shared" si="30"/>
        <v>0</v>
      </c>
      <c r="F291" s="347">
        <f t="shared" si="31"/>
        <v>0</v>
      </c>
      <c r="G291" s="347">
        <f t="shared" si="32"/>
        <v>0</v>
      </c>
      <c r="H291" s="347">
        <f t="shared" si="33"/>
        <v>0</v>
      </c>
      <c r="I291" s="347">
        <f t="shared" si="34"/>
        <v>0</v>
      </c>
      <c r="J291" s="347">
        <f t="shared" si="35"/>
        <v>0</v>
      </c>
      <c r="K291"/>
      <c r="L291"/>
      <c r="M291"/>
      <c r="N291"/>
      <c r="O291"/>
      <c r="P291"/>
      <c r="Q291"/>
      <c r="R291"/>
      <c r="S291"/>
      <c r="T291"/>
      <c r="U291"/>
      <c r="V291"/>
      <c r="W291"/>
      <c r="X291"/>
      <c r="Y291"/>
      <c r="Z291"/>
      <c r="AA291"/>
      <c r="AB291"/>
      <c r="AC291"/>
    </row>
    <row r="292" spans="1:29" ht="15.75">
      <c r="A292" s="28"/>
      <c r="B292" s="346">
        <f t="shared" si="27"/>
        <v>256</v>
      </c>
      <c r="C292" s="347">
        <f t="shared" si="28"/>
        <v>0</v>
      </c>
      <c r="D292" s="347">
        <f t="shared" si="29"/>
        <v>0</v>
      </c>
      <c r="E292" s="347">
        <f t="shared" si="30"/>
        <v>0</v>
      </c>
      <c r="F292" s="347">
        <f t="shared" si="31"/>
        <v>0</v>
      </c>
      <c r="G292" s="347">
        <f t="shared" si="32"/>
        <v>0</v>
      </c>
      <c r="H292" s="347">
        <f t="shared" si="33"/>
        <v>0</v>
      </c>
      <c r="I292" s="347">
        <f t="shared" si="34"/>
        <v>0</v>
      </c>
      <c r="J292" s="347">
        <f t="shared" si="35"/>
        <v>0</v>
      </c>
      <c r="K292"/>
      <c r="L292"/>
      <c r="M292"/>
      <c r="N292"/>
      <c r="O292"/>
      <c r="P292"/>
      <c r="Q292"/>
      <c r="R292"/>
      <c r="S292"/>
      <c r="T292"/>
      <c r="U292"/>
      <c r="V292"/>
      <c r="W292"/>
      <c r="X292"/>
      <c r="Y292"/>
      <c r="Z292"/>
      <c r="AA292"/>
      <c r="AB292"/>
      <c r="AC292"/>
    </row>
    <row r="293" spans="1:29" ht="15.75">
      <c r="A293" s="28"/>
      <c r="B293" s="346">
        <f t="shared" si="27"/>
        <v>257</v>
      </c>
      <c r="C293" s="347">
        <f t="shared" si="28"/>
        <v>0</v>
      </c>
      <c r="D293" s="347">
        <f t="shared" si="29"/>
        <v>0</v>
      </c>
      <c r="E293" s="347">
        <f t="shared" si="30"/>
        <v>0</v>
      </c>
      <c r="F293" s="347">
        <f t="shared" si="31"/>
        <v>0</v>
      </c>
      <c r="G293" s="347">
        <f t="shared" si="32"/>
        <v>0</v>
      </c>
      <c r="H293" s="347">
        <f t="shared" si="33"/>
        <v>0</v>
      </c>
      <c r="I293" s="347">
        <f t="shared" si="34"/>
        <v>0</v>
      </c>
      <c r="J293" s="347">
        <f t="shared" si="35"/>
        <v>0</v>
      </c>
      <c r="K293"/>
      <c r="L293"/>
      <c r="M293"/>
      <c r="N293"/>
      <c r="O293"/>
      <c r="P293"/>
      <c r="Q293"/>
      <c r="R293"/>
      <c r="S293"/>
      <c r="T293"/>
      <c r="U293"/>
      <c r="V293"/>
      <c r="W293"/>
      <c r="X293"/>
      <c r="Y293"/>
      <c r="Z293"/>
      <c r="AA293"/>
      <c r="AB293"/>
      <c r="AC293"/>
    </row>
    <row r="294" spans="1:29" ht="15.75">
      <c r="A294" s="28"/>
      <c r="B294" s="346">
        <f aca="true" t="shared" si="36" ref="B294:B357">1+B293</f>
        <v>258</v>
      </c>
      <c r="C294" s="347">
        <f aca="true" t="shared" si="37" ref="C294:C357">IF((E293&lt;$C$24-G294),E293,$C$24-G294)</f>
        <v>0</v>
      </c>
      <c r="D294" s="347">
        <f aca="true" t="shared" si="38" ref="D294:D357">IF(AND($C$20&lt;=B294,E293&gt;C294+$C$18),IF(MOD($B294,$C$19)=0,$C$18,0),0)</f>
        <v>0</v>
      </c>
      <c r="E294" s="347">
        <f aca="true" t="shared" si="39" ref="E294:E357">IF(E293-C294&lt;=1,0,E293-C294-D294)</f>
        <v>0</v>
      </c>
      <c r="F294" s="347">
        <f aca="true" t="shared" si="40" ref="F294:F357">F293+C294+D294</f>
        <v>0</v>
      </c>
      <c r="G294" s="347">
        <f aca="true" t="shared" si="41" ref="G294:G357">E293*($C$13/$C$15)</f>
        <v>0</v>
      </c>
      <c r="H294" s="347">
        <f aca="true" t="shared" si="42" ref="H294:H357">H293+G294</f>
        <v>0</v>
      </c>
      <c r="I294" s="347">
        <f aca="true" t="shared" si="43" ref="I294:I357">IF(I293-($C$24-J294)&lt;=1,0,I293-($C$24-J294))</f>
        <v>0</v>
      </c>
      <c r="J294" s="347">
        <f aca="true" t="shared" si="44" ref="J294:J357">I293*($C$13/$C$15)</f>
        <v>0</v>
      </c>
      <c r="K294"/>
      <c r="L294"/>
      <c r="M294"/>
      <c r="N294"/>
      <c r="O294"/>
      <c r="P294"/>
      <c r="Q294"/>
      <c r="R294"/>
      <c r="S294"/>
      <c r="T294"/>
      <c r="U294"/>
      <c r="V294"/>
      <c r="W294"/>
      <c r="X294"/>
      <c r="Y294"/>
      <c r="Z294"/>
      <c r="AA294"/>
      <c r="AB294"/>
      <c r="AC294"/>
    </row>
    <row r="295" spans="1:29" ht="15.75">
      <c r="A295" s="28"/>
      <c r="B295" s="346">
        <f t="shared" si="36"/>
        <v>259</v>
      </c>
      <c r="C295" s="347">
        <f t="shared" si="37"/>
        <v>0</v>
      </c>
      <c r="D295" s="347">
        <f t="shared" si="38"/>
        <v>0</v>
      </c>
      <c r="E295" s="347">
        <f t="shared" si="39"/>
        <v>0</v>
      </c>
      <c r="F295" s="347">
        <f t="shared" si="40"/>
        <v>0</v>
      </c>
      <c r="G295" s="347">
        <f t="shared" si="41"/>
        <v>0</v>
      </c>
      <c r="H295" s="347">
        <f t="shared" si="42"/>
        <v>0</v>
      </c>
      <c r="I295" s="347">
        <f t="shared" si="43"/>
        <v>0</v>
      </c>
      <c r="J295" s="347">
        <f t="shared" si="44"/>
        <v>0</v>
      </c>
      <c r="K295"/>
      <c r="L295"/>
      <c r="M295"/>
      <c r="N295"/>
      <c r="O295"/>
      <c r="P295"/>
      <c r="Q295"/>
      <c r="R295"/>
      <c r="S295"/>
      <c r="T295"/>
      <c r="U295"/>
      <c r="V295"/>
      <c r="W295"/>
      <c r="X295"/>
      <c r="Y295"/>
      <c r="Z295"/>
      <c r="AA295"/>
      <c r="AB295"/>
      <c r="AC295"/>
    </row>
    <row r="296" spans="1:29" ht="15.75">
      <c r="A296" s="28"/>
      <c r="B296" s="346">
        <f t="shared" si="36"/>
        <v>260</v>
      </c>
      <c r="C296" s="347">
        <f t="shared" si="37"/>
        <v>0</v>
      </c>
      <c r="D296" s="347">
        <f t="shared" si="38"/>
        <v>0</v>
      </c>
      <c r="E296" s="347">
        <f t="shared" si="39"/>
        <v>0</v>
      </c>
      <c r="F296" s="347">
        <f t="shared" si="40"/>
        <v>0</v>
      </c>
      <c r="G296" s="347">
        <f t="shared" si="41"/>
        <v>0</v>
      </c>
      <c r="H296" s="347">
        <f t="shared" si="42"/>
        <v>0</v>
      </c>
      <c r="I296" s="347">
        <f t="shared" si="43"/>
        <v>0</v>
      </c>
      <c r="J296" s="347">
        <f t="shared" si="44"/>
        <v>0</v>
      </c>
      <c r="K296"/>
      <c r="L296"/>
      <c r="M296"/>
      <c r="N296"/>
      <c r="O296"/>
      <c r="P296"/>
      <c r="Q296"/>
      <c r="R296"/>
      <c r="S296"/>
      <c r="T296"/>
      <c r="U296"/>
      <c r="V296"/>
      <c r="W296"/>
      <c r="X296"/>
      <c r="Y296"/>
      <c r="Z296"/>
      <c r="AA296"/>
      <c r="AB296"/>
      <c r="AC296"/>
    </row>
    <row r="297" spans="1:29" ht="15.75">
      <c r="A297" s="28"/>
      <c r="B297" s="346">
        <f t="shared" si="36"/>
        <v>261</v>
      </c>
      <c r="C297" s="347">
        <f t="shared" si="37"/>
        <v>0</v>
      </c>
      <c r="D297" s="347">
        <f t="shared" si="38"/>
        <v>0</v>
      </c>
      <c r="E297" s="347">
        <f t="shared" si="39"/>
        <v>0</v>
      </c>
      <c r="F297" s="347">
        <f t="shared" si="40"/>
        <v>0</v>
      </c>
      <c r="G297" s="347">
        <f t="shared" si="41"/>
        <v>0</v>
      </c>
      <c r="H297" s="347">
        <f t="shared" si="42"/>
        <v>0</v>
      </c>
      <c r="I297" s="347">
        <f t="shared" si="43"/>
        <v>0</v>
      </c>
      <c r="J297" s="347">
        <f t="shared" si="44"/>
        <v>0</v>
      </c>
      <c r="K297"/>
      <c r="L297"/>
      <c r="M297"/>
      <c r="N297"/>
      <c r="O297"/>
      <c r="P297"/>
      <c r="Q297"/>
      <c r="R297"/>
      <c r="S297"/>
      <c r="T297"/>
      <c r="U297"/>
      <c r="V297"/>
      <c r="W297"/>
      <c r="X297"/>
      <c r="Y297"/>
      <c r="Z297"/>
      <c r="AA297"/>
      <c r="AB297"/>
      <c r="AC297"/>
    </row>
    <row r="298" spans="1:29" ht="15.75">
      <c r="A298" s="28"/>
      <c r="B298" s="346">
        <f t="shared" si="36"/>
        <v>262</v>
      </c>
      <c r="C298" s="347">
        <f t="shared" si="37"/>
        <v>0</v>
      </c>
      <c r="D298" s="347">
        <f t="shared" si="38"/>
        <v>0</v>
      </c>
      <c r="E298" s="347">
        <f t="shared" si="39"/>
        <v>0</v>
      </c>
      <c r="F298" s="347">
        <f t="shared" si="40"/>
        <v>0</v>
      </c>
      <c r="G298" s="347">
        <f t="shared" si="41"/>
        <v>0</v>
      </c>
      <c r="H298" s="347">
        <f t="shared" si="42"/>
        <v>0</v>
      </c>
      <c r="I298" s="347">
        <f t="shared" si="43"/>
        <v>0</v>
      </c>
      <c r="J298" s="347">
        <f t="shared" si="44"/>
        <v>0</v>
      </c>
      <c r="K298"/>
      <c r="L298"/>
      <c r="M298"/>
      <c r="N298"/>
      <c r="O298"/>
      <c r="P298"/>
      <c r="Q298"/>
      <c r="R298"/>
      <c r="S298"/>
      <c r="T298"/>
      <c r="U298"/>
      <c r="V298"/>
      <c r="W298"/>
      <c r="X298"/>
      <c r="Y298"/>
      <c r="Z298"/>
      <c r="AA298"/>
      <c r="AB298"/>
      <c r="AC298"/>
    </row>
    <row r="299" spans="1:29" ht="15.75">
      <c r="A299" s="28"/>
      <c r="B299" s="346">
        <f t="shared" si="36"/>
        <v>263</v>
      </c>
      <c r="C299" s="347">
        <f t="shared" si="37"/>
        <v>0</v>
      </c>
      <c r="D299" s="347">
        <f t="shared" si="38"/>
        <v>0</v>
      </c>
      <c r="E299" s="347">
        <f t="shared" si="39"/>
        <v>0</v>
      </c>
      <c r="F299" s="347">
        <f t="shared" si="40"/>
        <v>0</v>
      </c>
      <c r="G299" s="347">
        <f t="shared" si="41"/>
        <v>0</v>
      </c>
      <c r="H299" s="347">
        <f t="shared" si="42"/>
        <v>0</v>
      </c>
      <c r="I299" s="347">
        <f t="shared" si="43"/>
        <v>0</v>
      </c>
      <c r="J299" s="347">
        <f t="shared" si="44"/>
        <v>0</v>
      </c>
      <c r="K299"/>
      <c r="L299"/>
      <c r="M299"/>
      <c r="N299"/>
      <c r="O299"/>
      <c r="P299"/>
      <c r="Q299"/>
      <c r="R299"/>
      <c r="S299"/>
      <c r="T299"/>
      <c r="U299"/>
      <c r="V299"/>
      <c r="W299"/>
      <c r="X299"/>
      <c r="Y299"/>
      <c r="Z299"/>
      <c r="AA299"/>
      <c r="AB299"/>
      <c r="AC299"/>
    </row>
    <row r="300" spans="1:29" ht="15.75">
      <c r="A300" s="28"/>
      <c r="B300" s="346">
        <f t="shared" si="36"/>
        <v>264</v>
      </c>
      <c r="C300" s="347">
        <f t="shared" si="37"/>
        <v>0</v>
      </c>
      <c r="D300" s="347">
        <f t="shared" si="38"/>
        <v>0</v>
      </c>
      <c r="E300" s="347">
        <f t="shared" si="39"/>
        <v>0</v>
      </c>
      <c r="F300" s="347">
        <f t="shared" si="40"/>
        <v>0</v>
      </c>
      <c r="G300" s="347">
        <f t="shared" si="41"/>
        <v>0</v>
      </c>
      <c r="H300" s="347">
        <f t="shared" si="42"/>
        <v>0</v>
      </c>
      <c r="I300" s="347">
        <f t="shared" si="43"/>
        <v>0</v>
      </c>
      <c r="J300" s="347">
        <f t="shared" si="44"/>
        <v>0</v>
      </c>
      <c r="K300"/>
      <c r="L300"/>
      <c r="M300"/>
      <c r="N300"/>
      <c r="O300"/>
      <c r="P300"/>
      <c r="Q300"/>
      <c r="R300"/>
      <c r="S300"/>
      <c r="T300"/>
      <c r="U300"/>
      <c r="V300"/>
      <c r="W300"/>
      <c r="X300"/>
      <c r="Y300"/>
      <c r="Z300"/>
      <c r="AA300"/>
      <c r="AB300"/>
      <c r="AC300"/>
    </row>
    <row r="301" spans="1:29" ht="15.75">
      <c r="A301" s="28"/>
      <c r="B301" s="346">
        <f t="shared" si="36"/>
        <v>265</v>
      </c>
      <c r="C301" s="347">
        <f t="shared" si="37"/>
        <v>0</v>
      </c>
      <c r="D301" s="347">
        <f t="shared" si="38"/>
        <v>0</v>
      </c>
      <c r="E301" s="347">
        <f t="shared" si="39"/>
        <v>0</v>
      </c>
      <c r="F301" s="347">
        <f t="shared" si="40"/>
        <v>0</v>
      </c>
      <c r="G301" s="347">
        <f t="shared" si="41"/>
        <v>0</v>
      </c>
      <c r="H301" s="347">
        <f t="shared" si="42"/>
        <v>0</v>
      </c>
      <c r="I301" s="347">
        <f t="shared" si="43"/>
        <v>0</v>
      </c>
      <c r="J301" s="347">
        <f t="shared" si="44"/>
        <v>0</v>
      </c>
      <c r="K301"/>
      <c r="L301"/>
      <c r="M301"/>
      <c r="N301"/>
      <c r="O301"/>
      <c r="P301"/>
      <c r="Q301"/>
      <c r="R301"/>
      <c r="S301"/>
      <c r="T301"/>
      <c r="U301"/>
      <c r="V301"/>
      <c r="W301"/>
      <c r="X301"/>
      <c r="Y301"/>
      <c r="Z301"/>
      <c r="AA301"/>
      <c r="AB301"/>
      <c r="AC301"/>
    </row>
    <row r="302" spans="1:29" ht="15.75">
      <c r="A302" s="28"/>
      <c r="B302" s="346">
        <f t="shared" si="36"/>
        <v>266</v>
      </c>
      <c r="C302" s="347">
        <f t="shared" si="37"/>
        <v>0</v>
      </c>
      <c r="D302" s="347">
        <f t="shared" si="38"/>
        <v>0</v>
      </c>
      <c r="E302" s="347">
        <f t="shared" si="39"/>
        <v>0</v>
      </c>
      <c r="F302" s="347">
        <f t="shared" si="40"/>
        <v>0</v>
      </c>
      <c r="G302" s="347">
        <f t="shared" si="41"/>
        <v>0</v>
      </c>
      <c r="H302" s="347">
        <f t="shared" si="42"/>
        <v>0</v>
      </c>
      <c r="I302" s="347">
        <f t="shared" si="43"/>
        <v>0</v>
      </c>
      <c r="J302" s="347">
        <f t="shared" si="44"/>
        <v>0</v>
      </c>
      <c r="K302"/>
      <c r="L302"/>
      <c r="M302"/>
      <c r="N302"/>
      <c r="O302"/>
      <c r="P302"/>
      <c r="Q302"/>
      <c r="R302"/>
      <c r="S302"/>
      <c r="T302"/>
      <c r="U302"/>
      <c r="V302"/>
      <c r="W302"/>
      <c r="X302"/>
      <c r="Y302"/>
      <c r="Z302"/>
      <c r="AA302"/>
      <c r="AB302"/>
      <c r="AC302"/>
    </row>
    <row r="303" spans="1:29" ht="15.75">
      <c r="A303" s="28"/>
      <c r="B303" s="346">
        <f t="shared" si="36"/>
        <v>267</v>
      </c>
      <c r="C303" s="347">
        <f t="shared" si="37"/>
        <v>0</v>
      </c>
      <c r="D303" s="347">
        <f t="shared" si="38"/>
        <v>0</v>
      </c>
      <c r="E303" s="347">
        <f t="shared" si="39"/>
        <v>0</v>
      </c>
      <c r="F303" s="347">
        <f t="shared" si="40"/>
        <v>0</v>
      </c>
      <c r="G303" s="347">
        <f t="shared" si="41"/>
        <v>0</v>
      </c>
      <c r="H303" s="347">
        <f t="shared" si="42"/>
        <v>0</v>
      </c>
      <c r="I303" s="347">
        <f t="shared" si="43"/>
        <v>0</v>
      </c>
      <c r="J303" s="347">
        <f t="shared" si="44"/>
        <v>0</v>
      </c>
      <c r="K303"/>
      <c r="L303"/>
      <c r="M303"/>
      <c r="N303"/>
      <c r="O303"/>
      <c r="P303"/>
      <c r="Q303"/>
      <c r="R303"/>
      <c r="S303"/>
      <c r="T303"/>
      <c r="U303"/>
      <c r="V303"/>
      <c r="W303"/>
      <c r="X303"/>
      <c r="Y303"/>
      <c r="Z303"/>
      <c r="AA303"/>
      <c r="AB303"/>
      <c r="AC303"/>
    </row>
    <row r="304" spans="1:29" ht="15.75">
      <c r="A304" s="28"/>
      <c r="B304" s="346">
        <f t="shared" si="36"/>
        <v>268</v>
      </c>
      <c r="C304" s="347">
        <f t="shared" si="37"/>
        <v>0</v>
      </c>
      <c r="D304" s="347">
        <f t="shared" si="38"/>
        <v>0</v>
      </c>
      <c r="E304" s="347">
        <f t="shared" si="39"/>
        <v>0</v>
      </c>
      <c r="F304" s="347">
        <f t="shared" si="40"/>
        <v>0</v>
      </c>
      <c r="G304" s="347">
        <f t="shared" si="41"/>
        <v>0</v>
      </c>
      <c r="H304" s="347">
        <f t="shared" si="42"/>
        <v>0</v>
      </c>
      <c r="I304" s="347">
        <f t="shared" si="43"/>
        <v>0</v>
      </c>
      <c r="J304" s="347">
        <f t="shared" si="44"/>
        <v>0</v>
      </c>
      <c r="K304"/>
      <c r="L304"/>
      <c r="M304"/>
      <c r="N304"/>
      <c r="O304"/>
      <c r="P304"/>
      <c r="Q304"/>
      <c r="R304"/>
      <c r="S304"/>
      <c r="T304"/>
      <c r="U304"/>
      <c r="V304"/>
      <c r="W304"/>
      <c r="X304"/>
      <c r="Y304"/>
      <c r="Z304"/>
      <c r="AA304"/>
      <c r="AB304"/>
      <c r="AC304"/>
    </row>
    <row r="305" spans="1:29" ht="15.75">
      <c r="A305" s="28"/>
      <c r="B305" s="346">
        <f t="shared" si="36"/>
        <v>269</v>
      </c>
      <c r="C305" s="347">
        <f t="shared" si="37"/>
        <v>0</v>
      </c>
      <c r="D305" s="347">
        <f t="shared" si="38"/>
        <v>0</v>
      </c>
      <c r="E305" s="347">
        <f t="shared" si="39"/>
        <v>0</v>
      </c>
      <c r="F305" s="347">
        <f t="shared" si="40"/>
        <v>0</v>
      </c>
      <c r="G305" s="347">
        <f t="shared" si="41"/>
        <v>0</v>
      </c>
      <c r="H305" s="347">
        <f t="shared" si="42"/>
        <v>0</v>
      </c>
      <c r="I305" s="347">
        <f t="shared" si="43"/>
        <v>0</v>
      </c>
      <c r="J305" s="347">
        <f t="shared" si="44"/>
        <v>0</v>
      </c>
      <c r="K305"/>
      <c r="L305"/>
      <c r="M305"/>
      <c r="N305"/>
      <c r="O305"/>
      <c r="P305"/>
      <c r="Q305"/>
      <c r="R305"/>
      <c r="S305"/>
      <c r="T305"/>
      <c r="U305"/>
      <c r="V305"/>
      <c r="W305"/>
      <c r="X305"/>
      <c r="Y305"/>
      <c r="Z305"/>
      <c r="AA305"/>
      <c r="AB305"/>
      <c r="AC305"/>
    </row>
    <row r="306" spans="1:29" ht="15.75">
      <c r="A306" s="28"/>
      <c r="B306" s="346">
        <f t="shared" si="36"/>
        <v>270</v>
      </c>
      <c r="C306" s="347">
        <f t="shared" si="37"/>
        <v>0</v>
      </c>
      <c r="D306" s="347">
        <f t="shared" si="38"/>
        <v>0</v>
      </c>
      <c r="E306" s="347">
        <f t="shared" si="39"/>
        <v>0</v>
      </c>
      <c r="F306" s="347">
        <f t="shared" si="40"/>
        <v>0</v>
      </c>
      <c r="G306" s="347">
        <f t="shared" si="41"/>
        <v>0</v>
      </c>
      <c r="H306" s="347">
        <f t="shared" si="42"/>
        <v>0</v>
      </c>
      <c r="I306" s="347">
        <f t="shared" si="43"/>
        <v>0</v>
      </c>
      <c r="J306" s="347">
        <f t="shared" si="44"/>
        <v>0</v>
      </c>
      <c r="K306"/>
      <c r="L306"/>
      <c r="M306"/>
      <c r="N306"/>
      <c r="O306"/>
      <c r="P306"/>
      <c r="Q306"/>
      <c r="R306"/>
      <c r="S306"/>
      <c r="T306"/>
      <c r="U306"/>
      <c r="V306"/>
      <c r="W306"/>
      <c r="X306"/>
      <c r="Y306"/>
      <c r="Z306"/>
      <c r="AA306"/>
      <c r="AB306"/>
      <c r="AC306"/>
    </row>
    <row r="307" spans="1:29" ht="15.75">
      <c r="A307" s="28"/>
      <c r="B307" s="346">
        <f t="shared" si="36"/>
        <v>271</v>
      </c>
      <c r="C307" s="347">
        <f t="shared" si="37"/>
        <v>0</v>
      </c>
      <c r="D307" s="347">
        <f t="shared" si="38"/>
        <v>0</v>
      </c>
      <c r="E307" s="347">
        <f t="shared" si="39"/>
        <v>0</v>
      </c>
      <c r="F307" s="347">
        <f t="shared" si="40"/>
        <v>0</v>
      </c>
      <c r="G307" s="347">
        <f t="shared" si="41"/>
        <v>0</v>
      </c>
      <c r="H307" s="347">
        <f t="shared" si="42"/>
        <v>0</v>
      </c>
      <c r="I307" s="347">
        <f t="shared" si="43"/>
        <v>0</v>
      </c>
      <c r="J307" s="347">
        <f t="shared" si="44"/>
        <v>0</v>
      </c>
      <c r="K307"/>
      <c r="L307"/>
      <c r="M307"/>
      <c r="N307"/>
      <c r="O307"/>
      <c r="P307"/>
      <c r="Q307"/>
      <c r="R307"/>
      <c r="S307"/>
      <c r="T307"/>
      <c r="U307"/>
      <c r="V307"/>
      <c r="W307"/>
      <c r="X307"/>
      <c r="Y307"/>
      <c r="Z307"/>
      <c r="AA307"/>
      <c r="AB307"/>
      <c r="AC307"/>
    </row>
    <row r="308" spans="1:29" ht="15.75">
      <c r="A308" s="28"/>
      <c r="B308" s="346">
        <f t="shared" si="36"/>
        <v>272</v>
      </c>
      <c r="C308" s="347">
        <f t="shared" si="37"/>
        <v>0</v>
      </c>
      <c r="D308" s="347">
        <f t="shared" si="38"/>
        <v>0</v>
      </c>
      <c r="E308" s="347">
        <f t="shared" si="39"/>
        <v>0</v>
      </c>
      <c r="F308" s="347">
        <f t="shared" si="40"/>
        <v>0</v>
      </c>
      <c r="G308" s="347">
        <f t="shared" si="41"/>
        <v>0</v>
      </c>
      <c r="H308" s="347">
        <f t="shared" si="42"/>
        <v>0</v>
      </c>
      <c r="I308" s="347">
        <f t="shared" si="43"/>
        <v>0</v>
      </c>
      <c r="J308" s="347">
        <f t="shared" si="44"/>
        <v>0</v>
      </c>
      <c r="K308"/>
      <c r="L308"/>
      <c r="M308"/>
      <c r="N308"/>
      <c r="O308"/>
      <c r="P308"/>
      <c r="Q308"/>
      <c r="R308"/>
      <c r="S308"/>
      <c r="T308"/>
      <c r="U308"/>
      <c r="V308"/>
      <c r="W308"/>
      <c r="X308"/>
      <c r="Y308"/>
      <c r="Z308"/>
      <c r="AA308"/>
      <c r="AB308"/>
      <c r="AC308"/>
    </row>
    <row r="309" spans="1:29" ht="15.75">
      <c r="A309" s="28"/>
      <c r="B309" s="346">
        <f t="shared" si="36"/>
        <v>273</v>
      </c>
      <c r="C309" s="347">
        <f t="shared" si="37"/>
        <v>0</v>
      </c>
      <c r="D309" s="347">
        <f t="shared" si="38"/>
        <v>0</v>
      </c>
      <c r="E309" s="347">
        <f t="shared" si="39"/>
        <v>0</v>
      </c>
      <c r="F309" s="347">
        <f t="shared" si="40"/>
        <v>0</v>
      </c>
      <c r="G309" s="347">
        <f t="shared" si="41"/>
        <v>0</v>
      </c>
      <c r="H309" s="347">
        <f t="shared" si="42"/>
        <v>0</v>
      </c>
      <c r="I309" s="347">
        <f t="shared" si="43"/>
        <v>0</v>
      </c>
      <c r="J309" s="347">
        <f t="shared" si="44"/>
        <v>0</v>
      </c>
      <c r="K309"/>
      <c r="L309"/>
      <c r="M309"/>
      <c r="N309"/>
      <c r="O309"/>
      <c r="P309"/>
      <c r="Q309"/>
      <c r="R309"/>
      <c r="S309"/>
      <c r="T309"/>
      <c r="U309"/>
      <c r="V309"/>
      <c r="W309"/>
      <c r="X309"/>
      <c r="Y309"/>
      <c r="Z309"/>
      <c r="AA309"/>
      <c r="AB309"/>
      <c r="AC309"/>
    </row>
    <row r="310" spans="1:29" ht="15.75">
      <c r="A310" s="28"/>
      <c r="B310" s="346">
        <f t="shared" si="36"/>
        <v>274</v>
      </c>
      <c r="C310" s="347">
        <f t="shared" si="37"/>
        <v>0</v>
      </c>
      <c r="D310" s="347">
        <f t="shared" si="38"/>
        <v>0</v>
      </c>
      <c r="E310" s="347">
        <f t="shared" si="39"/>
        <v>0</v>
      </c>
      <c r="F310" s="347">
        <f t="shared" si="40"/>
        <v>0</v>
      </c>
      <c r="G310" s="347">
        <f t="shared" si="41"/>
        <v>0</v>
      </c>
      <c r="H310" s="347">
        <f t="shared" si="42"/>
        <v>0</v>
      </c>
      <c r="I310" s="347">
        <f t="shared" si="43"/>
        <v>0</v>
      </c>
      <c r="J310" s="347">
        <f t="shared" si="44"/>
        <v>0</v>
      </c>
      <c r="K310"/>
      <c r="L310"/>
      <c r="M310"/>
      <c r="N310"/>
      <c r="O310"/>
      <c r="P310"/>
      <c r="Q310"/>
      <c r="R310"/>
      <c r="S310"/>
      <c r="T310"/>
      <c r="U310"/>
      <c r="V310"/>
      <c r="W310"/>
      <c r="X310"/>
      <c r="Y310"/>
      <c r="Z310"/>
      <c r="AA310"/>
      <c r="AB310"/>
      <c r="AC310"/>
    </row>
    <row r="311" spans="1:29" ht="15.75">
      <c r="A311" s="28"/>
      <c r="B311" s="346">
        <f t="shared" si="36"/>
        <v>275</v>
      </c>
      <c r="C311" s="347">
        <f t="shared" si="37"/>
        <v>0</v>
      </c>
      <c r="D311" s="347">
        <f t="shared" si="38"/>
        <v>0</v>
      </c>
      <c r="E311" s="347">
        <f t="shared" si="39"/>
        <v>0</v>
      </c>
      <c r="F311" s="347">
        <f t="shared" si="40"/>
        <v>0</v>
      </c>
      <c r="G311" s="347">
        <f t="shared" si="41"/>
        <v>0</v>
      </c>
      <c r="H311" s="347">
        <f t="shared" si="42"/>
        <v>0</v>
      </c>
      <c r="I311" s="347">
        <f t="shared" si="43"/>
        <v>0</v>
      </c>
      <c r="J311" s="347">
        <f t="shared" si="44"/>
        <v>0</v>
      </c>
      <c r="K311"/>
      <c r="L311"/>
      <c r="M311"/>
      <c r="N311"/>
      <c r="O311"/>
      <c r="P311"/>
      <c r="Q311"/>
      <c r="R311"/>
      <c r="S311"/>
      <c r="T311"/>
      <c r="U311"/>
      <c r="V311"/>
      <c r="W311"/>
      <c r="X311"/>
      <c r="Y311"/>
      <c r="Z311"/>
      <c r="AA311"/>
      <c r="AB311"/>
      <c r="AC311"/>
    </row>
    <row r="312" spans="1:29" ht="15.75">
      <c r="A312" s="28"/>
      <c r="B312" s="346">
        <f t="shared" si="36"/>
        <v>276</v>
      </c>
      <c r="C312" s="347">
        <f t="shared" si="37"/>
        <v>0</v>
      </c>
      <c r="D312" s="347">
        <f t="shared" si="38"/>
        <v>0</v>
      </c>
      <c r="E312" s="347">
        <f t="shared" si="39"/>
        <v>0</v>
      </c>
      <c r="F312" s="347">
        <f t="shared" si="40"/>
        <v>0</v>
      </c>
      <c r="G312" s="347">
        <f t="shared" si="41"/>
        <v>0</v>
      </c>
      <c r="H312" s="347">
        <f t="shared" si="42"/>
        <v>0</v>
      </c>
      <c r="I312" s="347">
        <f t="shared" si="43"/>
        <v>0</v>
      </c>
      <c r="J312" s="347">
        <f t="shared" si="44"/>
        <v>0</v>
      </c>
      <c r="K312"/>
      <c r="L312"/>
      <c r="M312"/>
      <c r="N312"/>
      <c r="O312"/>
      <c r="P312"/>
      <c r="Q312"/>
      <c r="R312"/>
      <c r="S312"/>
      <c r="T312"/>
      <c r="U312"/>
      <c r="V312"/>
      <c r="W312"/>
      <c r="X312"/>
      <c r="Y312"/>
      <c r="Z312"/>
      <c r="AA312"/>
      <c r="AB312"/>
      <c r="AC312"/>
    </row>
    <row r="313" spans="1:29" ht="15.75">
      <c r="A313" s="28"/>
      <c r="B313" s="346">
        <f t="shared" si="36"/>
        <v>277</v>
      </c>
      <c r="C313" s="347">
        <f t="shared" si="37"/>
        <v>0</v>
      </c>
      <c r="D313" s="347">
        <f t="shared" si="38"/>
        <v>0</v>
      </c>
      <c r="E313" s="347">
        <f t="shared" si="39"/>
        <v>0</v>
      </c>
      <c r="F313" s="347">
        <f t="shared" si="40"/>
        <v>0</v>
      </c>
      <c r="G313" s="347">
        <f t="shared" si="41"/>
        <v>0</v>
      </c>
      <c r="H313" s="347">
        <f t="shared" si="42"/>
        <v>0</v>
      </c>
      <c r="I313" s="347">
        <f t="shared" si="43"/>
        <v>0</v>
      </c>
      <c r="J313" s="347">
        <f t="shared" si="44"/>
        <v>0</v>
      </c>
      <c r="K313"/>
      <c r="L313"/>
      <c r="M313"/>
      <c r="N313"/>
      <c r="O313"/>
      <c r="P313"/>
      <c r="Q313"/>
      <c r="R313"/>
      <c r="S313"/>
      <c r="T313"/>
      <c r="U313"/>
      <c r="V313"/>
      <c r="W313"/>
      <c r="X313"/>
      <c r="Y313"/>
      <c r="Z313"/>
      <c r="AA313"/>
      <c r="AB313"/>
      <c r="AC313"/>
    </row>
    <row r="314" spans="1:29" ht="15.75">
      <c r="A314" s="28"/>
      <c r="B314" s="346">
        <f t="shared" si="36"/>
        <v>278</v>
      </c>
      <c r="C314" s="347">
        <f t="shared" si="37"/>
        <v>0</v>
      </c>
      <c r="D314" s="347">
        <f t="shared" si="38"/>
        <v>0</v>
      </c>
      <c r="E314" s="347">
        <f t="shared" si="39"/>
        <v>0</v>
      </c>
      <c r="F314" s="347">
        <f t="shared" si="40"/>
        <v>0</v>
      </c>
      <c r="G314" s="347">
        <f t="shared" si="41"/>
        <v>0</v>
      </c>
      <c r="H314" s="347">
        <f t="shared" si="42"/>
        <v>0</v>
      </c>
      <c r="I314" s="347">
        <f t="shared" si="43"/>
        <v>0</v>
      </c>
      <c r="J314" s="347">
        <f t="shared" si="44"/>
        <v>0</v>
      </c>
      <c r="K314"/>
      <c r="L314"/>
      <c r="M314"/>
      <c r="N314"/>
      <c r="O314"/>
      <c r="P314"/>
      <c r="Q314"/>
      <c r="R314"/>
      <c r="S314"/>
      <c r="T314"/>
      <c r="U314"/>
      <c r="V314"/>
      <c r="W314"/>
      <c r="X314"/>
      <c r="Y314"/>
      <c r="Z314"/>
      <c r="AA314"/>
      <c r="AB314"/>
      <c r="AC314"/>
    </row>
    <row r="315" spans="1:29" ht="15.75">
      <c r="A315" s="28"/>
      <c r="B315" s="346">
        <f t="shared" si="36"/>
        <v>279</v>
      </c>
      <c r="C315" s="347">
        <f t="shared" si="37"/>
        <v>0</v>
      </c>
      <c r="D315" s="347">
        <f t="shared" si="38"/>
        <v>0</v>
      </c>
      <c r="E315" s="347">
        <f t="shared" si="39"/>
        <v>0</v>
      </c>
      <c r="F315" s="347">
        <f t="shared" si="40"/>
        <v>0</v>
      </c>
      <c r="G315" s="347">
        <f t="shared" si="41"/>
        <v>0</v>
      </c>
      <c r="H315" s="347">
        <f t="shared" si="42"/>
        <v>0</v>
      </c>
      <c r="I315" s="347">
        <f t="shared" si="43"/>
        <v>0</v>
      </c>
      <c r="J315" s="347">
        <f t="shared" si="44"/>
        <v>0</v>
      </c>
      <c r="K315"/>
      <c r="L315"/>
      <c r="M315"/>
      <c r="N315"/>
      <c r="O315"/>
      <c r="P315"/>
      <c r="Q315"/>
      <c r="R315"/>
      <c r="S315"/>
      <c r="T315"/>
      <c r="U315"/>
      <c r="V315"/>
      <c r="W315"/>
      <c r="X315"/>
      <c r="Y315"/>
      <c r="Z315"/>
      <c r="AA315"/>
      <c r="AB315"/>
      <c r="AC315"/>
    </row>
    <row r="316" spans="1:29" ht="15.75">
      <c r="A316" s="28"/>
      <c r="B316" s="346">
        <f t="shared" si="36"/>
        <v>280</v>
      </c>
      <c r="C316" s="347">
        <f t="shared" si="37"/>
        <v>0</v>
      </c>
      <c r="D316" s="347">
        <f t="shared" si="38"/>
        <v>0</v>
      </c>
      <c r="E316" s="347">
        <f t="shared" si="39"/>
        <v>0</v>
      </c>
      <c r="F316" s="347">
        <f t="shared" si="40"/>
        <v>0</v>
      </c>
      <c r="G316" s="347">
        <f t="shared" si="41"/>
        <v>0</v>
      </c>
      <c r="H316" s="347">
        <f t="shared" si="42"/>
        <v>0</v>
      </c>
      <c r="I316" s="347">
        <f t="shared" si="43"/>
        <v>0</v>
      </c>
      <c r="J316" s="347">
        <f t="shared" si="44"/>
        <v>0</v>
      </c>
      <c r="K316"/>
      <c r="L316"/>
      <c r="M316"/>
      <c r="N316"/>
      <c r="O316"/>
      <c r="P316"/>
      <c r="Q316"/>
      <c r="R316"/>
      <c r="S316"/>
      <c r="T316"/>
      <c r="U316"/>
      <c r="V316"/>
      <c r="W316"/>
      <c r="X316"/>
      <c r="Y316"/>
      <c r="Z316"/>
      <c r="AA316"/>
      <c r="AB316"/>
      <c r="AC316"/>
    </row>
    <row r="317" spans="1:29" ht="15.75">
      <c r="A317" s="28"/>
      <c r="B317" s="346">
        <f t="shared" si="36"/>
        <v>281</v>
      </c>
      <c r="C317" s="347">
        <f t="shared" si="37"/>
        <v>0</v>
      </c>
      <c r="D317" s="347">
        <f t="shared" si="38"/>
        <v>0</v>
      </c>
      <c r="E317" s="347">
        <f t="shared" si="39"/>
        <v>0</v>
      </c>
      <c r="F317" s="347">
        <f t="shared" si="40"/>
        <v>0</v>
      </c>
      <c r="G317" s="347">
        <f t="shared" si="41"/>
        <v>0</v>
      </c>
      <c r="H317" s="347">
        <f t="shared" si="42"/>
        <v>0</v>
      </c>
      <c r="I317" s="347">
        <f t="shared" si="43"/>
        <v>0</v>
      </c>
      <c r="J317" s="347">
        <f t="shared" si="44"/>
        <v>0</v>
      </c>
      <c r="K317"/>
      <c r="L317"/>
      <c r="M317"/>
      <c r="N317"/>
      <c r="O317"/>
      <c r="P317"/>
      <c r="Q317"/>
      <c r="R317"/>
      <c r="S317"/>
      <c r="T317"/>
      <c r="U317"/>
      <c r="V317"/>
      <c r="W317"/>
      <c r="X317"/>
      <c r="Y317"/>
      <c r="Z317"/>
      <c r="AA317"/>
      <c r="AB317"/>
      <c r="AC317"/>
    </row>
    <row r="318" spans="1:29" ht="15.75">
      <c r="A318" s="28"/>
      <c r="B318" s="346">
        <f t="shared" si="36"/>
        <v>282</v>
      </c>
      <c r="C318" s="347">
        <f t="shared" si="37"/>
        <v>0</v>
      </c>
      <c r="D318" s="347">
        <f t="shared" si="38"/>
        <v>0</v>
      </c>
      <c r="E318" s="347">
        <f t="shared" si="39"/>
        <v>0</v>
      </c>
      <c r="F318" s="347">
        <f t="shared" si="40"/>
        <v>0</v>
      </c>
      <c r="G318" s="347">
        <f t="shared" si="41"/>
        <v>0</v>
      </c>
      <c r="H318" s="347">
        <f t="shared" si="42"/>
        <v>0</v>
      </c>
      <c r="I318" s="347">
        <f t="shared" si="43"/>
        <v>0</v>
      </c>
      <c r="J318" s="347">
        <f t="shared" si="44"/>
        <v>0</v>
      </c>
      <c r="K318"/>
      <c r="L318"/>
      <c r="M318"/>
      <c r="N318"/>
      <c r="O318"/>
      <c r="P318"/>
      <c r="Q318"/>
      <c r="R318"/>
      <c r="S318"/>
      <c r="T318"/>
      <c r="U318"/>
      <c r="V318"/>
      <c r="W318"/>
      <c r="X318"/>
      <c r="Y318"/>
      <c r="Z318"/>
      <c r="AA318"/>
      <c r="AB318"/>
      <c r="AC318"/>
    </row>
    <row r="319" spans="1:29" ht="15.75">
      <c r="A319" s="28"/>
      <c r="B319" s="346">
        <f t="shared" si="36"/>
        <v>283</v>
      </c>
      <c r="C319" s="347">
        <f t="shared" si="37"/>
        <v>0</v>
      </c>
      <c r="D319" s="347">
        <f t="shared" si="38"/>
        <v>0</v>
      </c>
      <c r="E319" s="347">
        <f t="shared" si="39"/>
        <v>0</v>
      </c>
      <c r="F319" s="347">
        <f t="shared" si="40"/>
        <v>0</v>
      </c>
      <c r="G319" s="347">
        <f t="shared" si="41"/>
        <v>0</v>
      </c>
      <c r="H319" s="347">
        <f t="shared" si="42"/>
        <v>0</v>
      </c>
      <c r="I319" s="347">
        <f t="shared" si="43"/>
        <v>0</v>
      </c>
      <c r="J319" s="347">
        <f t="shared" si="44"/>
        <v>0</v>
      </c>
      <c r="K319"/>
      <c r="L319"/>
      <c r="M319"/>
      <c r="N319"/>
      <c r="O319"/>
      <c r="P319"/>
      <c r="Q319"/>
      <c r="R319"/>
      <c r="S319"/>
      <c r="T319"/>
      <c r="U319"/>
      <c r="V319"/>
      <c r="W319"/>
      <c r="X319"/>
      <c r="Y319"/>
      <c r="Z319"/>
      <c r="AA319"/>
      <c r="AB319"/>
      <c r="AC319"/>
    </row>
    <row r="320" spans="1:29" ht="15.75">
      <c r="A320" s="28"/>
      <c r="B320" s="346">
        <f t="shared" si="36"/>
        <v>284</v>
      </c>
      <c r="C320" s="347">
        <f t="shared" si="37"/>
        <v>0</v>
      </c>
      <c r="D320" s="347">
        <f t="shared" si="38"/>
        <v>0</v>
      </c>
      <c r="E320" s="347">
        <f t="shared" si="39"/>
        <v>0</v>
      </c>
      <c r="F320" s="347">
        <f t="shared" si="40"/>
        <v>0</v>
      </c>
      <c r="G320" s="347">
        <f t="shared" si="41"/>
        <v>0</v>
      </c>
      <c r="H320" s="347">
        <f t="shared" si="42"/>
        <v>0</v>
      </c>
      <c r="I320" s="347">
        <f t="shared" si="43"/>
        <v>0</v>
      </c>
      <c r="J320" s="347">
        <f t="shared" si="44"/>
        <v>0</v>
      </c>
      <c r="K320"/>
      <c r="L320"/>
      <c r="M320"/>
      <c r="N320"/>
      <c r="O320"/>
      <c r="P320"/>
      <c r="Q320"/>
      <c r="R320"/>
      <c r="S320"/>
      <c r="T320"/>
      <c r="U320"/>
      <c r="V320"/>
      <c r="W320"/>
      <c r="X320"/>
      <c r="Y320"/>
      <c r="Z320"/>
      <c r="AA320"/>
      <c r="AB320"/>
      <c r="AC320"/>
    </row>
    <row r="321" spans="1:29" ht="15.75">
      <c r="A321" s="28"/>
      <c r="B321" s="346">
        <f t="shared" si="36"/>
        <v>285</v>
      </c>
      <c r="C321" s="347">
        <f t="shared" si="37"/>
        <v>0</v>
      </c>
      <c r="D321" s="347">
        <f t="shared" si="38"/>
        <v>0</v>
      </c>
      <c r="E321" s="347">
        <f t="shared" si="39"/>
        <v>0</v>
      </c>
      <c r="F321" s="347">
        <f t="shared" si="40"/>
        <v>0</v>
      </c>
      <c r="G321" s="347">
        <f t="shared" si="41"/>
        <v>0</v>
      </c>
      <c r="H321" s="347">
        <f t="shared" si="42"/>
        <v>0</v>
      </c>
      <c r="I321" s="347">
        <f t="shared" si="43"/>
        <v>0</v>
      </c>
      <c r="J321" s="347">
        <f t="shared" si="44"/>
        <v>0</v>
      </c>
      <c r="K321"/>
      <c r="L321"/>
      <c r="M321"/>
      <c r="N321"/>
      <c r="O321"/>
      <c r="P321"/>
      <c r="Q321"/>
      <c r="R321"/>
      <c r="S321"/>
      <c r="T321"/>
      <c r="U321"/>
      <c r="V321"/>
      <c r="W321"/>
      <c r="X321"/>
      <c r="Y321"/>
      <c r="Z321"/>
      <c r="AA321"/>
      <c r="AB321"/>
      <c r="AC321"/>
    </row>
    <row r="322" spans="1:29" ht="15.75">
      <c r="A322" s="28"/>
      <c r="B322" s="346">
        <f t="shared" si="36"/>
        <v>286</v>
      </c>
      <c r="C322" s="347">
        <f t="shared" si="37"/>
        <v>0</v>
      </c>
      <c r="D322" s="347">
        <f t="shared" si="38"/>
        <v>0</v>
      </c>
      <c r="E322" s="347">
        <f t="shared" si="39"/>
        <v>0</v>
      </c>
      <c r="F322" s="347">
        <f t="shared" si="40"/>
        <v>0</v>
      </c>
      <c r="G322" s="347">
        <f t="shared" si="41"/>
        <v>0</v>
      </c>
      <c r="H322" s="347">
        <f t="shared" si="42"/>
        <v>0</v>
      </c>
      <c r="I322" s="347">
        <f t="shared" si="43"/>
        <v>0</v>
      </c>
      <c r="J322" s="347">
        <f t="shared" si="44"/>
        <v>0</v>
      </c>
      <c r="K322"/>
      <c r="L322"/>
      <c r="M322"/>
      <c r="N322"/>
      <c r="O322"/>
      <c r="P322"/>
      <c r="Q322"/>
      <c r="R322"/>
      <c r="S322"/>
      <c r="T322"/>
      <c r="U322"/>
      <c r="V322"/>
      <c r="W322"/>
      <c r="X322"/>
      <c r="Y322"/>
      <c r="Z322"/>
      <c r="AA322"/>
      <c r="AB322"/>
      <c r="AC322"/>
    </row>
    <row r="323" spans="1:29" ht="15.75">
      <c r="A323" s="28"/>
      <c r="B323" s="346">
        <f t="shared" si="36"/>
        <v>287</v>
      </c>
      <c r="C323" s="347">
        <f t="shared" si="37"/>
        <v>0</v>
      </c>
      <c r="D323" s="347">
        <f t="shared" si="38"/>
        <v>0</v>
      </c>
      <c r="E323" s="347">
        <f t="shared" si="39"/>
        <v>0</v>
      </c>
      <c r="F323" s="347">
        <f t="shared" si="40"/>
        <v>0</v>
      </c>
      <c r="G323" s="347">
        <f t="shared" si="41"/>
        <v>0</v>
      </c>
      <c r="H323" s="347">
        <f t="shared" si="42"/>
        <v>0</v>
      </c>
      <c r="I323" s="347">
        <f t="shared" si="43"/>
        <v>0</v>
      </c>
      <c r="J323" s="347">
        <f t="shared" si="44"/>
        <v>0</v>
      </c>
      <c r="K323"/>
      <c r="L323"/>
      <c r="M323"/>
      <c r="N323"/>
      <c r="O323"/>
      <c r="P323"/>
      <c r="Q323"/>
      <c r="R323"/>
      <c r="S323"/>
      <c r="T323"/>
      <c r="U323"/>
      <c r="V323"/>
      <c r="W323"/>
      <c r="X323"/>
      <c r="Y323"/>
      <c r="Z323"/>
      <c r="AA323"/>
      <c r="AB323"/>
      <c r="AC323"/>
    </row>
    <row r="324" spans="1:29" ht="15.75">
      <c r="A324" s="28"/>
      <c r="B324" s="346">
        <f t="shared" si="36"/>
        <v>288</v>
      </c>
      <c r="C324" s="347">
        <f t="shared" si="37"/>
        <v>0</v>
      </c>
      <c r="D324" s="347">
        <f t="shared" si="38"/>
        <v>0</v>
      </c>
      <c r="E324" s="347">
        <f t="shared" si="39"/>
        <v>0</v>
      </c>
      <c r="F324" s="347">
        <f t="shared" si="40"/>
        <v>0</v>
      </c>
      <c r="G324" s="347">
        <f t="shared" si="41"/>
        <v>0</v>
      </c>
      <c r="H324" s="347">
        <f t="shared" si="42"/>
        <v>0</v>
      </c>
      <c r="I324" s="347">
        <f t="shared" si="43"/>
        <v>0</v>
      </c>
      <c r="J324" s="347">
        <f t="shared" si="44"/>
        <v>0</v>
      </c>
      <c r="K324"/>
      <c r="L324"/>
      <c r="M324"/>
      <c r="N324"/>
      <c r="O324"/>
      <c r="P324"/>
      <c r="Q324"/>
      <c r="R324"/>
      <c r="S324"/>
      <c r="T324"/>
      <c r="U324"/>
      <c r="V324"/>
      <c r="W324"/>
      <c r="X324"/>
      <c r="Y324"/>
      <c r="Z324"/>
      <c r="AA324"/>
      <c r="AB324"/>
      <c r="AC324"/>
    </row>
    <row r="325" spans="1:29" ht="15.75">
      <c r="A325" s="28"/>
      <c r="B325" s="346">
        <f t="shared" si="36"/>
        <v>289</v>
      </c>
      <c r="C325" s="347">
        <f t="shared" si="37"/>
        <v>0</v>
      </c>
      <c r="D325" s="347">
        <f t="shared" si="38"/>
        <v>0</v>
      </c>
      <c r="E325" s="347">
        <f t="shared" si="39"/>
        <v>0</v>
      </c>
      <c r="F325" s="347">
        <f t="shared" si="40"/>
        <v>0</v>
      </c>
      <c r="G325" s="347">
        <f t="shared" si="41"/>
        <v>0</v>
      </c>
      <c r="H325" s="347">
        <f t="shared" si="42"/>
        <v>0</v>
      </c>
      <c r="I325" s="347">
        <f t="shared" si="43"/>
        <v>0</v>
      </c>
      <c r="J325" s="347">
        <f t="shared" si="44"/>
        <v>0</v>
      </c>
      <c r="K325"/>
      <c r="L325"/>
      <c r="M325"/>
      <c r="N325"/>
      <c r="O325"/>
      <c r="P325"/>
      <c r="Q325"/>
      <c r="R325"/>
      <c r="S325"/>
      <c r="T325"/>
      <c r="U325"/>
      <c r="V325"/>
      <c r="W325"/>
      <c r="X325"/>
      <c r="Y325"/>
      <c r="Z325"/>
      <c r="AA325"/>
      <c r="AB325"/>
      <c r="AC325"/>
    </row>
    <row r="326" spans="1:29" ht="15.75">
      <c r="A326" s="28"/>
      <c r="B326" s="346">
        <f t="shared" si="36"/>
        <v>290</v>
      </c>
      <c r="C326" s="347">
        <f t="shared" si="37"/>
        <v>0</v>
      </c>
      <c r="D326" s="347">
        <f t="shared" si="38"/>
        <v>0</v>
      </c>
      <c r="E326" s="347">
        <f t="shared" si="39"/>
        <v>0</v>
      </c>
      <c r="F326" s="347">
        <f t="shared" si="40"/>
        <v>0</v>
      </c>
      <c r="G326" s="347">
        <f t="shared" si="41"/>
        <v>0</v>
      </c>
      <c r="H326" s="347">
        <f t="shared" si="42"/>
        <v>0</v>
      </c>
      <c r="I326" s="347">
        <f t="shared" si="43"/>
        <v>0</v>
      </c>
      <c r="J326" s="347">
        <f t="shared" si="44"/>
        <v>0</v>
      </c>
      <c r="K326"/>
      <c r="L326"/>
      <c r="M326"/>
      <c r="N326"/>
      <c r="O326"/>
      <c r="P326"/>
      <c r="Q326"/>
      <c r="R326"/>
      <c r="S326"/>
      <c r="T326"/>
      <c r="U326"/>
      <c r="V326"/>
      <c r="W326"/>
      <c r="X326"/>
      <c r="Y326"/>
      <c r="Z326"/>
      <c r="AA326"/>
      <c r="AB326"/>
      <c r="AC326"/>
    </row>
    <row r="327" spans="1:29" ht="15.75">
      <c r="A327" s="28"/>
      <c r="B327" s="346">
        <f t="shared" si="36"/>
        <v>291</v>
      </c>
      <c r="C327" s="347">
        <f t="shared" si="37"/>
        <v>0</v>
      </c>
      <c r="D327" s="347">
        <f t="shared" si="38"/>
        <v>0</v>
      </c>
      <c r="E327" s="347">
        <f t="shared" si="39"/>
        <v>0</v>
      </c>
      <c r="F327" s="347">
        <f t="shared" si="40"/>
        <v>0</v>
      </c>
      <c r="G327" s="347">
        <f t="shared" si="41"/>
        <v>0</v>
      </c>
      <c r="H327" s="347">
        <f t="shared" si="42"/>
        <v>0</v>
      </c>
      <c r="I327" s="347">
        <f t="shared" si="43"/>
        <v>0</v>
      </c>
      <c r="J327" s="347">
        <f t="shared" si="44"/>
        <v>0</v>
      </c>
      <c r="K327"/>
      <c r="L327"/>
      <c r="M327"/>
      <c r="N327"/>
      <c r="O327"/>
      <c r="P327"/>
      <c r="Q327"/>
      <c r="R327"/>
      <c r="S327"/>
      <c r="T327"/>
      <c r="U327"/>
      <c r="V327"/>
      <c r="W327"/>
      <c r="X327"/>
      <c r="Y327"/>
      <c r="Z327"/>
      <c r="AA327"/>
      <c r="AB327"/>
      <c r="AC327"/>
    </row>
    <row r="328" spans="1:29" ht="15.75">
      <c r="A328" s="28"/>
      <c r="B328" s="346">
        <f t="shared" si="36"/>
        <v>292</v>
      </c>
      <c r="C328" s="347">
        <f t="shared" si="37"/>
        <v>0</v>
      </c>
      <c r="D328" s="347">
        <f t="shared" si="38"/>
        <v>0</v>
      </c>
      <c r="E328" s="347">
        <f t="shared" si="39"/>
        <v>0</v>
      </c>
      <c r="F328" s="347">
        <f t="shared" si="40"/>
        <v>0</v>
      </c>
      <c r="G328" s="347">
        <f t="shared" si="41"/>
        <v>0</v>
      </c>
      <c r="H328" s="347">
        <f t="shared" si="42"/>
        <v>0</v>
      </c>
      <c r="I328" s="347">
        <f t="shared" si="43"/>
        <v>0</v>
      </c>
      <c r="J328" s="347">
        <f t="shared" si="44"/>
        <v>0</v>
      </c>
      <c r="K328"/>
      <c r="L328"/>
      <c r="M328"/>
      <c r="N328"/>
      <c r="O328"/>
      <c r="P328"/>
      <c r="Q328"/>
      <c r="R328"/>
      <c r="S328"/>
      <c r="T328"/>
      <c r="U328"/>
      <c r="V328"/>
      <c r="W328"/>
      <c r="X328"/>
      <c r="Y328"/>
      <c r="Z328"/>
      <c r="AA328"/>
      <c r="AB328"/>
      <c r="AC328"/>
    </row>
    <row r="329" spans="1:29" ht="15.75">
      <c r="A329" s="28"/>
      <c r="B329" s="346">
        <f t="shared" si="36"/>
        <v>293</v>
      </c>
      <c r="C329" s="347">
        <f t="shared" si="37"/>
        <v>0</v>
      </c>
      <c r="D329" s="347">
        <f t="shared" si="38"/>
        <v>0</v>
      </c>
      <c r="E329" s="347">
        <f t="shared" si="39"/>
        <v>0</v>
      </c>
      <c r="F329" s="347">
        <f t="shared" si="40"/>
        <v>0</v>
      </c>
      <c r="G329" s="347">
        <f t="shared" si="41"/>
        <v>0</v>
      </c>
      <c r="H329" s="347">
        <f t="shared" si="42"/>
        <v>0</v>
      </c>
      <c r="I329" s="347">
        <f t="shared" si="43"/>
        <v>0</v>
      </c>
      <c r="J329" s="347">
        <f t="shared" si="44"/>
        <v>0</v>
      </c>
      <c r="K329"/>
      <c r="L329"/>
      <c r="M329"/>
      <c r="N329"/>
      <c r="O329"/>
      <c r="P329"/>
      <c r="Q329"/>
      <c r="R329"/>
      <c r="S329"/>
      <c r="T329"/>
      <c r="U329"/>
      <c r="V329"/>
      <c r="W329"/>
      <c r="X329"/>
      <c r="Y329"/>
      <c r="Z329"/>
      <c r="AA329"/>
      <c r="AB329"/>
      <c r="AC329"/>
    </row>
    <row r="330" spans="1:29" ht="15.75">
      <c r="A330" s="28"/>
      <c r="B330" s="346">
        <f t="shared" si="36"/>
        <v>294</v>
      </c>
      <c r="C330" s="347">
        <f t="shared" si="37"/>
        <v>0</v>
      </c>
      <c r="D330" s="347">
        <f t="shared" si="38"/>
        <v>0</v>
      </c>
      <c r="E330" s="347">
        <f t="shared" si="39"/>
        <v>0</v>
      </c>
      <c r="F330" s="347">
        <f t="shared" si="40"/>
        <v>0</v>
      </c>
      <c r="G330" s="347">
        <f t="shared" si="41"/>
        <v>0</v>
      </c>
      <c r="H330" s="347">
        <f t="shared" si="42"/>
        <v>0</v>
      </c>
      <c r="I330" s="347">
        <f t="shared" si="43"/>
        <v>0</v>
      </c>
      <c r="J330" s="347">
        <f t="shared" si="44"/>
        <v>0</v>
      </c>
      <c r="K330"/>
      <c r="L330"/>
      <c r="M330"/>
      <c r="N330"/>
      <c r="O330"/>
      <c r="P330"/>
      <c r="Q330"/>
      <c r="R330"/>
      <c r="S330"/>
      <c r="T330"/>
      <c r="U330"/>
      <c r="V330"/>
      <c r="W330"/>
      <c r="X330"/>
      <c r="Y330"/>
      <c r="Z330"/>
      <c r="AA330"/>
      <c r="AB330"/>
      <c r="AC330"/>
    </row>
    <row r="331" spans="1:29" ht="15.75">
      <c r="A331" s="28"/>
      <c r="B331" s="346">
        <f t="shared" si="36"/>
        <v>295</v>
      </c>
      <c r="C331" s="347">
        <f t="shared" si="37"/>
        <v>0</v>
      </c>
      <c r="D331" s="347">
        <f t="shared" si="38"/>
        <v>0</v>
      </c>
      <c r="E331" s="347">
        <f t="shared" si="39"/>
        <v>0</v>
      </c>
      <c r="F331" s="347">
        <f t="shared" si="40"/>
        <v>0</v>
      </c>
      <c r="G331" s="347">
        <f t="shared" si="41"/>
        <v>0</v>
      </c>
      <c r="H331" s="347">
        <f t="shared" si="42"/>
        <v>0</v>
      </c>
      <c r="I331" s="347">
        <f t="shared" si="43"/>
        <v>0</v>
      </c>
      <c r="J331" s="347">
        <f t="shared" si="44"/>
        <v>0</v>
      </c>
      <c r="K331"/>
      <c r="L331"/>
      <c r="M331"/>
      <c r="N331"/>
      <c r="O331"/>
      <c r="P331"/>
      <c r="Q331"/>
      <c r="R331"/>
      <c r="S331"/>
      <c r="T331"/>
      <c r="U331"/>
      <c r="V331"/>
      <c r="W331"/>
      <c r="X331"/>
      <c r="Y331"/>
      <c r="Z331"/>
      <c r="AA331"/>
      <c r="AB331"/>
      <c r="AC331"/>
    </row>
    <row r="332" spans="1:29" ht="15.75">
      <c r="A332" s="28"/>
      <c r="B332" s="346">
        <f t="shared" si="36"/>
        <v>296</v>
      </c>
      <c r="C332" s="347">
        <f t="shared" si="37"/>
        <v>0</v>
      </c>
      <c r="D332" s="347">
        <f t="shared" si="38"/>
        <v>0</v>
      </c>
      <c r="E332" s="347">
        <f t="shared" si="39"/>
        <v>0</v>
      </c>
      <c r="F332" s="347">
        <f t="shared" si="40"/>
        <v>0</v>
      </c>
      <c r="G332" s="347">
        <f t="shared" si="41"/>
        <v>0</v>
      </c>
      <c r="H332" s="347">
        <f t="shared" si="42"/>
        <v>0</v>
      </c>
      <c r="I332" s="347">
        <f t="shared" si="43"/>
        <v>0</v>
      </c>
      <c r="J332" s="347">
        <f t="shared" si="44"/>
        <v>0</v>
      </c>
      <c r="K332"/>
      <c r="L332"/>
      <c r="M332"/>
      <c r="N332"/>
      <c r="O332"/>
      <c r="P332"/>
      <c r="Q332"/>
      <c r="R332"/>
      <c r="S332"/>
      <c r="T332"/>
      <c r="U332"/>
      <c r="V332"/>
      <c r="W332"/>
      <c r="X332"/>
      <c r="Y332"/>
      <c r="Z332"/>
      <c r="AA332"/>
      <c r="AB332"/>
      <c r="AC332"/>
    </row>
    <row r="333" spans="1:29" ht="15.75">
      <c r="A333" s="28"/>
      <c r="B333" s="346">
        <f t="shared" si="36"/>
        <v>297</v>
      </c>
      <c r="C333" s="347">
        <f t="shared" si="37"/>
        <v>0</v>
      </c>
      <c r="D333" s="347">
        <f t="shared" si="38"/>
        <v>0</v>
      </c>
      <c r="E333" s="347">
        <f t="shared" si="39"/>
        <v>0</v>
      </c>
      <c r="F333" s="347">
        <f t="shared" si="40"/>
        <v>0</v>
      </c>
      <c r="G333" s="347">
        <f t="shared" si="41"/>
        <v>0</v>
      </c>
      <c r="H333" s="347">
        <f t="shared" si="42"/>
        <v>0</v>
      </c>
      <c r="I333" s="347">
        <f t="shared" si="43"/>
        <v>0</v>
      </c>
      <c r="J333" s="347">
        <f t="shared" si="44"/>
        <v>0</v>
      </c>
      <c r="K333"/>
      <c r="L333"/>
      <c r="M333"/>
      <c r="N333"/>
      <c r="O333"/>
      <c r="P333"/>
      <c r="Q333"/>
      <c r="R333"/>
      <c r="S333"/>
      <c r="T333"/>
      <c r="U333"/>
      <c r="V333"/>
      <c r="W333"/>
      <c r="X333"/>
      <c r="Y333"/>
      <c r="Z333"/>
      <c r="AA333"/>
      <c r="AB333"/>
      <c r="AC333"/>
    </row>
    <row r="334" spans="1:29" ht="15.75">
      <c r="A334" s="28"/>
      <c r="B334" s="346">
        <f t="shared" si="36"/>
        <v>298</v>
      </c>
      <c r="C334" s="347">
        <f t="shared" si="37"/>
        <v>0</v>
      </c>
      <c r="D334" s="347">
        <f t="shared" si="38"/>
        <v>0</v>
      </c>
      <c r="E334" s="347">
        <f t="shared" si="39"/>
        <v>0</v>
      </c>
      <c r="F334" s="347">
        <f t="shared" si="40"/>
        <v>0</v>
      </c>
      <c r="G334" s="347">
        <f t="shared" si="41"/>
        <v>0</v>
      </c>
      <c r="H334" s="347">
        <f t="shared" si="42"/>
        <v>0</v>
      </c>
      <c r="I334" s="347">
        <f t="shared" si="43"/>
        <v>0</v>
      </c>
      <c r="J334" s="347">
        <f t="shared" si="44"/>
        <v>0</v>
      </c>
      <c r="K334"/>
      <c r="L334"/>
      <c r="M334"/>
      <c r="N334"/>
      <c r="O334"/>
      <c r="P334"/>
      <c r="Q334"/>
      <c r="R334"/>
      <c r="S334"/>
      <c r="T334"/>
      <c r="U334"/>
      <c r="V334"/>
      <c r="W334"/>
      <c r="X334"/>
      <c r="Y334"/>
      <c r="Z334"/>
      <c r="AA334"/>
      <c r="AB334"/>
      <c r="AC334"/>
    </row>
    <row r="335" spans="1:29" ht="15.75">
      <c r="A335" s="28"/>
      <c r="B335" s="346">
        <f t="shared" si="36"/>
        <v>299</v>
      </c>
      <c r="C335" s="347">
        <f t="shared" si="37"/>
        <v>0</v>
      </c>
      <c r="D335" s="347">
        <f t="shared" si="38"/>
        <v>0</v>
      </c>
      <c r="E335" s="347">
        <f t="shared" si="39"/>
        <v>0</v>
      </c>
      <c r="F335" s="347">
        <f t="shared" si="40"/>
        <v>0</v>
      </c>
      <c r="G335" s="347">
        <f t="shared" si="41"/>
        <v>0</v>
      </c>
      <c r="H335" s="347">
        <f t="shared" si="42"/>
        <v>0</v>
      </c>
      <c r="I335" s="347">
        <f t="shared" si="43"/>
        <v>0</v>
      </c>
      <c r="J335" s="347">
        <f t="shared" si="44"/>
        <v>0</v>
      </c>
      <c r="K335"/>
      <c r="L335"/>
      <c r="M335"/>
      <c r="N335"/>
      <c r="O335"/>
      <c r="P335"/>
      <c r="Q335"/>
      <c r="R335"/>
      <c r="S335"/>
      <c r="T335"/>
      <c r="U335"/>
      <c r="V335"/>
      <c r="W335"/>
      <c r="X335"/>
      <c r="Y335"/>
      <c r="Z335"/>
      <c r="AA335"/>
      <c r="AB335"/>
      <c r="AC335"/>
    </row>
    <row r="336" spans="1:29" ht="15.75">
      <c r="A336" s="28"/>
      <c r="B336" s="346">
        <f t="shared" si="36"/>
        <v>300</v>
      </c>
      <c r="C336" s="347">
        <f t="shared" si="37"/>
        <v>0</v>
      </c>
      <c r="D336" s="347">
        <f t="shared" si="38"/>
        <v>0</v>
      </c>
      <c r="E336" s="347">
        <f t="shared" si="39"/>
        <v>0</v>
      </c>
      <c r="F336" s="347">
        <f t="shared" si="40"/>
        <v>0</v>
      </c>
      <c r="G336" s="347">
        <f t="shared" si="41"/>
        <v>0</v>
      </c>
      <c r="H336" s="347">
        <f t="shared" si="42"/>
        <v>0</v>
      </c>
      <c r="I336" s="347">
        <f t="shared" si="43"/>
        <v>0</v>
      </c>
      <c r="J336" s="347">
        <f t="shared" si="44"/>
        <v>0</v>
      </c>
      <c r="K336"/>
      <c r="L336"/>
      <c r="M336"/>
      <c r="N336"/>
      <c r="O336"/>
      <c r="P336"/>
      <c r="Q336"/>
      <c r="R336"/>
      <c r="S336"/>
      <c r="T336"/>
      <c r="U336"/>
      <c r="V336"/>
      <c r="W336"/>
      <c r="X336"/>
      <c r="Y336"/>
      <c r="Z336"/>
      <c r="AA336"/>
      <c r="AB336"/>
      <c r="AC336"/>
    </row>
    <row r="337" spans="1:29" ht="15.75">
      <c r="A337" s="28"/>
      <c r="B337" s="346">
        <f t="shared" si="36"/>
        <v>301</v>
      </c>
      <c r="C337" s="347">
        <f t="shared" si="37"/>
        <v>0</v>
      </c>
      <c r="D337" s="347">
        <f t="shared" si="38"/>
        <v>0</v>
      </c>
      <c r="E337" s="347">
        <f t="shared" si="39"/>
        <v>0</v>
      </c>
      <c r="F337" s="347">
        <f t="shared" si="40"/>
        <v>0</v>
      </c>
      <c r="G337" s="347">
        <f t="shared" si="41"/>
        <v>0</v>
      </c>
      <c r="H337" s="347">
        <f t="shared" si="42"/>
        <v>0</v>
      </c>
      <c r="I337" s="347">
        <f t="shared" si="43"/>
        <v>0</v>
      </c>
      <c r="J337" s="347">
        <f t="shared" si="44"/>
        <v>0</v>
      </c>
      <c r="K337"/>
      <c r="L337"/>
      <c r="M337"/>
      <c r="N337"/>
      <c r="O337"/>
      <c r="P337"/>
      <c r="Q337"/>
      <c r="R337"/>
      <c r="S337"/>
      <c r="T337"/>
      <c r="U337"/>
      <c r="V337"/>
      <c r="W337"/>
      <c r="X337"/>
      <c r="Y337"/>
      <c r="Z337"/>
      <c r="AA337"/>
      <c r="AB337"/>
      <c r="AC337"/>
    </row>
    <row r="338" spans="1:29" ht="15.75">
      <c r="A338" s="28"/>
      <c r="B338" s="346">
        <f t="shared" si="36"/>
        <v>302</v>
      </c>
      <c r="C338" s="347">
        <f t="shared" si="37"/>
        <v>0</v>
      </c>
      <c r="D338" s="347">
        <f t="shared" si="38"/>
        <v>0</v>
      </c>
      <c r="E338" s="347">
        <f t="shared" si="39"/>
        <v>0</v>
      </c>
      <c r="F338" s="347">
        <f t="shared" si="40"/>
        <v>0</v>
      </c>
      <c r="G338" s="347">
        <f t="shared" si="41"/>
        <v>0</v>
      </c>
      <c r="H338" s="347">
        <f t="shared" si="42"/>
        <v>0</v>
      </c>
      <c r="I338" s="347">
        <f t="shared" si="43"/>
        <v>0</v>
      </c>
      <c r="J338" s="347">
        <f t="shared" si="44"/>
        <v>0</v>
      </c>
      <c r="K338"/>
      <c r="L338"/>
      <c r="M338"/>
      <c r="N338"/>
      <c r="O338"/>
      <c r="P338"/>
      <c r="Q338"/>
      <c r="R338"/>
      <c r="S338"/>
      <c r="T338"/>
      <c r="U338"/>
      <c r="V338"/>
      <c r="W338"/>
      <c r="X338"/>
      <c r="Y338"/>
      <c r="Z338"/>
      <c r="AA338"/>
      <c r="AB338"/>
      <c r="AC338"/>
    </row>
    <row r="339" spans="1:29" ht="15.75">
      <c r="A339" s="28"/>
      <c r="B339" s="346">
        <f t="shared" si="36"/>
        <v>303</v>
      </c>
      <c r="C339" s="347">
        <f t="shared" si="37"/>
        <v>0</v>
      </c>
      <c r="D339" s="347">
        <f t="shared" si="38"/>
        <v>0</v>
      </c>
      <c r="E339" s="347">
        <f t="shared" si="39"/>
        <v>0</v>
      </c>
      <c r="F339" s="347">
        <f t="shared" si="40"/>
        <v>0</v>
      </c>
      <c r="G339" s="347">
        <f t="shared" si="41"/>
        <v>0</v>
      </c>
      <c r="H339" s="347">
        <f t="shared" si="42"/>
        <v>0</v>
      </c>
      <c r="I339" s="347">
        <f t="shared" si="43"/>
        <v>0</v>
      </c>
      <c r="J339" s="347">
        <f t="shared" si="44"/>
        <v>0</v>
      </c>
      <c r="K339"/>
      <c r="L339"/>
      <c r="M339"/>
      <c r="N339"/>
      <c r="O339"/>
      <c r="P339"/>
      <c r="Q339"/>
      <c r="R339"/>
      <c r="S339"/>
      <c r="T339"/>
      <c r="U339"/>
      <c r="V339"/>
      <c r="W339"/>
      <c r="X339"/>
      <c r="Y339"/>
      <c r="Z339"/>
      <c r="AA339"/>
      <c r="AB339"/>
      <c r="AC339"/>
    </row>
    <row r="340" spans="1:29" ht="15.75">
      <c r="A340" s="28"/>
      <c r="B340" s="346">
        <f t="shared" si="36"/>
        <v>304</v>
      </c>
      <c r="C340" s="347">
        <f t="shared" si="37"/>
        <v>0</v>
      </c>
      <c r="D340" s="347">
        <f t="shared" si="38"/>
        <v>0</v>
      </c>
      <c r="E340" s="347">
        <f t="shared" si="39"/>
        <v>0</v>
      </c>
      <c r="F340" s="347">
        <f t="shared" si="40"/>
        <v>0</v>
      </c>
      <c r="G340" s="347">
        <f t="shared" si="41"/>
        <v>0</v>
      </c>
      <c r="H340" s="347">
        <f t="shared" si="42"/>
        <v>0</v>
      </c>
      <c r="I340" s="347">
        <f t="shared" si="43"/>
        <v>0</v>
      </c>
      <c r="J340" s="347">
        <f t="shared" si="44"/>
        <v>0</v>
      </c>
      <c r="K340"/>
      <c r="L340"/>
      <c r="M340"/>
      <c r="N340"/>
      <c r="O340"/>
      <c r="P340"/>
      <c r="Q340"/>
      <c r="R340"/>
      <c r="S340"/>
      <c r="T340"/>
      <c r="U340"/>
      <c r="V340"/>
      <c r="W340"/>
      <c r="X340"/>
      <c r="Y340"/>
      <c r="Z340"/>
      <c r="AA340"/>
      <c r="AB340"/>
      <c r="AC340"/>
    </row>
    <row r="341" spans="1:29" ht="15.75">
      <c r="A341" s="28"/>
      <c r="B341" s="346">
        <f t="shared" si="36"/>
        <v>305</v>
      </c>
      <c r="C341" s="347">
        <f t="shared" si="37"/>
        <v>0</v>
      </c>
      <c r="D341" s="347">
        <f t="shared" si="38"/>
        <v>0</v>
      </c>
      <c r="E341" s="347">
        <f t="shared" si="39"/>
        <v>0</v>
      </c>
      <c r="F341" s="347">
        <f t="shared" si="40"/>
        <v>0</v>
      </c>
      <c r="G341" s="347">
        <f t="shared" si="41"/>
        <v>0</v>
      </c>
      <c r="H341" s="347">
        <f t="shared" si="42"/>
        <v>0</v>
      </c>
      <c r="I341" s="347">
        <f t="shared" si="43"/>
        <v>0</v>
      </c>
      <c r="J341" s="347">
        <f t="shared" si="44"/>
        <v>0</v>
      </c>
      <c r="K341"/>
      <c r="L341"/>
      <c r="M341"/>
      <c r="N341"/>
      <c r="O341"/>
      <c r="P341"/>
      <c r="Q341"/>
      <c r="R341"/>
      <c r="S341"/>
      <c r="T341"/>
      <c r="U341"/>
      <c r="V341"/>
      <c r="W341"/>
      <c r="X341"/>
      <c r="Y341"/>
      <c r="Z341"/>
      <c r="AA341"/>
      <c r="AB341"/>
      <c r="AC341"/>
    </row>
    <row r="342" spans="1:29" ht="15.75">
      <c r="A342" s="28"/>
      <c r="B342" s="346">
        <f t="shared" si="36"/>
        <v>306</v>
      </c>
      <c r="C342" s="347">
        <f t="shared" si="37"/>
        <v>0</v>
      </c>
      <c r="D342" s="347">
        <f t="shared" si="38"/>
        <v>0</v>
      </c>
      <c r="E342" s="347">
        <f t="shared" si="39"/>
        <v>0</v>
      </c>
      <c r="F342" s="347">
        <f t="shared" si="40"/>
        <v>0</v>
      </c>
      <c r="G342" s="347">
        <f t="shared" si="41"/>
        <v>0</v>
      </c>
      <c r="H342" s="347">
        <f t="shared" si="42"/>
        <v>0</v>
      </c>
      <c r="I342" s="347">
        <f t="shared" si="43"/>
        <v>0</v>
      </c>
      <c r="J342" s="347">
        <f t="shared" si="44"/>
        <v>0</v>
      </c>
      <c r="K342"/>
      <c r="L342"/>
      <c r="M342"/>
      <c r="N342"/>
      <c r="O342"/>
      <c r="P342"/>
      <c r="Q342"/>
      <c r="R342"/>
      <c r="S342"/>
      <c r="T342"/>
      <c r="U342"/>
      <c r="V342"/>
      <c r="W342"/>
      <c r="X342"/>
      <c r="Y342"/>
      <c r="Z342"/>
      <c r="AA342"/>
      <c r="AB342"/>
      <c r="AC342"/>
    </row>
    <row r="343" spans="1:29" ht="15.75">
      <c r="A343" s="28"/>
      <c r="B343" s="346">
        <f t="shared" si="36"/>
        <v>307</v>
      </c>
      <c r="C343" s="347">
        <f t="shared" si="37"/>
        <v>0</v>
      </c>
      <c r="D343" s="347">
        <f t="shared" si="38"/>
        <v>0</v>
      </c>
      <c r="E343" s="347">
        <f t="shared" si="39"/>
        <v>0</v>
      </c>
      <c r="F343" s="347">
        <f t="shared" si="40"/>
        <v>0</v>
      </c>
      <c r="G343" s="347">
        <f t="shared" si="41"/>
        <v>0</v>
      </c>
      <c r="H343" s="347">
        <f t="shared" si="42"/>
        <v>0</v>
      </c>
      <c r="I343" s="347">
        <f t="shared" si="43"/>
        <v>0</v>
      </c>
      <c r="J343" s="347">
        <f t="shared" si="44"/>
        <v>0</v>
      </c>
      <c r="K343"/>
      <c r="L343"/>
      <c r="M343"/>
      <c r="N343"/>
      <c r="O343"/>
      <c r="P343"/>
      <c r="Q343"/>
      <c r="R343"/>
      <c r="S343"/>
      <c r="T343"/>
      <c r="U343"/>
      <c r="V343"/>
      <c r="W343"/>
      <c r="X343"/>
      <c r="Y343"/>
      <c r="Z343"/>
      <c r="AA343"/>
      <c r="AB343"/>
      <c r="AC343"/>
    </row>
    <row r="344" spans="1:29" ht="15.75">
      <c r="A344" s="28"/>
      <c r="B344" s="346">
        <f t="shared" si="36"/>
        <v>308</v>
      </c>
      <c r="C344" s="347">
        <f t="shared" si="37"/>
        <v>0</v>
      </c>
      <c r="D344" s="347">
        <f t="shared" si="38"/>
        <v>0</v>
      </c>
      <c r="E344" s="347">
        <f t="shared" si="39"/>
        <v>0</v>
      </c>
      <c r="F344" s="347">
        <f t="shared" si="40"/>
        <v>0</v>
      </c>
      <c r="G344" s="347">
        <f t="shared" si="41"/>
        <v>0</v>
      </c>
      <c r="H344" s="347">
        <f t="shared" si="42"/>
        <v>0</v>
      </c>
      <c r="I344" s="347">
        <f t="shared" si="43"/>
        <v>0</v>
      </c>
      <c r="J344" s="347">
        <f t="shared" si="44"/>
        <v>0</v>
      </c>
      <c r="K344"/>
      <c r="L344"/>
      <c r="M344"/>
      <c r="N344"/>
      <c r="O344"/>
      <c r="P344"/>
      <c r="Q344"/>
      <c r="R344"/>
      <c r="S344"/>
      <c r="T344"/>
      <c r="U344"/>
      <c r="V344"/>
      <c r="W344"/>
      <c r="X344"/>
      <c r="Y344"/>
      <c r="Z344"/>
      <c r="AA344"/>
      <c r="AB344"/>
      <c r="AC344"/>
    </row>
    <row r="345" spans="1:29" ht="15.75">
      <c r="A345" s="28"/>
      <c r="B345" s="346">
        <f t="shared" si="36"/>
        <v>309</v>
      </c>
      <c r="C345" s="347">
        <f t="shared" si="37"/>
        <v>0</v>
      </c>
      <c r="D345" s="347">
        <f t="shared" si="38"/>
        <v>0</v>
      </c>
      <c r="E345" s="347">
        <f t="shared" si="39"/>
        <v>0</v>
      </c>
      <c r="F345" s="347">
        <f t="shared" si="40"/>
        <v>0</v>
      </c>
      <c r="G345" s="347">
        <f t="shared" si="41"/>
        <v>0</v>
      </c>
      <c r="H345" s="347">
        <f t="shared" si="42"/>
        <v>0</v>
      </c>
      <c r="I345" s="347">
        <f t="shared" si="43"/>
        <v>0</v>
      </c>
      <c r="J345" s="347">
        <f t="shared" si="44"/>
        <v>0</v>
      </c>
      <c r="K345"/>
      <c r="L345"/>
      <c r="M345"/>
      <c r="N345"/>
      <c r="O345"/>
      <c r="P345"/>
      <c r="Q345"/>
      <c r="R345"/>
      <c r="S345"/>
      <c r="T345"/>
      <c r="U345"/>
      <c r="V345"/>
      <c r="W345"/>
      <c r="X345"/>
      <c r="Y345"/>
      <c r="Z345"/>
      <c r="AA345"/>
      <c r="AB345"/>
      <c r="AC345"/>
    </row>
    <row r="346" spans="1:29" ht="15.75">
      <c r="A346" s="28"/>
      <c r="B346" s="346">
        <f t="shared" si="36"/>
        <v>310</v>
      </c>
      <c r="C346" s="347">
        <f t="shared" si="37"/>
        <v>0</v>
      </c>
      <c r="D346" s="347">
        <f t="shared" si="38"/>
        <v>0</v>
      </c>
      <c r="E346" s="347">
        <f t="shared" si="39"/>
        <v>0</v>
      </c>
      <c r="F346" s="347">
        <f t="shared" si="40"/>
        <v>0</v>
      </c>
      <c r="G346" s="347">
        <f t="shared" si="41"/>
        <v>0</v>
      </c>
      <c r="H346" s="347">
        <f t="shared" si="42"/>
        <v>0</v>
      </c>
      <c r="I346" s="347">
        <f t="shared" si="43"/>
        <v>0</v>
      </c>
      <c r="J346" s="347">
        <f t="shared" si="44"/>
        <v>0</v>
      </c>
      <c r="K346"/>
      <c r="L346"/>
      <c r="M346"/>
      <c r="N346"/>
      <c r="O346"/>
      <c r="P346"/>
      <c r="Q346"/>
      <c r="R346"/>
      <c r="S346"/>
      <c r="T346"/>
      <c r="U346"/>
      <c r="V346"/>
      <c r="W346"/>
      <c r="X346"/>
      <c r="Y346"/>
      <c r="Z346"/>
      <c r="AA346"/>
      <c r="AB346"/>
      <c r="AC346"/>
    </row>
    <row r="347" spans="1:29" ht="15.75">
      <c r="A347" s="28"/>
      <c r="B347" s="346">
        <f t="shared" si="36"/>
        <v>311</v>
      </c>
      <c r="C347" s="347">
        <f t="shared" si="37"/>
        <v>0</v>
      </c>
      <c r="D347" s="347">
        <f t="shared" si="38"/>
        <v>0</v>
      </c>
      <c r="E347" s="347">
        <f t="shared" si="39"/>
        <v>0</v>
      </c>
      <c r="F347" s="347">
        <f t="shared" si="40"/>
        <v>0</v>
      </c>
      <c r="G347" s="347">
        <f t="shared" si="41"/>
        <v>0</v>
      </c>
      <c r="H347" s="347">
        <f t="shared" si="42"/>
        <v>0</v>
      </c>
      <c r="I347" s="347">
        <f t="shared" si="43"/>
        <v>0</v>
      </c>
      <c r="J347" s="347">
        <f t="shared" si="44"/>
        <v>0</v>
      </c>
      <c r="K347"/>
      <c r="L347"/>
      <c r="M347"/>
      <c r="N347"/>
      <c r="O347"/>
      <c r="P347"/>
      <c r="Q347"/>
      <c r="R347"/>
      <c r="S347"/>
      <c r="T347"/>
      <c r="U347"/>
      <c r="V347"/>
      <c r="W347"/>
      <c r="X347"/>
      <c r="Y347"/>
      <c r="Z347"/>
      <c r="AA347"/>
      <c r="AB347"/>
      <c r="AC347"/>
    </row>
    <row r="348" spans="1:29" ht="15.75">
      <c r="A348" s="28"/>
      <c r="B348" s="346">
        <f t="shared" si="36"/>
        <v>312</v>
      </c>
      <c r="C348" s="347">
        <f t="shared" si="37"/>
        <v>0</v>
      </c>
      <c r="D348" s="347">
        <f t="shared" si="38"/>
        <v>0</v>
      </c>
      <c r="E348" s="347">
        <f t="shared" si="39"/>
        <v>0</v>
      </c>
      <c r="F348" s="347">
        <f t="shared" si="40"/>
        <v>0</v>
      </c>
      <c r="G348" s="347">
        <f t="shared" si="41"/>
        <v>0</v>
      </c>
      <c r="H348" s="347">
        <f t="shared" si="42"/>
        <v>0</v>
      </c>
      <c r="I348" s="347">
        <f t="shared" si="43"/>
        <v>0</v>
      </c>
      <c r="J348" s="347">
        <f t="shared" si="44"/>
        <v>0</v>
      </c>
      <c r="K348"/>
      <c r="L348"/>
      <c r="M348"/>
      <c r="N348"/>
      <c r="O348"/>
      <c r="P348"/>
      <c r="Q348"/>
      <c r="R348"/>
      <c r="S348"/>
      <c r="T348"/>
      <c r="U348"/>
      <c r="V348"/>
      <c r="W348"/>
      <c r="X348"/>
      <c r="Y348"/>
      <c r="Z348"/>
      <c r="AA348"/>
      <c r="AB348"/>
      <c r="AC348"/>
    </row>
    <row r="349" spans="1:29" ht="15.75">
      <c r="A349" s="28"/>
      <c r="B349" s="346">
        <f t="shared" si="36"/>
        <v>313</v>
      </c>
      <c r="C349" s="347">
        <f t="shared" si="37"/>
        <v>0</v>
      </c>
      <c r="D349" s="347">
        <f t="shared" si="38"/>
        <v>0</v>
      </c>
      <c r="E349" s="347">
        <f t="shared" si="39"/>
        <v>0</v>
      </c>
      <c r="F349" s="347">
        <f t="shared" si="40"/>
        <v>0</v>
      </c>
      <c r="G349" s="347">
        <f t="shared" si="41"/>
        <v>0</v>
      </c>
      <c r="H349" s="347">
        <f t="shared" si="42"/>
        <v>0</v>
      </c>
      <c r="I349" s="347">
        <f t="shared" si="43"/>
        <v>0</v>
      </c>
      <c r="J349" s="347">
        <f t="shared" si="44"/>
        <v>0</v>
      </c>
      <c r="K349"/>
      <c r="L349"/>
      <c r="M349"/>
      <c r="N349"/>
      <c r="O349"/>
      <c r="P349"/>
      <c r="Q349"/>
      <c r="R349"/>
      <c r="S349"/>
      <c r="T349"/>
      <c r="U349"/>
      <c r="V349"/>
      <c r="W349"/>
      <c r="X349"/>
      <c r="Y349"/>
      <c r="Z349"/>
      <c r="AA349"/>
      <c r="AB349"/>
      <c r="AC349"/>
    </row>
    <row r="350" spans="1:29" ht="15.75">
      <c r="A350" s="28"/>
      <c r="B350" s="346">
        <f t="shared" si="36"/>
        <v>314</v>
      </c>
      <c r="C350" s="347">
        <f t="shared" si="37"/>
        <v>0</v>
      </c>
      <c r="D350" s="347">
        <f t="shared" si="38"/>
        <v>0</v>
      </c>
      <c r="E350" s="347">
        <f t="shared" si="39"/>
        <v>0</v>
      </c>
      <c r="F350" s="347">
        <f t="shared" si="40"/>
        <v>0</v>
      </c>
      <c r="G350" s="347">
        <f t="shared" si="41"/>
        <v>0</v>
      </c>
      <c r="H350" s="347">
        <f t="shared" si="42"/>
        <v>0</v>
      </c>
      <c r="I350" s="347">
        <f t="shared" si="43"/>
        <v>0</v>
      </c>
      <c r="J350" s="347">
        <f t="shared" si="44"/>
        <v>0</v>
      </c>
      <c r="K350"/>
      <c r="L350"/>
      <c r="M350"/>
      <c r="N350"/>
      <c r="O350"/>
      <c r="P350"/>
      <c r="Q350"/>
      <c r="R350"/>
      <c r="S350"/>
      <c r="T350"/>
      <c r="U350"/>
      <c r="V350"/>
      <c r="W350"/>
      <c r="X350"/>
      <c r="Y350"/>
      <c r="Z350"/>
      <c r="AA350"/>
      <c r="AB350"/>
      <c r="AC350"/>
    </row>
    <row r="351" spans="1:29" ht="15.75">
      <c r="A351" s="28"/>
      <c r="B351" s="346">
        <f t="shared" si="36"/>
        <v>315</v>
      </c>
      <c r="C351" s="347">
        <f t="shared" si="37"/>
        <v>0</v>
      </c>
      <c r="D351" s="347">
        <f t="shared" si="38"/>
        <v>0</v>
      </c>
      <c r="E351" s="347">
        <f t="shared" si="39"/>
        <v>0</v>
      </c>
      <c r="F351" s="347">
        <f t="shared" si="40"/>
        <v>0</v>
      </c>
      <c r="G351" s="347">
        <f t="shared" si="41"/>
        <v>0</v>
      </c>
      <c r="H351" s="347">
        <f t="shared" si="42"/>
        <v>0</v>
      </c>
      <c r="I351" s="347">
        <f t="shared" si="43"/>
        <v>0</v>
      </c>
      <c r="J351" s="347">
        <f t="shared" si="44"/>
        <v>0</v>
      </c>
      <c r="K351"/>
      <c r="L351"/>
      <c r="M351"/>
      <c r="N351"/>
      <c r="O351"/>
      <c r="P351"/>
      <c r="Q351"/>
      <c r="R351"/>
      <c r="S351"/>
      <c r="T351"/>
      <c r="U351"/>
      <c r="V351"/>
      <c r="W351"/>
      <c r="X351"/>
      <c r="Y351"/>
      <c r="Z351"/>
      <c r="AA351"/>
      <c r="AB351"/>
      <c r="AC351"/>
    </row>
    <row r="352" spans="1:29" ht="15.75">
      <c r="A352" s="28"/>
      <c r="B352" s="346">
        <f t="shared" si="36"/>
        <v>316</v>
      </c>
      <c r="C352" s="347">
        <f t="shared" si="37"/>
        <v>0</v>
      </c>
      <c r="D352" s="347">
        <f t="shared" si="38"/>
        <v>0</v>
      </c>
      <c r="E352" s="347">
        <f t="shared" si="39"/>
        <v>0</v>
      </c>
      <c r="F352" s="347">
        <f t="shared" si="40"/>
        <v>0</v>
      </c>
      <c r="G352" s="347">
        <f t="shared" si="41"/>
        <v>0</v>
      </c>
      <c r="H352" s="347">
        <f t="shared" si="42"/>
        <v>0</v>
      </c>
      <c r="I352" s="347">
        <f t="shared" si="43"/>
        <v>0</v>
      </c>
      <c r="J352" s="347">
        <f t="shared" si="44"/>
        <v>0</v>
      </c>
      <c r="K352"/>
      <c r="L352"/>
      <c r="M352"/>
      <c r="N352"/>
      <c r="O352"/>
      <c r="P352"/>
      <c r="Q352"/>
      <c r="R352"/>
      <c r="S352"/>
      <c r="T352"/>
      <c r="U352"/>
      <c r="V352"/>
      <c r="W352"/>
      <c r="X352"/>
      <c r="Y352"/>
      <c r="Z352"/>
      <c r="AA352"/>
      <c r="AB352"/>
      <c r="AC352"/>
    </row>
    <row r="353" spans="1:29" ht="15.75">
      <c r="A353" s="28"/>
      <c r="B353" s="346">
        <f t="shared" si="36"/>
        <v>317</v>
      </c>
      <c r="C353" s="347">
        <f t="shared" si="37"/>
        <v>0</v>
      </c>
      <c r="D353" s="347">
        <f t="shared" si="38"/>
        <v>0</v>
      </c>
      <c r="E353" s="347">
        <f t="shared" si="39"/>
        <v>0</v>
      </c>
      <c r="F353" s="347">
        <f t="shared" si="40"/>
        <v>0</v>
      </c>
      <c r="G353" s="347">
        <f t="shared" si="41"/>
        <v>0</v>
      </c>
      <c r="H353" s="347">
        <f t="shared" si="42"/>
        <v>0</v>
      </c>
      <c r="I353" s="347">
        <f t="shared" si="43"/>
        <v>0</v>
      </c>
      <c r="J353" s="347">
        <f t="shared" si="44"/>
        <v>0</v>
      </c>
      <c r="K353"/>
      <c r="L353"/>
      <c r="M353"/>
      <c r="N353"/>
      <c r="O353"/>
      <c r="P353"/>
      <c r="Q353"/>
      <c r="R353"/>
      <c r="S353"/>
      <c r="T353"/>
      <c r="U353"/>
      <c r="V353"/>
      <c r="W353"/>
      <c r="X353"/>
      <c r="Y353"/>
      <c r="Z353"/>
      <c r="AA353"/>
      <c r="AB353"/>
      <c r="AC353"/>
    </row>
    <row r="354" spans="1:29" ht="15.75">
      <c r="A354" s="28"/>
      <c r="B354" s="346">
        <f t="shared" si="36"/>
        <v>318</v>
      </c>
      <c r="C354" s="347">
        <f t="shared" si="37"/>
        <v>0</v>
      </c>
      <c r="D354" s="347">
        <f t="shared" si="38"/>
        <v>0</v>
      </c>
      <c r="E354" s="347">
        <f t="shared" si="39"/>
        <v>0</v>
      </c>
      <c r="F354" s="347">
        <f t="shared" si="40"/>
        <v>0</v>
      </c>
      <c r="G354" s="347">
        <f t="shared" si="41"/>
        <v>0</v>
      </c>
      <c r="H354" s="347">
        <f t="shared" si="42"/>
        <v>0</v>
      </c>
      <c r="I354" s="347">
        <f t="shared" si="43"/>
        <v>0</v>
      </c>
      <c r="J354" s="347">
        <f t="shared" si="44"/>
        <v>0</v>
      </c>
      <c r="K354"/>
      <c r="L354"/>
      <c r="M354"/>
      <c r="N354"/>
      <c r="O354"/>
      <c r="P354"/>
      <c r="Q354"/>
      <c r="R354"/>
      <c r="S354"/>
      <c r="T354"/>
      <c r="U354"/>
      <c r="V354"/>
      <c r="W354"/>
      <c r="X354"/>
      <c r="Y354"/>
      <c r="Z354"/>
      <c r="AA354"/>
      <c r="AB354"/>
      <c r="AC354"/>
    </row>
    <row r="355" spans="1:29" ht="15.75">
      <c r="A355" s="28"/>
      <c r="B355" s="346">
        <f t="shared" si="36"/>
        <v>319</v>
      </c>
      <c r="C355" s="347">
        <f t="shared" si="37"/>
        <v>0</v>
      </c>
      <c r="D355" s="347">
        <f t="shared" si="38"/>
        <v>0</v>
      </c>
      <c r="E355" s="347">
        <f t="shared" si="39"/>
        <v>0</v>
      </c>
      <c r="F355" s="347">
        <f t="shared" si="40"/>
        <v>0</v>
      </c>
      <c r="G355" s="347">
        <f t="shared" si="41"/>
        <v>0</v>
      </c>
      <c r="H355" s="347">
        <f t="shared" si="42"/>
        <v>0</v>
      </c>
      <c r="I355" s="347">
        <f t="shared" si="43"/>
        <v>0</v>
      </c>
      <c r="J355" s="347">
        <f t="shared" si="44"/>
        <v>0</v>
      </c>
      <c r="K355"/>
      <c r="L355"/>
      <c r="M355"/>
      <c r="N355"/>
      <c r="O355"/>
      <c r="P355"/>
      <c r="Q355"/>
      <c r="R355"/>
      <c r="S355"/>
      <c r="T355"/>
      <c r="U355"/>
      <c r="V355"/>
      <c r="W355"/>
      <c r="X355"/>
      <c r="Y355"/>
      <c r="Z355"/>
      <c r="AA355"/>
      <c r="AB355"/>
      <c r="AC355"/>
    </row>
    <row r="356" spans="1:29" ht="15.75">
      <c r="A356" s="28"/>
      <c r="B356" s="346">
        <f t="shared" si="36"/>
        <v>320</v>
      </c>
      <c r="C356" s="347">
        <f t="shared" si="37"/>
        <v>0</v>
      </c>
      <c r="D356" s="347">
        <f t="shared" si="38"/>
        <v>0</v>
      </c>
      <c r="E356" s="347">
        <f t="shared" si="39"/>
        <v>0</v>
      </c>
      <c r="F356" s="347">
        <f t="shared" si="40"/>
        <v>0</v>
      </c>
      <c r="G356" s="347">
        <f t="shared" si="41"/>
        <v>0</v>
      </c>
      <c r="H356" s="347">
        <f t="shared" si="42"/>
        <v>0</v>
      </c>
      <c r="I356" s="347">
        <f t="shared" si="43"/>
        <v>0</v>
      </c>
      <c r="J356" s="347">
        <f t="shared" si="44"/>
        <v>0</v>
      </c>
      <c r="K356"/>
      <c r="L356"/>
      <c r="M356"/>
      <c r="N356"/>
      <c r="O356"/>
      <c r="P356"/>
      <c r="Q356"/>
      <c r="R356"/>
      <c r="S356"/>
      <c r="T356"/>
      <c r="U356"/>
      <c r="V356"/>
      <c r="W356"/>
      <c r="X356"/>
      <c r="Y356"/>
      <c r="Z356"/>
      <c r="AA356"/>
      <c r="AB356"/>
      <c r="AC356"/>
    </row>
    <row r="357" spans="1:29" ht="15.75">
      <c r="A357" s="28"/>
      <c r="B357" s="346">
        <f t="shared" si="36"/>
        <v>321</v>
      </c>
      <c r="C357" s="347">
        <f t="shared" si="37"/>
        <v>0</v>
      </c>
      <c r="D357" s="347">
        <f t="shared" si="38"/>
        <v>0</v>
      </c>
      <c r="E357" s="347">
        <f t="shared" si="39"/>
        <v>0</v>
      </c>
      <c r="F357" s="347">
        <f t="shared" si="40"/>
        <v>0</v>
      </c>
      <c r="G357" s="347">
        <f t="shared" si="41"/>
        <v>0</v>
      </c>
      <c r="H357" s="347">
        <f t="shared" si="42"/>
        <v>0</v>
      </c>
      <c r="I357" s="347">
        <f t="shared" si="43"/>
        <v>0</v>
      </c>
      <c r="J357" s="347">
        <f t="shared" si="44"/>
        <v>0</v>
      </c>
      <c r="K357"/>
      <c r="L357"/>
      <c r="M357"/>
      <c r="N357"/>
      <c r="O357"/>
      <c r="P357"/>
      <c r="Q357"/>
      <c r="R357"/>
      <c r="S357"/>
      <c r="T357"/>
      <c r="U357"/>
      <c r="V357"/>
      <c r="W357"/>
      <c r="X357"/>
      <c r="Y357"/>
      <c r="Z357"/>
      <c r="AA357"/>
      <c r="AB357"/>
      <c r="AC357"/>
    </row>
    <row r="358" spans="1:29" ht="15.75">
      <c r="A358" s="28"/>
      <c r="B358" s="346">
        <f aca="true" t="shared" si="45" ref="B358:B396">1+B357</f>
        <v>322</v>
      </c>
      <c r="C358" s="347">
        <f aca="true" t="shared" si="46" ref="C358:C396">IF((E357&lt;$C$24-G358),E357,$C$24-G358)</f>
        <v>0</v>
      </c>
      <c r="D358" s="347">
        <f aca="true" t="shared" si="47" ref="D358:D396">IF(AND($C$20&lt;=B358,E357&gt;C358+$C$18),IF(MOD($B358,$C$19)=0,$C$18,0),0)</f>
        <v>0</v>
      </c>
      <c r="E358" s="347">
        <f aca="true" t="shared" si="48" ref="E358:E396">IF(E357-C358&lt;=1,0,E357-C358-D358)</f>
        <v>0</v>
      </c>
      <c r="F358" s="347">
        <f aca="true" t="shared" si="49" ref="F358:F396">F357+C358+D358</f>
        <v>0</v>
      </c>
      <c r="G358" s="347">
        <f aca="true" t="shared" si="50" ref="G358:G396">E357*($C$13/$C$15)</f>
        <v>0</v>
      </c>
      <c r="H358" s="347">
        <f aca="true" t="shared" si="51" ref="H358:H396">H357+G358</f>
        <v>0</v>
      </c>
      <c r="I358" s="347">
        <f aca="true" t="shared" si="52" ref="I358:I396">IF(I357-($C$24-J358)&lt;=1,0,I357-($C$24-J358))</f>
        <v>0</v>
      </c>
      <c r="J358" s="347">
        <f aca="true" t="shared" si="53" ref="J358:J396">I357*($C$13/$C$15)</f>
        <v>0</v>
      </c>
      <c r="K358"/>
      <c r="L358"/>
      <c r="M358"/>
      <c r="N358"/>
      <c r="O358"/>
      <c r="P358"/>
      <c r="Q358"/>
      <c r="R358"/>
      <c r="S358"/>
      <c r="T358"/>
      <c r="U358"/>
      <c r="V358"/>
      <c r="W358"/>
      <c r="X358"/>
      <c r="Y358"/>
      <c r="Z358"/>
      <c r="AA358"/>
      <c r="AB358"/>
      <c r="AC358"/>
    </row>
    <row r="359" spans="1:29" ht="15.75">
      <c r="A359" s="28"/>
      <c r="B359" s="346">
        <f t="shared" si="45"/>
        <v>323</v>
      </c>
      <c r="C359" s="347">
        <f t="shared" si="46"/>
        <v>0</v>
      </c>
      <c r="D359" s="347">
        <f t="shared" si="47"/>
        <v>0</v>
      </c>
      <c r="E359" s="347">
        <f t="shared" si="48"/>
        <v>0</v>
      </c>
      <c r="F359" s="347">
        <f t="shared" si="49"/>
        <v>0</v>
      </c>
      <c r="G359" s="347">
        <f t="shared" si="50"/>
        <v>0</v>
      </c>
      <c r="H359" s="347">
        <f t="shared" si="51"/>
        <v>0</v>
      </c>
      <c r="I359" s="347">
        <f t="shared" si="52"/>
        <v>0</v>
      </c>
      <c r="J359" s="347">
        <f t="shared" si="53"/>
        <v>0</v>
      </c>
      <c r="K359"/>
      <c r="L359"/>
      <c r="M359"/>
      <c r="N359"/>
      <c r="O359"/>
      <c r="P359"/>
      <c r="Q359"/>
      <c r="R359"/>
      <c r="S359"/>
      <c r="T359"/>
      <c r="U359"/>
      <c r="V359"/>
      <c r="W359"/>
      <c r="X359"/>
      <c r="Y359"/>
      <c r="Z359"/>
      <c r="AA359"/>
      <c r="AB359"/>
      <c r="AC359"/>
    </row>
    <row r="360" spans="1:29" ht="15.75">
      <c r="A360" s="28"/>
      <c r="B360" s="346">
        <f t="shared" si="45"/>
        <v>324</v>
      </c>
      <c r="C360" s="347">
        <f t="shared" si="46"/>
        <v>0</v>
      </c>
      <c r="D360" s="347">
        <f t="shared" si="47"/>
        <v>0</v>
      </c>
      <c r="E360" s="347">
        <f t="shared" si="48"/>
        <v>0</v>
      </c>
      <c r="F360" s="347">
        <f t="shared" si="49"/>
        <v>0</v>
      </c>
      <c r="G360" s="347">
        <f t="shared" si="50"/>
        <v>0</v>
      </c>
      <c r="H360" s="347">
        <f t="shared" si="51"/>
        <v>0</v>
      </c>
      <c r="I360" s="347">
        <f t="shared" si="52"/>
        <v>0</v>
      </c>
      <c r="J360" s="347">
        <f t="shared" si="53"/>
        <v>0</v>
      </c>
      <c r="K360"/>
      <c r="L360"/>
      <c r="M360"/>
      <c r="N360"/>
      <c r="O360"/>
      <c r="P360"/>
      <c r="Q360"/>
      <c r="R360"/>
      <c r="S360"/>
      <c r="T360"/>
      <c r="U360"/>
      <c r="V360"/>
      <c r="W360"/>
      <c r="X360"/>
      <c r="Y360"/>
      <c r="Z360"/>
      <c r="AA360"/>
      <c r="AB360"/>
      <c r="AC360"/>
    </row>
    <row r="361" spans="1:29" ht="15.75">
      <c r="A361" s="28"/>
      <c r="B361" s="346">
        <f t="shared" si="45"/>
        <v>325</v>
      </c>
      <c r="C361" s="347">
        <f t="shared" si="46"/>
        <v>0</v>
      </c>
      <c r="D361" s="347">
        <f t="shared" si="47"/>
        <v>0</v>
      </c>
      <c r="E361" s="347">
        <f t="shared" si="48"/>
        <v>0</v>
      </c>
      <c r="F361" s="347">
        <f t="shared" si="49"/>
        <v>0</v>
      </c>
      <c r="G361" s="347">
        <f t="shared" si="50"/>
        <v>0</v>
      </c>
      <c r="H361" s="347">
        <f t="shared" si="51"/>
        <v>0</v>
      </c>
      <c r="I361" s="347">
        <f t="shared" si="52"/>
        <v>0</v>
      </c>
      <c r="J361" s="347">
        <f t="shared" si="53"/>
        <v>0</v>
      </c>
      <c r="K361"/>
      <c r="L361"/>
      <c r="M361"/>
      <c r="N361"/>
      <c r="O361"/>
      <c r="P361"/>
      <c r="Q361"/>
      <c r="R361"/>
      <c r="S361"/>
      <c r="T361"/>
      <c r="U361"/>
      <c r="V361"/>
      <c r="W361"/>
      <c r="X361"/>
      <c r="Y361"/>
      <c r="Z361"/>
      <c r="AA361"/>
      <c r="AB361"/>
      <c r="AC361"/>
    </row>
    <row r="362" spans="1:29" ht="15.75">
      <c r="A362" s="28"/>
      <c r="B362" s="346">
        <f t="shared" si="45"/>
        <v>326</v>
      </c>
      <c r="C362" s="347">
        <f t="shared" si="46"/>
        <v>0</v>
      </c>
      <c r="D362" s="347">
        <f t="shared" si="47"/>
        <v>0</v>
      </c>
      <c r="E362" s="347">
        <f t="shared" si="48"/>
        <v>0</v>
      </c>
      <c r="F362" s="347">
        <f t="shared" si="49"/>
        <v>0</v>
      </c>
      <c r="G362" s="347">
        <f t="shared" si="50"/>
        <v>0</v>
      </c>
      <c r="H362" s="347">
        <f t="shared" si="51"/>
        <v>0</v>
      </c>
      <c r="I362" s="347">
        <f t="shared" si="52"/>
        <v>0</v>
      </c>
      <c r="J362" s="347">
        <f t="shared" si="53"/>
        <v>0</v>
      </c>
      <c r="K362"/>
      <c r="L362"/>
      <c r="M362"/>
      <c r="N362"/>
      <c r="O362"/>
      <c r="P362"/>
      <c r="Q362"/>
      <c r="R362"/>
      <c r="S362"/>
      <c r="T362"/>
      <c r="U362"/>
      <c r="V362"/>
      <c r="W362"/>
      <c r="X362"/>
      <c r="Y362"/>
      <c r="Z362"/>
      <c r="AA362"/>
      <c r="AB362"/>
      <c r="AC362"/>
    </row>
    <row r="363" spans="1:29" ht="15.75">
      <c r="A363" s="28"/>
      <c r="B363" s="346">
        <f t="shared" si="45"/>
        <v>327</v>
      </c>
      <c r="C363" s="347">
        <f t="shared" si="46"/>
        <v>0</v>
      </c>
      <c r="D363" s="347">
        <f t="shared" si="47"/>
        <v>0</v>
      </c>
      <c r="E363" s="347">
        <f t="shared" si="48"/>
        <v>0</v>
      </c>
      <c r="F363" s="347">
        <f t="shared" si="49"/>
        <v>0</v>
      </c>
      <c r="G363" s="347">
        <f t="shared" si="50"/>
        <v>0</v>
      </c>
      <c r="H363" s="347">
        <f t="shared" si="51"/>
        <v>0</v>
      </c>
      <c r="I363" s="347">
        <f t="shared" si="52"/>
        <v>0</v>
      </c>
      <c r="J363" s="347">
        <f t="shared" si="53"/>
        <v>0</v>
      </c>
      <c r="K363"/>
      <c r="L363"/>
      <c r="M363"/>
      <c r="N363"/>
      <c r="O363"/>
      <c r="P363"/>
      <c r="Q363"/>
      <c r="R363"/>
      <c r="S363"/>
      <c r="T363"/>
      <c r="U363"/>
      <c r="V363"/>
      <c r="W363"/>
      <c r="X363"/>
      <c r="Y363"/>
      <c r="Z363"/>
      <c r="AA363"/>
      <c r="AB363"/>
      <c r="AC363"/>
    </row>
    <row r="364" spans="1:29" ht="15.75">
      <c r="A364" s="28"/>
      <c r="B364" s="346">
        <f t="shared" si="45"/>
        <v>328</v>
      </c>
      <c r="C364" s="347">
        <f t="shared" si="46"/>
        <v>0</v>
      </c>
      <c r="D364" s="347">
        <f t="shared" si="47"/>
        <v>0</v>
      </c>
      <c r="E364" s="347">
        <f t="shared" si="48"/>
        <v>0</v>
      </c>
      <c r="F364" s="347">
        <f t="shared" si="49"/>
        <v>0</v>
      </c>
      <c r="G364" s="347">
        <f t="shared" si="50"/>
        <v>0</v>
      </c>
      <c r="H364" s="347">
        <f t="shared" si="51"/>
        <v>0</v>
      </c>
      <c r="I364" s="347">
        <f t="shared" si="52"/>
        <v>0</v>
      </c>
      <c r="J364" s="347">
        <f t="shared" si="53"/>
        <v>0</v>
      </c>
      <c r="K364"/>
      <c r="L364"/>
      <c r="M364"/>
      <c r="N364"/>
      <c r="O364"/>
      <c r="P364"/>
      <c r="Q364"/>
      <c r="R364"/>
      <c r="S364"/>
      <c r="T364"/>
      <c r="U364"/>
      <c r="V364"/>
      <c r="W364"/>
      <c r="X364"/>
      <c r="Y364"/>
      <c r="Z364"/>
      <c r="AA364"/>
      <c r="AB364"/>
      <c r="AC364"/>
    </row>
    <row r="365" spans="1:29" ht="15.75">
      <c r="A365" s="28"/>
      <c r="B365" s="346">
        <f t="shared" si="45"/>
        <v>329</v>
      </c>
      <c r="C365" s="347">
        <f t="shared" si="46"/>
        <v>0</v>
      </c>
      <c r="D365" s="347">
        <f t="shared" si="47"/>
        <v>0</v>
      </c>
      <c r="E365" s="347">
        <f t="shared" si="48"/>
        <v>0</v>
      </c>
      <c r="F365" s="347">
        <f t="shared" si="49"/>
        <v>0</v>
      </c>
      <c r="G365" s="347">
        <f t="shared" si="50"/>
        <v>0</v>
      </c>
      <c r="H365" s="347">
        <f t="shared" si="51"/>
        <v>0</v>
      </c>
      <c r="I365" s="347">
        <f t="shared" si="52"/>
        <v>0</v>
      </c>
      <c r="J365" s="347">
        <f t="shared" si="53"/>
        <v>0</v>
      </c>
      <c r="K365"/>
      <c r="L365"/>
      <c r="M365"/>
      <c r="N365"/>
      <c r="O365"/>
      <c r="P365"/>
      <c r="Q365"/>
      <c r="R365"/>
      <c r="S365"/>
      <c r="T365"/>
      <c r="U365"/>
      <c r="V365"/>
      <c r="W365"/>
      <c r="X365"/>
      <c r="Y365"/>
      <c r="Z365"/>
      <c r="AA365"/>
      <c r="AB365"/>
      <c r="AC365"/>
    </row>
    <row r="366" spans="1:29" ht="15.75">
      <c r="A366" s="28"/>
      <c r="B366" s="346">
        <f t="shared" si="45"/>
        <v>330</v>
      </c>
      <c r="C366" s="347">
        <f t="shared" si="46"/>
        <v>0</v>
      </c>
      <c r="D366" s="347">
        <f t="shared" si="47"/>
        <v>0</v>
      </c>
      <c r="E366" s="347">
        <f t="shared" si="48"/>
        <v>0</v>
      </c>
      <c r="F366" s="347">
        <f t="shared" si="49"/>
        <v>0</v>
      </c>
      <c r="G366" s="347">
        <f t="shared" si="50"/>
        <v>0</v>
      </c>
      <c r="H366" s="347">
        <f t="shared" si="51"/>
        <v>0</v>
      </c>
      <c r="I366" s="347">
        <f t="shared" si="52"/>
        <v>0</v>
      </c>
      <c r="J366" s="347">
        <f t="shared" si="53"/>
        <v>0</v>
      </c>
      <c r="K366"/>
      <c r="L366"/>
      <c r="M366"/>
      <c r="N366"/>
      <c r="O366"/>
      <c r="P366"/>
      <c r="Q366"/>
      <c r="R366"/>
      <c r="S366"/>
      <c r="T366"/>
      <c r="U366"/>
      <c r="V366"/>
      <c r="W366"/>
      <c r="X366"/>
      <c r="Y366"/>
      <c r="Z366"/>
      <c r="AA366"/>
      <c r="AB366"/>
      <c r="AC366"/>
    </row>
    <row r="367" spans="1:29" ht="15.75">
      <c r="A367" s="28"/>
      <c r="B367" s="346">
        <f t="shared" si="45"/>
        <v>331</v>
      </c>
      <c r="C367" s="347">
        <f t="shared" si="46"/>
        <v>0</v>
      </c>
      <c r="D367" s="347">
        <f t="shared" si="47"/>
        <v>0</v>
      </c>
      <c r="E367" s="347">
        <f t="shared" si="48"/>
        <v>0</v>
      </c>
      <c r="F367" s="347">
        <f t="shared" si="49"/>
        <v>0</v>
      </c>
      <c r="G367" s="347">
        <f t="shared" si="50"/>
        <v>0</v>
      </c>
      <c r="H367" s="347">
        <f t="shared" si="51"/>
        <v>0</v>
      </c>
      <c r="I367" s="347">
        <f t="shared" si="52"/>
        <v>0</v>
      </c>
      <c r="J367" s="347">
        <f t="shared" si="53"/>
        <v>0</v>
      </c>
      <c r="K367"/>
      <c r="L367"/>
      <c r="M367"/>
      <c r="N367"/>
      <c r="O367"/>
      <c r="P367"/>
      <c r="Q367"/>
      <c r="R367"/>
      <c r="S367"/>
      <c r="T367"/>
      <c r="U367"/>
      <c r="V367"/>
      <c r="W367"/>
      <c r="X367"/>
      <c r="Y367"/>
      <c r="Z367"/>
      <c r="AA367"/>
      <c r="AB367"/>
      <c r="AC367"/>
    </row>
    <row r="368" spans="1:29" ht="15.75">
      <c r="A368" s="28"/>
      <c r="B368" s="346">
        <f t="shared" si="45"/>
        <v>332</v>
      </c>
      <c r="C368" s="347">
        <f t="shared" si="46"/>
        <v>0</v>
      </c>
      <c r="D368" s="347">
        <f t="shared" si="47"/>
        <v>0</v>
      </c>
      <c r="E368" s="347">
        <f t="shared" si="48"/>
        <v>0</v>
      </c>
      <c r="F368" s="347">
        <f t="shared" si="49"/>
        <v>0</v>
      </c>
      <c r="G368" s="347">
        <f t="shared" si="50"/>
        <v>0</v>
      </c>
      <c r="H368" s="347">
        <f t="shared" si="51"/>
        <v>0</v>
      </c>
      <c r="I368" s="347">
        <f t="shared" si="52"/>
        <v>0</v>
      </c>
      <c r="J368" s="347">
        <f t="shared" si="53"/>
        <v>0</v>
      </c>
      <c r="K368"/>
      <c r="L368"/>
      <c r="M368"/>
      <c r="N368"/>
      <c r="O368"/>
      <c r="P368"/>
      <c r="Q368"/>
      <c r="R368"/>
      <c r="S368"/>
      <c r="T368"/>
      <c r="U368"/>
      <c r="V368"/>
      <c r="W368"/>
      <c r="X368"/>
      <c r="Y368"/>
      <c r="Z368"/>
      <c r="AA368"/>
      <c r="AB368"/>
      <c r="AC368"/>
    </row>
    <row r="369" spans="1:29" ht="15.75">
      <c r="A369" s="28"/>
      <c r="B369" s="346">
        <f t="shared" si="45"/>
        <v>333</v>
      </c>
      <c r="C369" s="347">
        <f t="shared" si="46"/>
        <v>0</v>
      </c>
      <c r="D369" s="347">
        <f t="shared" si="47"/>
        <v>0</v>
      </c>
      <c r="E369" s="347">
        <f t="shared" si="48"/>
        <v>0</v>
      </c>
      <c r="F369" s="347">
        <f t="shared" si="49"/>
        <v>0</v>
      </c>
      <c r="G369" s="347">
        <f t="shared" si="50"/>
        <v>0</v>
      </c>
      <c r="H369" s="347">
        <f t="shared" si="51"/>
        <v>0</v>
      </c>
      <c r="I369" s="347">
        <f t="shared" si="52"/>
        <v>0</v>
      </c>
      <c r="J369" s="347">
        <f t="shared" si="53"/>
        <v>0</v>
      </c>
      <c r="K369"/>
      <c r="L369"/>
      <c r="M369"/>
      <c r="N369"/>
      <c r="O369"/>
      <c r="P369"/>
      <c r="Q369"/>
      <c r="R369"/>
      <c r="S369"/>
      <c r="T369"/>
      <c r="U369"/>
      <c r="V369"/>
      <c r="W369"/>
      <c r="X369"/>
      <c r="Y369"/>
      <c r="Z369"/>
      <c r="AA369"/>
      <c r="AB369"/>
      <c r="AC369"/>
    </row>
    <row r="370" spans="1:29" ht="15.75">
      <c r="A370" s="28"/>
      <c r="B370" s="346">
        <f t="shared" si="45"/>
        <v>334</v>
      </c>
      <c r="C370" s="347">
        <f t="shared" si="46"/>
        <v>0</v>
      </c>
      <c r="D370" s="347">
        <f t="shared" si="47"/>
        <v>0</v>
      </c>
      <c r="E370" s="347">
        <f t="shared" si="48"/>
        <v>0</v>
      </c>
      <c r="F370" s="347">
        <f t="shared" si="49"/>
        <v>0</v>
      </c>
      <c r="G370" s="347">
        <f t="shared" si="50"/>
        <v>0</v>
      </c>
      <c r="H370" s="347">
        <f t="shared" si="51"/>
        <v>0</v>
      </c>
      <c r="I370" s="347">
        <f t="shared" si="52"/>
        <v>0</v>
      </c>
      <c r="J370" s="347">
        <f t="shared" si="53"/>
        <v>0</v>
      </c>
      <c r="K370"/>
      <c r="L370"/>
      <c r="M370"/>
      <c r="N370"/>
      <c r="O370"/>
      <c r="P370"/>
      <c r="Q370"/>
      <c r="R370"/>
      <c r="S370"/>
      <c r="T370"/>
      <c r="U370"/>
      <c r="V370"/>
      <c r="W370"/>
      <c r="X370"/>
      <c r="Y370"/>
      <c r="Z370"/>
      <c r="AA370"/>
      <c r="AB370"/>
      <c r="AC370"/>
    </row>
    <row r="371" spans="1:29" ht="15.75">
      <c r="A371" s="28"/>
      <c r="B371" s="346">
        <f t="shared" si="45"/>
        <v>335</v>
      </c>
      <c r="C371" s="347">
        <f t="shared" si="46"/>
        <v>0</v>
      </c>
      <c r="D371" s="347">
        <f t="shared" si="47"/>
        <v>0</v>
      </c>
      <c r="E371" s="347">
        <f t="shared" si="48"/>
        <v>0</v>
      </c>
      <c r="F371" s="347">
        <f t="shared" si="49"/>
        <v>0</v>
      </c>
      <c r="G371" s="347">
        <f t="shared" si="50"/>
        <v>0</v>
      </c>
      <c r="H371" s="347">
        <f t="shared" si="51"/>
        <v>0</v>
      </c>
      <c r="I371" s="347">
        <f t="shared" si="52"/>
        <v>0</v>
      </c>
      <c r="J371" s="347">
        <f t="shared" si="53"/>
        <v>0</v>
      </c>
      <c r="K371"/>
      <c r="L371"/>
      <c r="M371"/>
      <c r="N371"/>
      <c r="O371"/>
      <c r="P371"/>
      <c r="Q371"/>
      <c r="R371"/>
      <c r="S371"/>
      <c r="T371"/>
      <c r="U371"/>
      <c r="V371"/>
      <c r="W371"/>
      <c r="X371"/>
      <c r="Y371"/>
      <c r="Z371"/>
      <c r="AA371"/>
      <c r="AB371"/>
      <c r="AC371"/>
    </row>
    <row r="372" spans="1:29" ht="15.75">
      <c r="A372" s="28"/>
      <c r="B372" s="346">
        <f t="shared" si="45"/>
        <v>336</v>
      </c>
      <c r="C372" s="347">
        <f t="shared" si="46"/>
        <v>0</v>
      </c>
      <c r="D372" s="347">
        <f t="shared" si="47"/>
        <v>0</v>
      </c>
      <c r="E372" s="347">
        <f t="shared" si="48"/>
        <v>0</v>
      </c>
      <c r="F372" s="347">
        <f t="shared" si="49"/>
        <v>0</v>
      </c>
      <c r="G372" s="347">
        <f t="shared" si="50"/>
        <v>0</v>
      </c>
      <c r="H372" s="347">
        <f t="shared" si="51"/>
        <v>0</v>
      </c>
      <c r="I372" s="347">
        <f t="shared" si="52"/>
        <v>0</v>
      </c>
      <c r="J372" s="347">
        <f t="shared" si="53"/>
        <v>0</v>
      </c>
      <c r="K372"/>
      <c r="L372"/>
      <c r="M372"/>
      <c r="N372"/>
      <c r="O372"/>
      <c r="P372"/>
      <c r="Q372"/>
      <c r="R372"/>
      <c r="S372"/>
      <c r="T372"/>
      <c r="U372"/>
      <c r="V372"/>
      <c r="W372"/>
      <c r="X372"/>
      <c r="Y372"/>
      <c r="Z372"/>
      <c r="AA372"/>
      <c r="AB372"/>
      <c r="AC372"/>
    </row>
    <row r="373" spans="1:29" ht="15.75">
      <c r="A373" s="28"/>
      <c r="B373" s="346">
        <f t="shared" si="45"/>
        <v>337</v>
      </c>
      <c r="C373" s="347">
        <f t="shared" si="46"/>
        <v>0</v>
      </c>
      <c r="D373" s="347">
        <f t="shared" si="47"/>
        <v>0</v>
      </c>
      <c r="E373" s="347">
        <f t="shared" si="48"/>
        <v>0</v>
      </c>
      <c r="F373" s="347">
        <f t="shared" si="49"/>
        <v>0</v>
      </c>
      <c r="G373" s="347">
        <f t="shared" si="50"/>
        <v>0</v>
      </c>
      <c r="H373" s="347">
        <f t="shared" si="51"/>
        <v>0</v>
      </c>
      <c r="I373" s="347">
        <f t="shared" si="52"/>
        <v>0</v>
      </c>
      <c r="J373" s="347">
        <f t="shared" si="53"/>
        <v>0</v>
      </c>
      <c r="K373"/>
      <c r="L373"/>
      <c r="M373"/>
      <c r="N373"/>
      <c r="O373"/>
      <c r="P373"/>
      <c r="Q373"/>
      <c r="R373"/>
      <c r="S373"/>
      <c r="T373"/>
      <c r="U373"/>
      <c r="V373"/>
      <c r="W373"/>
      <c r="X373"/>
      <c r="Y373"/>
      <c r="Z373"/>
      <c r="AA373"/>
      <c r="AB373"/>
      <c r="AC373"/>
    </row>
    <row r="374" spans="1:29" ht="15.75">
      <c r="A374" s="28"/>
      <c r="B374" s="346">
        <f t="shared" si="45"/>
        <v>338</v>
      </c>
      <c r="C374" s="347">
        <f t="shared" si="46"/>
        <v>0</v>
      </c>
      <c r="D374" s="347">
        <f t="shared" si="47"/>
        <v>0</v>
      </c>
      <c r="E374" s="347">
        <f t="shared" si="48"/>
        <v>0</v>
      </c>
      <c r="F374" s="347">
        <f t="shared" si="49"/>
        <v>0</v>
      </c>
      <c r="G374" s="347">
        <f t="shared" si="50"/>
        <v>0</v>
      </c>
      <c r="H374" s="347">
        <f t="shared" si="51"/>
        <v>0</v>
      </c>
      <c r="I374" s="347">
        <f t="shared" si="52"/>
        <v>0</v>
      </c>
      <c r="J374" s="347">
        <f t="shared" si="53"/>
        <v>0</v>
      </c>
      <c r="K374"/>
      <c r="L374"/>
      <c r="M374"/>
      <c r="N374"/>
      <c r="O374"/>
      <c r="P374"/>
      <c r="Q374"/>
      <c r="R374"/>
      <c r="S374"/>
      <c r="T374"/>
      <c r="U374"/>
      <c r="V374"/>
      <c r="W374"/>
      <c r="X374"/>
      <c r="Y374"/>
      <c r="Z374"/>
      <c r="AA374"/>
      <c r="AB374"/>
      <c r="AC374"/>
    </row>
    <row r="375" spans="1:29" ht="15.75">
      <c r="A375" s="28"/>
      <c r="B375" s="346">
        <f t="shared" si="45"/>
        <v>339</v>
      </c>
      <c r="C375" s="347">
        <f t="shared" si="46"/>
        <v>0</v>
      </c>
      <c r="D375" s="347">
        <f t="shared" si="47"/>
        <v>0</v>
      </c>
      <c r="E375" s="347">
        <f t="shared" si="48"/>
        <v>0</v>
      </c>
      <c r="F375" s="347">
        <f t="shared" si="49"/>
        <v>0</v>
      </c>
      <c r="G375" s="347">
        <f t="shared" si="50"/>
        <v>0</v>
      </c>
      <c r="H375" s="347">
        <f t="shared" si="51"/>
        <v>0</v>
      </c>
      <c r="I375" s="347">
        <f t="shared" si="52"/>
        <v>0</v>
      </c>
      <c r="J375" s="347">
        <f t="shared" si="53"/>
        <v>0</v>
      </c>
      <c r="K375"/>
      <c r="L375"/>
      <c r="M375"/>
      <c r="N375"/>
      <c r="O375"/>
      <c r="P375"/>
      <c r="Q375"/>
      <c r="R375"/>
      <c r="S375"/>
      <c r="T375"/>
      <c r="U375"/>
      <c r="V375"/>
      <c r="W375"/>
      <c r="X375"/>
      <c r="Y375"/>
      <c r="Z375"/>
      <c r="AA375"/>
      <c r="AB375"/>
      <c r="AC375"/>
    </row>
    <row r="376" spans="1:29" ht="15.75">
      <c r="A376" s="28"/>
      <c r="B376" s="346">
        <f t="shared" si="45"/>
        <v>340</v>
      </c>
      <c r="C376" s="347">
        <f t="shared" si="46"/>
        <v>0</v>
      </c>
      <c r="D376" s="347">
        <f t="shared" si="47"/>
        <v>0</v>
      </c>
      <c r="E376" s="347">
        <f t="shared" si="48"/>
        <v>0</v>
      </c>
      <c r="F376" s="347">
        <f t="shared" si="49"/>
        <v>0</v>
      </c>
      <c r="G376" s="347">
        <f t="shared" si="50"/>
        <v>0</v>
      </c>
      <c r="H376" s="347">
        <f t="shared" si="51"/>
        <v>0</v>
      </c>
      <c r="I376" s="347">
        <f t="shared" si="52"/>
        <v>0</v>
      </c>
      <c r="J376" s="347">
        <f t="shared" si="53"/>
        <v>0</v>
      </c>
      <c r="K376"/>
      <c r="L376"/>
      <c r="M376"/>
      <c r="N376"/>
      <c r="O376"/>
      <c r="P376"/>
      <c r="Q376"/>
      <c r="R376"/>
      <c r="S376"/>
      <c r="T376"/>
      <c r="U376"/>
      <c r="V376"/>
      <c r="W376"/>
      <c r="X376"/>
      <c r="Y376"/>
      <c r="Z376"/>
      <c r="AA376"/>
      <c r="AB376"/>
      <c r="AC376"/>
    </row>
    <row r="377" spans="1:29" ht="15.75">
      <c r="A377" s="28"/>
      <c r="B377" s="346">
        <f t="shared" si="45"/>
        <v>341</v>
      </c>
      <c r="C377" s="347">
        <f t="shared" si="46"/>
        <v>0</v>
      </c>
      <c r="D377" s="347">
        <f t="shared" si="47"/>
        <v>0</v>
      </c>
      <c r="E377" s="347">
        <f t="shared" si="48"/>
        <v>0</v>
      </c>
      <c r="F377" s="347">
        <f t="shared" si="49"/>
        <v>0</v>
      </c>
      <c r="G377" s="347">
        <f t="shared" si="50"/>
        <v>0</v>
      </c>
      <c r="H377" s="347">
        <f t="shared" si="51"/>
        <v>0</v>
      </c>
      <c r="I377" s="347">
        <f t="shared" si="52"/>
        <v>0</v>
      </c>
      <c r="J377" s="347">
        <f t="shared" si="53"/>
        <v>0</v>
      </c>
      <c r="K377"/>
      <c r="L377"/>
      <c r="M377"/>
      <c r="N377"/>
      <c r="O377"/>
      <c r="P377"/>
      <c r="Q377"/>
      <c r="R377"/>
      <c r="S377"/>
      <c r="T377"/>
      <c r="U377"/>
      <c r="V377"/>
      <c r="W377"/>
      <c r="X377"/>
      <c r="Y377"/>
      <c r="Z377"/>
      <c r="AA377"/>
      <c r="AB377"/>
      <c r="AC377"/>
    </row>
    <row r="378" spans="1:29" ht="15.75">
      <c r="A378" s="28"/>
      <c r="B378" s="346">
        <f t="shared" si="45"/>
        <v>342</v>
      </c>
      <c r="C378" s="347">
        <f t="shared" si="46"/>
        <v>0</v>
      </c>
      <c r="D378" s="347">
        <f t="shared" si="47"/>
        <v>0</v>
      </c>
      <c r="E378" s="347">
        <f t="shared" si="48"/>
        <v>0</v>
      </c>
      <c r="F378" s="347">
        <f t="shared" si="49"/>
        <v>0</v>
      </c>
      <c r="G378" s="347">
        <f t="shared" si="50"/>
        <v>0</v>
      </c>
      <c r="H378" s="347">
        <f t="shared" si="51"/>
        <v>0</v>
      </c>
      <c r="I378" s="347">
        <f t="shared" si="52"/>
        <v>0</v>
      </c>
      <c r="J378" s="347">
        <f t="shared" si="53"/>
        <v>0</v>
      </c>
      <c r="K378"/>
      <c r="L378"/>
      <c r="M378"/>
      <c r="N378"/>
      <c r="O378"/>
      <c r="P378"/>
      <c r="Q378"/>
      <c r="R378"/>
      <c r="S378"/>
      <c r="T378"/>
      <c r="U378"/>
      <c r="V378"/>
      <c r="W378"/>
      <c r="X378"/>
      <c r="Y378"/>
      <c r="Z378"/>
      <c r="AA378"/>
      <c r="AB378"/>
      <c r="AC378"/>
    </row>
    <row r="379" spans="1:29" ht="15.75">
      <c r="A379" s="28"/>
      <c r="B379" s="346">
        <f t="shared" si="45"/>
        <v>343</v>
      </c>
      <c r="C379" s="347">
        <f t="shared" si="46"/>
        <v>0</v>
      </c>
      <c r="D379" s="347">
        <f t="shared" si="47"/>
        <v>0</v>
      </c>
      <c r="E379" s="347">
        <f t="shared" si="48"/>
        <v>0</v>
      </c>
      <c r="F379" s="347">
        <f t="shared" si="49"/>
        <v>0</v>
      </c>
      <c r="G379" s="347">
        <f t="shared" si="50"/>
        <v>0</v>
      </c>
      <c r="H379" s="347">
        <f t="shared" si="51"/>
        <v>0</v>
      </c>
      <c r="I379" s="347">
        <f t="shared" si="52"/>
        <v>0</v>
      </c>
      <c r="J379" s="347">
        <f t="shared" si="53"/>
        <v>0</v>
      </c>
      <c r="K379"/>
      <c r="L379"/>
      <c r="M379"/>
      <c r="N379"/>
      <c r="O379"/>
      <c r="P379"/>
      <c r="Q379"/>
      <c r="R379"/>
      <c r="S379"/>
      <c r="T379"/>
      <c r="U379"/>
      <c r="V379"/>
      <c r="W379"/>
      <c r="X379"/>
      <c r="Y379"/>
      <c r="Z379"/>
      <c r="AA379"/>
      <c r="AB379"/>
      <c r="AC379"/>
    </row>
    <row r="380" spans="1:29" ht="15.75">
      <c r="A380" s="28"/>
      <c r="B380" s="346">
        <f t="shared" si="45"/>
        <v>344</v>
      </c>
      <c r="C380" s="347">
        <f t="shared" si="46"/>
        <v>0</v>
      </c>
      <c r="D380" s="347">
        <f t="shared" si="47"/>
        <v>0</v>
      </c>
      <c r="E380" s="347">
        <f t="shared" si="48"/>
        <v>0</v>
      </c>
      <c r="F380" s="347">
        <f t="shared" si="49"/>
        <v>0</v>
      </c>
      <c r="G380" s="347">
        <f t="shared" si="50"/>
        <v>0</v>
      </c>
      <c r="H380" s="347">
        <f t="shared" si="51"/>
        <v>0</v>
      </c>
      <c r="I380" s="347">
        <f t="shared" si="52"/>
        <v>0</v>
      </c>
      <c r="J380" s="347">
        <f t="shared" si="53"/>
        <v>0</v>
      </c>
      <c r="K380"/>
      <c r="L380"/>
      <c r="M380"/>
      <c r="N380"/>
      <c r="O380"/>
      <c r="P380"/>
      <c r="Q380"/>
      <c r="R380"/>
      <c r="S380"/>
      <c r="T380"/>
      <c r="U380"/>
      <c r="V380"/>
      <c r="W380"/>
      <c r="X380"/>
      <c r="Y380"/>
      <c r="Z380"/>
      <c r="AA380"/>
      <c r="AB380"/>
      <c r="AC380"/>
    </row>
    <row r="381" spans="1:29" ht="15.75">
      <c r="A381" s="28"/>
      <c r="B381" s="346">
        <f t="shared" si="45"/>
        <v>345</v>
      </c>
      <c r="C381" s="347">
        <f t="shared" si="46"/>
        <v>0</v>
      </c>
      <c r="D381" s="347">
        <f t="shared" si="47"/>
        <v>0</v>
      </c>
      <c r="E381" s="347">
        <f t="shared" si="48"/>
        <v>0</v>
      </c>
      <c r="F381" s="347">
        <f t="shared" si="49"/>
        <v>0</v>
      </c>
      <c r="G381" s="347">
        <f t="shared" si="50"/>
        <v>0</v>
      </c>
      <c r="H381" s="347">
        <f t="shared" si="51"/>
        <v>0</v>
      </c>
      <c r="I381" s="347">
        <f t="shared" si="52"/>
        <v>0</v>
      </c>
      <c r="J381" s="347">
        <f t="shared" si="53"/>
        <v>0</v>
      </c>
      <c r="K381"/>
      <c r="L381"/>
      <c r="M381"/>
      <c r="N381"/>
      <c r="O381"/>
      <c r="P381"/>
      <c r="Q381"/>
      <c r="R381"/>
      <c r="S381"/>
      <c r="T381"/>
      <c r="U381"/>
      <c r="V381"/>
      <c r="W381"/>
      <c r="X381"/>
      <c r="Y381"/>
      <c r="Z381"/>
      <c r="AA381"/>
      <c r="AB381"/>
      <c r="AC381"/>
    </row>
    <row r="382" spans="1:29" ht="15.75">
      <c r="A382" s="28"/>
      <c r="B382" s="346">
        <f t="shared" si="45"/>
        <v>346</v>
      </c>
      <c r="C382" s="347">
        <f t="shared" si="46"/>
        <v>0</v>
      </c>
      <c r="D382" s="347">
        <f t="shared" si="47"/>
        <v>0</v>
      </c>
      <c r="E382" s="347">
        <f t="shared" si="48"/>
        <v>0</v>
      </c>
      <c r="F382" s="347">
        <f t="shared" si="49"/>
        <v>0</v>
      </c>
      <c r="G382" s="347">
        <f t="shared" si="50"/>
        <v>0</v>
      </c>
      <c r="H382" s="347">
        <f t="shared" si="51"/>
        <v>0</v>
      </c>
      <c r="I382" s="347">
        <f t="shared" si="52"/>
        <v>0</v>
      </c>
      <c r="J382" s="347">
        <f t="shared" si="53"/>
        <v>0</v>
      </c>
      <c r="K382"/>
      <c r="L382"/>
      <c r="M382"/>
      <c r="N382"/>
      <c r="O382"/>
      <c r="P382"/>
      <c r="Q382"/>
      <c r="R382"/>
      <c r="S382"/>
      <c r="T382"/>
      <c r="U382"/>
      <c r="V382"/>
      <c r="W382"/>
      <c r="X382"/>
      <c r="Y382"/>
      <c r="Z382"/>
      <c r="AA382"/>
      <c r="AB382"/>
      <c r="AC382"/>
    </row>
    <row r="383" spans="1:29" ht="15.75">
      <c r="A383" s="28"/>
      <c r="B383" s="346">
        <f t="shared" si="45"/>
        <v>347</v>
      </c>
      <c r="C383" s="347">
        <f t="shared" si="46"/>
        <v>0</v>
      </c>
      <c r="D383" s="347">
        <f t="shared" si="47"/>
        <v>0</v>
      </c>
      <c r="E383" s="347">
        <f t="shared" si="48"/>
        <v>0</v>
      </c>
      <c r="F383" s="347">
        <f t="shared" si="49"/>
        <v>0</v>
      </c>
      <c r="G383" s="347">
        <f t="shared" si="50"/>
        <v>0</v>
      </c>
      <c r="H383" s="347">
        <f t="shared" si="51"/>
        <v>0</v>
      </c>
      <c r="I383" s="347">
        <f t="shared" si="52"/>
        <v>0</v>
      </c>
      <c r="J383" s="347">
        <f t="shared" si="53"/>
        <v>0</v>
      </c>
      <c r="K383"/>
      <c r="L383"/>
      <c r="M383"/>
      <c r="N383"/>
      <c r="O383"/>
      <c r="P383"/>
      <c r="Q383"/>
      <c r="R383"/>
      <c r="S383"/>
      <c r="T383"/>
      <c r="U383"/>
      <c r="V383"/>
      <c r="W383"/>
      <c r="X383"/>
      <c r="Y383"/>
      <c r="Z383"/>
      <c r="AA383"/>
      <c r="AB383"/>
      <c r="AC383"/>
    </row>
    <row r="384" spans="1:29" ht="15.75">
      <c r="A384" s="28"/>
      <c r="B384" s="346">
        <f t="shared" si="45"/>
        <v>348</v>
      </c>
      <c r="C384" s="347">
        <f t="shared" si="46"/>
        <v>0</v>
      </c>
      <c r="D384" s="347">
        <f t="shared" si="47"/>
        <v>0</v>
      </c>
      <c r="E384" s="347">
        <f t="shared" si="48"/>
        <v>0</v>
      </c>
      <c r="F384" s="347">
        <f t="shared" si="49"/>
        <v>0</v>
      </c>
      <c r="G384" s="347">
        <f t="shared" si="50"/>
        <v>0</v>
      </c>
      <c r="H384" s="347">
        <f t="shared" si="51"/>
        <v>0</v>
      </c>
      <c r="I384" s="347">
        <f t="shared" si="52"/>
        <v>0</v>
      </c>
      <c r="J384" s="347">
        <f t="shared" si="53"/>
        <v>0</v>
      </c>
      <c r="K384"/>
      <c r="L384"/>
      <c r="M384"/>
      <c r="N384"/>
      <c r="O384"/>
      <c r="P384"/>
      <c r="Q384"/>
      <c r="R384"/>
      <c r="S384"/>
      <c r="T384"/>
      <c r="U384"/>
      <c r="V384"/>
      <c r="W384"/>
      <c r="X384"/>
      <c r="Y384"/>
      <c r="Z384"/>
      <c r="AA384"/>
      <c r="AB384"/>
      <c r="AC384"/>
    </row>
    <row r="385" spans="1:29" ht="15.75">
      <c r="A385" s="28"/>
      <c r="B385" s="346">
        <f t="shared" si="45"/>
        <v>349</v>
      </c>
      <c r="C385" s="347">
        <f t="shared" si="46"/>
        <v>0</v>
      </c>
      <c r="D385" s="347">
        <f t="shared" si="47"/>
        <v>0</v>
      </c>
      <c r="E385" s="347">
        <f t="shared" si="48"/>
        <v>0</v>
      </c>
      <c r="F385" s="347">
        <f t="shared" si="49"/>
        <v>0</v>
      </c>
      <c r="G385" s="347">
        <f t="shared" si="50"/>
        <v>0</v>
      </c>
      <c r="H385" s="347">
        <f t="shared" si="51"/>
        <v>0</v>
      </c>
      <c r="I385" s="347">
        <f t="shared" si="52"/>
        <v>0</v>
      </c>
      <c r="J385" s="347">
        <f t="shared" si="53"/>
        <v>0</v>
      </c>
      <c r="K385"/>
      <c r="L385"/>
      <c r="M385"/>
      <c r="N385"/>
      <c r="O385"/>
      <c r="P385"/>
      <c r="Q385"/>
      <c r="R385"/>
      <c r="S385"/>
      <c r="T385"/>
      <c r="U385"/>
      <c r="V385"/>
      <c r="W385"/>
      <c r="X385"/>
      <c r="Y385"/>
      <c r="Z385"/>
      <c r="AA385"/>
      <c r="AB385"/>
      <c r="AC385"/>
    </row>
    <row r="386" spans="1:29" ht="15.75">
      <c r="A386" s="28"/>
      <c r="B386" s="346">
        <f t="shared" si="45"/>
        <v>350</v>
      </c>
      <c r="C386" s="347">
        <f t="shared" si="46"/>
        <v>0</v>
      </c>
      <c r="D386" s="347">
        <f t="shared" si="47"/>
        <v>0</v>
      </c>
      <c r="E386" s="347">
        <f t="shared" si="48"/>
        <v>0</v>
      </c>
      <c r="F386" s="347">
        <f t="shared" si="49"/>
        <v>0</v>
      </c>
      <c r="G386" s="347">
        <f t="shared" si="50"/>
        <v>0</v>
      </c>
      <c r="H386" s="347">
        <f t="shared" si="51"/>
        <v>0</v>
      </c>
      <c r="I386" s="347">
        <f t="shared" si="52"/>
        <v>0</v>
      </c>
      <c r="J386" s="347">
        <f t="shared" si="53"/>
        <v>0</v>
      </c>
      <c r="K386"/>
      <c r="L386"/>
      <c r="M386"/>
      <c r="N386"/>
      <c r="O386"/>
      <c r="P386"/>
      <c r="Q386"/>
      <c r="R386"/>
      <c r="S386"/>
      <c r="T386"/>
      <c r="U386"/>
      <c r="V386"/>
      <c r="W386"/>
      <c r="X386"/>
      <c r="Y386"/>
      <c r="Z386"/>
      <c r="AA386"/>
      <c r="AB386"/>
      <c r="AC386"/>
    </row>
    <row r="387" spans="1:29" ht="15.75">
      <c r="A387" s="28"/>
      <c r="B387" s="346">
        <f t="shared" si="45"/>
        <v>351</v>
      </c>
      <c r="C387" s="347">
        <f t="shared" si="46"/>
        <v>0</v>
      </c>
      <c r="D387" s="347">
        <f t="shared" si="47"/>
        <v>0</v>
      </c>
      <c r="E387" s="347">
        <f t="shared" si="48"/>
        <v>0</v>
      </c>
      <c r="F387" s="347">
        <f t="shared" si="49"/>
        <v>0</v>
      </c>
      <c r="G387" s="347">
        <f t="shared" si="50"/>
        <v>0</v>
      </c>
      <c r="H387" s="347">
        <f t="shared" si="51"/>
        <v>0</v>
      </c>
      <c r="I387" s="347">
        <f t="shared" si="52"/>
        <v>0</v>
      </c>
      <c r="J387" s="347">
        <f t="shared" si="53"/>
        <v>0</v>
      </c>
      <c r="K387"/>
      <c r="L387"/>
      <c r="M387"/>
      <c r="N387"/>
      <c r="O387"/>
      <c r="P387"/>
      <c r="Q387"/>
      <c r="R387"/>
      <c r="S387"/>
      <c r="T387"/>
      <c r="U387"/>
      <c r="V387"/>
      <c r="W387"/>
      <c r="X387"/>
      <c r="Y387"/>
      <c r="Z387"/>
      <c r="AA387"/>
      <c r="AB387"/>
      <c r="AC387"/>
    </row>
    <row r="388" spans="1:29" ht="15.75">
      <c r="A388" s="28"/>
      <c r="B388" s="346">
        <f t="shared" si="45"/>
        <v>352</v>
      </c>
      <c r="C388" s="347">
        <f t="shared" si="46"/>
        <v>0</v>
      </c>
      <c r="D388" s="347">
        <f t="shared" si="47"/>
        <v>0</v>
      </c>
      <c r="E388" s="347">
        <f t="shared" si="48"/>
        <v>0</v>
      </c>
      <c r="F388" s="347">
        <f t="shared" si="49"/>
        <v>0</v>
      </c>
      <c r="G388" s="347">
        <f t="shared" si="50"/>
        <v>0</v>
      </c>
      <c r="H388" s="347">
        <f t="shared" si="51"/>
        <v>0</v>
      </c>
      <c r="I388" s="347">
        <f t="shared" si="52"/>
        <v>0</v>
      </c>
      <c r="J388" s="347">
        <f t="shared" si="53"/>
        <v>0</v>
      </c>
      <c r="K388"/>
      <c r="L388"/>
      <c r="M388"/>
      <c r="N388"/>
      <c r="O388"/>
      <c r="P388"/>
      <c r="Q388"/>
      <c r="R388"/>
      <c r="S388"/>
      <c r="T388"/>
      <c r="U388"/>
      <c r="V388"/>
      <c r="W388"/>
      <c r="X388"/>
      <c r="Y388"/>
      <c r="Z388"/>
      <c r="AA388"/>
      <c r="AB388"/>
      <c r="AC388"/>
    </row>
    <row r="389" spans="1:29" ht="15.75">
      <c r="A389" s="28"/>
      <c r="B389" s="346">
        <f t="shared" si="45"/>
        <v>353</v>
      </c>
      <c r="C389" s="347">
        <f t="shared" si="46"/>
        <v>0</v>
      </c>
      <c r="D389" s="347">
        <f t="shared" si="47"/>
        <v>0</v>
      </c>
      <c r="E389" s="347">
        <f t="shared" si="48"/>
        <v>0</v>
      </c>
      <c r="F389" s="347">
        <f t="shared" si="49"/>
        <v>0</v>
      </c>
      <c r="G389" s="347">
        <f t="shared" si="50"/>
        <v>0</v>
      </c>
      <c r="H389" s="347">
        <f t="shared" si="51"/>
        <v>0</v>
      </c>
      <c r="I389" s="347">
        <f t="shared" si="52"/>
        <v>0</v>
      </c>
      <c r="J389" s="347">
        <f t="shared" si="53"/>
        <v>0</v>
      </c>
      <c r="K389"/>
      <c r="L389"/>
      <c r="M389"/>
      <c r="N389"/>
      <c r="O389"/>
      <c r="P389"/>
      <c r="Q389"/>
      <c r="R389"/>
      <c r="S389"/>
      <c r="T389"/>
      <c r="U389"/>
      <c r="V389"/>
      <c r="W389"/>
      <c r="X389"/>
      <c r="Y389"/>
      <c r="Z389"/>
      <c r="AA389"/>
      <c r="AB389"/>
      <c r="AC389"/>
    </row>
    <row r="390" spans="1:29" ht="15.75">
      <c r="A390" s="28"/>
      <c r="B390" s="346">
        <f t="shared" si="45"/>
        <v>354</v>
      </c>
      <c r="C390" s="347">
        <f t="shared" si="46"/>
        <v>0</v>
      </c>
      <c r="D390" s="347">
        <f t="shared" si="47"/>
        <v>0</v>
      </c>
      <c r="E390" s="347">
        <f t="shared" si="48"/>
        <v>0</v>
      </c>
      <c r="F390" s="347">
        <f t="shared" si="49"/>
        <v>0</v>
      </c>
      <c r="G390" s="347">
        <f t="shared" si="50"/>
        <v>0</v>
      </c>
      <c r="H390" s="347">
        <f t="shared" si="51"/>
        <v>0</v>
      </c>
      <c r="I390" s="347">
        <f t="shared" si="52"/>
        <v>0</v>
      </c>
      <c r="J390" s="347">
        <f t="shared" si="53"/>
        <v>0</v>
      </c>
      <c r="K390"/>
      <c r="L390"/>
      <c r="M390"/>
      <c r="N390"/>
      <c r="O390"/>
      <c r="P390"/>
      <c r="Q390"/>
      <c r="R390"/>
      <c r="S390"/>
      <c r="T390"/>
      <c r="U390"/>
      <c r="V390"/>
      <c r="W390"/>
      <c r="X390"/>
      <c r="Y390"/>
      <c r="Z390"/>
      <c r="AA390"/>
      <c r="AB390"/>
      <c r="AC390"/>
    </row>
    <row r="391" spans="1:29" ht="15.75">
      <c r="A391" s="28"/>
      <c r="B391" s="346">
        <f t="shared" si="45"/>
        <v>355</v>
      </c>
      <c r="C391" s="347">
        <f t="shared" si="46"/>
        <v>0</v>
      </c>
      <c r="D391" s="347">
        <f t="shared" si="47"/>
        <v>0</v>
      </c>
      <c r="E391" s="347">
        <f t="shared" si="48"/>
        <v>0</v>
      </c>
      <c r="F391" s="347">
        <f t="shared" si="49"/>
        <v>0</v>
      </c>
      <c r="G391" s="347">
        <f t="shared" si="50"/>
        <v>0</v>
      </c>
      <c r="H391" s="347">
        <f t="shared" si="51"/>
        <v>0</v>
      </c>
      <c r="I391" s="347">
        <f t="shared" si="52"/>
        <v>0</v>
      </c>
      <c r="J391" s="347">
        <f t="shared" si="53"/>
        <v>0</v>
      </c>
      <c r="K391"/>
      <c r="L391"/>
      <c r="M391"/>
      <c r="N391"/>
      <c r="O391"/>
      <c r="P391"/>
      <c r="Q391"/>
      <c r="R391"/>
      <c r="S391"/>
      <c r="T391"/>
      <c r="U391"/>
      <c r="V391"/>
      <c r="W391"/>
      <c r="X391"/>
      <c r="Y391"/>
      <c r="Z391"/>
      <c r="AA391"/>
      <c r="AB391"/>
      <c r="AC391"/>
    </row>
    <row r="392" spans="1:29" ht="15.75">
      <c r="A392" s="28"/>
      <c r="B392" s="346">
        <f t="shared" si="45"/>
        <v>356</v>
      </c>
      <c r="C392" s="347">
        <f t="shared" si="46"/>
        <v>0</v>
      </c>
      <c r="D392" s="347">
        <f t="shared" si="47"/>
        <v>0</v>
      </c>
      <c r="E392" s="347">
        <f t="shared" si="48"/>
        <v>0</v>
      </c>
      <c r="F392" s="347">
        <f t="shared" si="49"/>
        <v>0</v>
      </c>
      <c r="G392" s="347">
        <f t="shared" si="50"/>
        <v>0</v>
      </c>
      <c r="H392" s="347">
        <f t="shared" si="51"/>
        <v>0</v>
      </c>
      <c r="I392" s="347">
        <f t="shared" si="52"/>
        <v>0</v>
      </c>
      <c r="J392" s="347">
        <f t="shared" si="53"/>
        <v>0</v>
      </c>
      <c r="K392"/>
      <c r="L392"/>
      <c r="M392"/>
      <c r="N392"/>
      <c r="O392"/>
      <c r="P392"/>
      <c r="Q392"/>
      <c r="R392"/>
      <c r="S392"/>
      <c r="T392"/>
      <c r="U392"/>
      <c r="V392"/>
      <c r="W392"/>
      <c r="X392"/>
      <c r="Y392"/>
      <c r="Z392"/>
      <c r="AA392"/>
      <c r="AB392"/>
      <c r="AC392"/>
    </row>
    <row r="393" spans="1:29" ht="15.75">
      <c r="A393" s="28"/>
      <c r="B393" s="346">
        <f t="shared" si="45"/>
        <v>357</v>
      </c>
      <c r="C393" s="347">
        <f t="shared" si="46"/>
        <v>0</v>
      </c>
      <c r="D393" s="347">
        <f t="shared" si="47"/>
        <v>0</v>
      </c>
      <c r="E393" s="347">
        <f t="shared" si="48"/>
        <v>0</v>
      </c>
      <c r="F393" s="347">
        <f t="shared" si="49"/>
        <v>0</v>
      </c>
      <c r="G393" s="347">
        <f t="shared" si="50"/>
        <v>0</v>
      </c>
      <c r="H393" s="347">
        <f t="shared" si="51"/>
        <v>0</v>
      </c>
      <c r="I393" s="347">
        <f t="shared" si="52"/>
        <v>0</v>
      </c>
      <c r="J393" s="347">
        <f t="shared" si="53"/>
        <v>0</v>
      </c>
      <c r="K393"/>
      <c r="L393"/>
      <c r="M393"/>
      <c r="N393"/>
      <c r="O393"/>
      <c r="P393"/>
      <c r="Q393"/>
      <c r="R393"/>
      <c r="S393"/>
      <c r="T393"/>
      <c r="U393"/>
      <c r="V393"/>
      <c r="W393"/>
      <c r="X393"/>
      <c r="Y393"/>
      <c r="Z393"/>
      <c r="AA393"/>
      <c r="AB393"/>
      <c r="AC393"/>
    </row>
    <row r="394" spans="1:29" ht="15.75">
      <c r="A394" s="28"/>
      <c r="B394" s="346">
        <f t="shared" si="45"/>
        <v>358</v>
      </c>
      <c r="C394" s="347">
        <f t="shared" si="46"/>
        <v>0</v>
      </c>
      <c r="D394" s="347">
        <f t="shared" si="47"/>
        <v>0</v>
      </c>
      <c r="E394" s="347">
        <f t="shared" si="48"/>
        <v>0</v>
      </c>
      <c r="F394" s="347">
        <f t="shared" si="49"/>
        <v>0</v>
      </c>
      <c r="G394" s="347">
        <f t="shared" si="50"/>
        <v>0</v>
      </c>
      <c r="H394" s="347">
        <f t="shared" si="51"/>
        <v>0</v>
      </c>
      <c r="I394" s="347">
        <f t="shared" si="52"/>
        <v>0</v>
      </c>
      <c r="J394" s="347">
        <f t="shared" si="53"/>
        <v>0</v>
      </c>
      <c r="K394"/>
      <c r="L394"/>
      <c r="M394"/>
      <c r="N394"/>
      <c r="O394"/>
      <c r="P394"/>
      <c r="Q394"/>
      <c r="R394"/>
      <c r="S394"/>
      <c r="T394"/>
      <c r="U394"/>
      <c r="V394"/>
      <c r="W394"/>
      <c r="X394"/>
      <c r="Y394"/>
      <c r="Z394"/>
      <c r="AA394"/>
      <c r="AB394"/>
      <c r="AC394"/>
    </row>
    <row r="395" spans="1:29" ht="15.75">
      <c r="A395" s="28"/>
      <c r="B395" s="346">
        <f t="shared" si="45"/>
        <v>359</v>
      </c>
      <c r="C395" s="347">
        <f t="shared" si="46"/>
        <v>0</v>
      </c>
      <c r="D395" s="347">
        <f t="shared" si="47"/>
        <v>0</v>
      </c>
      <c r="E395" s="347">
        <f t="shared" si="48"/>
        <v>0</v>
      </c>
      <c r="F395" s="347">
        <f t="shared" si="49"/>
        <v>0</v>
      </c>
      <c r="G395" s="347">
        <f t="shared" si="50"/>
        <v>0</v>
      </c>
      <c r="H395" s="347">
        <f t="shared" si="51"/>
        <v>0</v>
      </c>
      <c r="I395" s="347">
        <f t="shared" si="52"/>
        <v>0</v>
      </c>
      <c r="J395" s="347">
        <f t="shared" si="53"/>
        <v>0</v>
      </c>
      <c r="K395"/>
      <c r="L395"/>
      <c r="M395"/>
      <c r="N395"/>
      <c r="O395"/>
      <c r="P395"/>
      <c r="Q395"/>
      <c r="R395"/>
      <c r="S395"/>
      <c r="T395"/>
      <c r="U395"/>
      <c r="V395"/>
      <c r="W395"/>
      <c r="X395"/>
      <c r="Y395"/>
      <c r="Z395"/>
      <c r="AA395"/>
      <c r="AB395"/>
      <c r="AC395"/>
    </row>
    <row r="396" spans="1:29" ht="15.75">
      <c r="A396" s="28"/>
      <c r="B396" s="346">
        <f t="shared" si="45"/>
        <v>360</v>
      </c>
      <c r="C396" s="347">
        <f t="shared" si="46"/>
        <v>0</v>
      </c>
      <c r="D396" s="347">
        <f t="shared" si="47"/>
        <v>0</v>
      </c>
      <c r="E396" s="347">
        <f t="shared" si="48"/>
        <v>0</v>
      </c>
      <c r="F396" s="347">
        <f t="shared" si="49"/>
        <v>0</v>
      </c>
      <c r="G396" s="347">
        <f t="shared" si="50"/>
        <v>0</v>
      </c>
      <c r="H396" s="347">
        <f t="shared" si="51"/>
        <v>0</v>
      </c>
      <c r="I396" s="347">
        <f t="shared" si="52"/>
        <v>0</v>
      </c>
      <c r="J396" s="347">
        <f t="shared" si="53"/>
        <v>0</v>
      </c>
      <c r="K396"/>
      <c r="L396"/>
      <c r="M396"/>
      <c r="N396"/>
      <c r="O396"/>
      <c r="P396"/>
      <c r="Q396"/>
      <c r="R396"/>
      <c r="S396"/>
      <c r="T396"/>
      <c r="U396"/>
      <c r="V396"/>
      <c r="W396"/>
      <c r="X396"/>
      <c r="Y396"/>
      <c r="Z396"/>
      <c r="AA396"/>
      <c r="AB396"/>
      <c r="AC396"/>
    </row>
    <row r="397" spans="1:29" ht="15.75">
      <c r="A397"/>
      <c r="B397"/>
      <c r="C397"/>
      <c r="D397"/>
      <c r="E397"/>
      <c r="F397"/>
      <c r="G397"/>
      <c r="H397"/>
      <c r="I397"/>
      <c r="J397"/>
      <c r="K397"/>
      <c r="L397"/>
      <c r="M397"/>
      <c r="N397"/>
      <c r="O397"/>
      <c r="P397"/>
      <c r="Q397"/>
      <c r="R397"/>
      <c r="S397"/>
      <c r="T397"/>
      <c r="U397"/>
      <c r="V397"/>
      <c r="W397"/>
      <c r="X397"/>
      <c r="Y397"/>
      <c r="Z397"/>
      <c r="AA397"/>
      <c r="AB397"/>
      <c r="AC397"/>
    </row>
    <row r="398" spans="1:29" ht="15.75">
      <c r="A398"/>
      <c r="B398"/>
      <c r="C398"/>
      <c r="D398"/>
      <c r="E398"/>
      <c r="F398"/>
      <c r="G398"/>
      <c r="H398"/>
      <c r="I398"/>
      <c r="J398"/>
      <c r="K398"/>
      <c r="L398"/>
      <c r="M398"/>
      <c r="N398"/>
      <c r="O398"/>
      <c r="P398"/>
      <c r="Q398"/>
      <c r="R398"/>
      <c r="S398"/>
      <c r="T398"/>
      <c r="U398"/>
      <c r="V398"/>
      <c r="W398"/>
      <c r="X398"/>
      <c r="Y398"/>
      <c r="Z398"/>
      <c r="AA398"/>
      <c r="AB398"/>
      <c r="AC398"/>
    </row>
    <row r="399" spans="1:29" ht="15.75">
      <c r="A399" s="28"/>
      <c r="B399" s="28"/>
      <c r="C399" s="28"/>
      <c r="D399" s="28"/>
      <c r="E399" s="28"/>
      <c r="F399" s="28"/>
      <c r="G399" s="28"/>
      <c r="H399" s="28"/>
      <c r="I399" s="28"/>
      <c r="J399" s="28"/>
      <c r="K399" s="28"/>
      <c r="L399"/>
      <c r="M399"/>
      <c r="N399"/>
      <c r="O399"/>
      <c r="P399"/>
      <c r="Q399"/>
      <c r="R399"/>
      <c r="S399"/>
      <c r="T399"/>
      <c r="U399"/>
      <c r="V399"/>
      <c r="W399"/>
      <c r="X399"/>
      <c r="Y399"/>
      <c r="Z399"/>
      <c r="AA399"/>
      <c r="AB399"/>
      <c r="AC399"/>
    </row>
    <row r="400" spans="1:29" ht="15.75">
      <c r="A400"/>
      <c r="B400"/>
      <c r="C400"/>
      <c r="D400"/>
      <c r="E400"/>
      <c r="F400"/>
      <c r="G400"/>
      <c r="H400"/>
      <c r="I400"/>
      <c r="J400"/>
      <c r="K400"/>
      <c r="L400"/>
      <c r="M400"/>
      <c r="N400"/>
      <c r="O400"/>
      <c r="P400"/>
      <c r="Q400"/>
      <c r="R400"/>
      <c r="S400"/>
      <c r="T400"/>
      <c r="U400"/>
      <c r="V400"/>
      <c r="W400"/>
      <c r="X400"/>
      <c r="Y400"/>
      <c r="Z400"/>
      <c r="AA400"/>
      <c r="AB400"/>
      <c r="AC400"/>
    </row>
    <row r="401" spans="1:29" ht="15.75">
      <c r="A401"/>
      <c r="B401"/>
      <c r="C401"/>
      <c r="D401"/>
      <c r="E401"/>
      <c r="F401"/>
      <c r="G401"/>
      <c r="H401"/>
      <c r="I401"/>
      <c r="J401"/>
      <c r="K401"/>
      <c r="L401"/>
      <c r="M401"/>
      <c r="N401"/>
      <c r="O401"/>
      <c r="P401"/>
      <c r="Q401"/>
      <c r="R401"/>
      <c r="S401"/>
      <c r="T401"/>
      <c r="U401"/>
      <c r="V401"/>
      <c r="W401"/>
      <c r="X401"/>
      <c r="Y401"/>
      <c r="Z401"/>
      <c r="AA401"/>
      <c r="AB401"/>
      <c r="AC401"/>
    </row>
    <row r="402" spans="1:29" ht="15.75">
      <c r="A402"/>
      <c r="B402"/>
      <c r="C402"/>
      <c r="D402"/>
      <c r="E402"/>
      <c r="F402"/>
      <c r="G402"/>
      <c r="H402"/>
      <c r="I402"/>
      <c r="J402"/>
      <c r="K402"/>
      <c r="L402"/>
      <c r="M402"/>
      <c r="N402"/>
      <c r="O402"/>
      <c r="P402"/>
      <c r="Q402"/>
      <c r="R402"/>
      <c r="S402"/>
      <c r="T402"/>
      <c r="U402"/>
      <c r="V402"/>
      <c r="W402"/>
      <c r="X402"/>
      <c r="Y402"/>
      <c r="Z402"/>
      <c r="AA402"/>
      <c r="AB402"/>
      <c r="AC402"/>
    </row>
    <row r="403" spans="1:29" ht="15.75">
      <c r="A403"/>
      <c r="B403"/>
      <c r="C403"/>
      <c r="D403"/>
      <c r="E403"/>
      <c r="F403"/>
      <c r="G403"/>
      <c r="H403"/>
      <c r="I403"/>
      <c r="J403"/>
      <c r="K403"/>
      <c r="L403"/>
      <c r="M403"/>
      <c r="N403"/>
      <c r="O403"/>
      <c r="P403"/>
      <c r="Q403"/>
      <c r="R403"/>
      <c r="S403"/>
      <c r="T403"/>
      <c r="U403"/>
      <c r="V403"/>
      <c r="W403"/>
      <c r="X403"/>
      <c r="Y403"/>
      <c r="Z403"/>
      <c r="AA403"/>
      <c r="AB403"/>
      <c r="AC403"/>
    </row>
    <row r="404" spans="1:29" ht="15.75">
      <c r="A404"/>
      <c r="B404"/>
      <c r="C404"/>
      <c r="D404"/>
      <c r="E404"/>
      <c r="F404"/>
      <c r="G404"/>
      <c r="H404"/>
      <c r="I404"/>
      <c r="J404"/>
      <c r="K404"/>
      <c r="L404"/>
      <c r="M404"/>
      <c r="N404"/>
      <c r="O404"/>
      <c r="P404"/>
      <c r="Q404"/>
      <c r="R404"/>
      <c r="S404"/>
      <c r="T404"/>
      <c r="U404"/>
      <c r="V404"/>
      <c r="W404"/>
      <c r="X404"/>
      <c r="Y404"/>
      <c r="Z404"/>
      <c r="AA404"/>
      <c r="AB404"/>
      <c r="AC404"/>
    </row>
    <row r="405" spans="1:29" ht="15.75">
      <c r="A405"/>
      <c r="B405"/>
      <c r="C405"/>
      <c r="D405"/>
      <c r="E405"/>
      <c r="F405"/>
      <c r="G405"/>
      <c r="H405"/>
      <c r="I405"/>
      <c r="J405"/>
      <c r="K405"/>
      <c r="L405"/>
      <c r="M405"/>
      <c r="N405"/>
      <c r="O405"/>
      <c r="P405"/>
      <c r="Q405"/>
      <c r="R405"/>
      <c r="S405"/>
      <c r="T405"/>
      <c r="U405"/>
      <c r="V405"/>
      <c r="W405"/>
      <c r="X405"/>
      <c r="Y405"/>
      <c r="Z405"/>
      <c r="AA405"/>
      <c r="AB405"/>
      <c r="AC405"/>
    </row>
    <row r="406" spans="1:29" ht="15.75">
      <c r="A406"/>
      <c r="B406"/>
      <c r="C406"/>
      <c r="D406"/>
      <c r="E406"/>
      <c r="F406"/>
      <c r="G406"/>
      <c r="H406"/>
      <c r="I406"/>
      <c r="J406"/>
      <c r="K406"/>
      <c r="L406"/>
      <c r="M406"/>
      <c r="N406"/>
      <c r="O406"/>
      <c r="P406"/>
      <c r="Q406"/>
      <c r="R406"/>
      <c r="S406"/>
      <c r="T406"/>
      <c r="U406"/>
      <c r="V406"/>
      <c r="W406"/>
      <c r="X406"/>
      <c r="Y406"/>
      <c r="Z406"/>
      <c r="AA406"/>
      <c r="AB406"/>
      <c r="AC406"/>
    </row>
    <row r="407" spans="1:29" ht="15.75">
      <c r="A407"/>
      <c r="B407"/>
      <c r="C407"/>
      <c r="D407"/>
      <c r="E407"/>
      <c r="F407"/>
      <c r="G407"/>
      <c r="H407"/>
      <c r="I407"/>
      <c r="J407"/>
      <c r="K407"/>
      <c r="L407"/>
      <c r="M407"/>
      <c r="N407"/>
      <c r="O407"/>
      <c r="P407"/>
      <c r="Q407"/>
      <c r="R407"/>
      <c r="S407"/>
      <c r="T407"/>
      <c r="U407"/>
      <c r="V407"/>
      <c r="W407"/>
      <c r="X407"/>
      <c r="Y407"/>
      <c r="Z407"/>
      <c r="AA407"/>
      <c r="AB407"/>
      <c r="AC407"/>
    </row>
    <row r="408" spans="1:29" ht="15.75">
      <c r="A408"/>
      <c r="B408"/>
      <c r="C408"/>
      <c r="D408"/>
      <c r="E408"/>
      <c r="F408"/>
      <c r="G408"/>
      <c r="H408"/>
      <c r="I408"/>
      <c r="J408"/>
      <c r="K408"/>
      <c r="L408"/>
      <c r="M408"/>
      <c r="N408"/>
      <c r="O408"/>
      <c r="P408"/>
      <c r="Q408"/>
      <c r="R408"/>
      <c r="S408"/>
      <c r="T408"/>
      <c r="U408"/>
      <c r="V408"/>
      <c r="W408"/>
      <c r="X408"/>
      <c r="Y408"/>
      <c r="Z408"/>
      <c r="AA408"/>
      <c r="AB408"/>
      <c r="AC408"/>
    </row>
  </sheetData>
  <sheetProtection sheet="1" objects="1" scenarios="1" formatCells="0" formatColumns="0" formatRows="0"/>
  <mergeCells count="1">
    <mergeCell ref="D23:F23"/>
  </mergeCells>
  <printOptions/>
  <pageMargins left="0.75" right="0.75" top="1" bottom="1" header="0.5" footer="0.5"/>
  <pageSetup horizontalDpi="300" verticalDpi="300" orientation="portrait" r:id="rId3"/>
  <legacyDrawing r:id="rId2"/>
</worksheet>
</file>

<file path=xl/worksheets/sheet7.xml><?xml version="1.0" encoding="utf-8"?>
<worksheet xmlns="http://schemas.openxmlformats.org/spreadsheetml/2006/main" xmlns:r="http://schemas.openxmlformats.org/officeDocument/2006/relationships">
  <sheetPr codeName="Sheet6"/>
  <dimension ref="A1:O485"/>
  <sheetViews>
    <sheetView showGridLines="0" zoomScalePageLayoutView="0" workbookViewId="0" topLeftCell="A1">
      <selection activeCell="I12" sqref="I12"/>
    </sheetView>
  </sheetViews>
  <sheetFormatPr defaultColWidth="9.140625" defaultRowHeight="12.75"/>
  <cols>
    <col min="1" max="1" width="6.28125" style="0" customWidth="1"/>
    <col min="2" max="2" width="26.28125" style="0" customWidth="1"/>
    <col min="3" max="3" width="17.8515625" style="0" customWidth="1"/>
    <col min="4" max="4" width="11.28125" style="0" customWidth="1"/>
    <col min="5" max="7" width="11.00390625" style="0" customWidth="1"/>
    <col min="8" max="8" width="5.7109375" style="0" customWidth="1"/>
    <col min="9" max="12" width="12.00390625" style="0" customWidth="1"/>
    <col min="13" max="13" width="13.8515625" style="0" customWidth="1"/>
  </cols>
  <sheetData>
    <row r="1" spans="1:15" ht="15.75">
      <c r="A1" s="426"/>
      <c r="B1" s="28"/>
      <c r="C1" s="28"/>
      <c r="D1" s="28"/>
      <c r="E1" s="28"/>
      <c r="F1" s="28"/>
      <c r="G1" s="28"/>
      <c r="H1" s="28"/>
      <c r="I1" s="28"/>
      <c r="J1" s="28"/>
      <c r="K1" s="28"/>
      <c r="L1" s="28"/>
      <c r="M1" s="28"/>
      <c r="N1" s="28"/>
      <c r="O1" s="28"/>
    </row>
    <row r="2" spans="1:15" ht="15.75">
      <c r="A2" s="426"/>
      <c r="B2" s="473" t="s">
        <v>548</v>
      </c>
      <c r="C2" s="28"/>
      <c r="D2" s="28"/>
      <c r="E2" s="28"/>
      <c r="F2" s="28"/>
      <c r="G2" s="28"/>
      <c r="H2" s="28"/>
      <c r="I2" s="28"/>
      <c r="J2" s="28"/>
      <c r="K2" s="28"/>
      <c r="L2" s="28"/>
      <c r="M2" s="28"/>
      <c r="N2" s="28"/>
      <c r="O2" s="28"/>
    </row>
    <row r="3" spans="1:15" ht="15.75">
      <c r="A3" s="426"/>
      <c r="B3" s="473" t="s">
        <v>549</v>
      </c>
      <c r="C3" s="28"/>
      <c r="D3" s="28"/>
      <c r="E3" s="28"/>
      <c r="F3" s="28"/>
      <c r="G3" s="28"/>
      <c r="H3" s="28"/>
      <c r="I3" s="28"/>
      <c r="J3" s="28"/>
      <c r="K3" s="28"/>
      <c r="L3" s="28"/>
      <c r="M3" s="28"/>
      <c r="N3" s="28"/>
      <c r="O3" s="28"/>
    </row>
    <row r="4" spans="1:15" ht="15.75">
      <c r="A4" s="426"/>
      <c r="B4" s="473" t="s">
        <v>550</v>
      </c>
      <c r="C4" s="28"/>
      <c r="D4" s="28"/>
      <c r="E4" s="28"/>
      <c r="F4" s="28"/>
      <c r="G4" s="28"/>
      <c r="H4" s="28"/>
      <c r="I4" s="28"/>
      <c r="J4" s="28"/>
      <c r="K4" s="28"/>
      <c r="L4" s="28"/>
      <c r="M4" s="28"/>
      <c r="N4" s="28"/>
      <c r="O4" s="28"/>
    </row>
    <row r="5" spans="1:15" ht="15.75">
      <c r="A5" s="426"/>
      <c r="B5" s="473" t="s">
        <v>134</v>
      </c>
      <c r="C5" s="28"/>
      <c r="D5" s="28"/>
      <c r="E5" s="28"/>
      <c r="F5" s="28"/>
      <c r="G5" s="28"/>
      <c r="H5" s="28"/>
      <c r="I5" s="28"/>
      <c r="J5" s="28"/>
      <c r="K5" s="28"/>
      <c r="L5" s="28"/>
      <c r="M5" s="28"/>
      <c r="N5" s="28"/>
      <c r="O5" s="28"/>
    </row>
    <row r="6" spans="1:15" ht="15.75">
      <c r="A6" s="426"/>
      <c r="B6" s="473" t="s">
        <v>133</v>
      </c>
      <c r="C6" s="28"/>
      <c r="D6" s="28"/>
      <c r="E6" s="28"/>
      <c r="F6" s="28"/>
      <c r="G6" s="28"/>
      <c r="H6" s="28"/>
      <c r="I6" s="28"/>
      <c r="J6" s="28"/>
      <c r="K6" s="28"/>
      <c r="L6" s="28"/>
      <c r="M6" s="28"/>
      <c r="N6" s="28"/>
      <c r="O6" s="28"/>
    </row>
    <row r="7" spans="1:15" ht="15.75">
      <c r="A7" s="426"/>
      <c r="B7" s="473"/>
      <c r="C7" s="28"/>
      <c r="D7" s="28"/>
      <c r="E7" s="28"/>
      <c r="F7" s="28"/>
      <c r="G7" s="28"/>
      <c r="H7" s="28"/>
      <c r="I7" s="28"/>
      <c r="J7" s="28"/>
      <c r="K7" s="28"/>
      <c r="L7" s="28"/>
      <c r="M7" s="28"/>
      <c r="N7" s="28"/>
      <c r="O7" s="28"/>
    </row>
    <row r="8" spans="1:15" ht="15.75">
      <c r="A8" s="426"/>
      <c r="B8" s="473" t="s">
        <v>551</v>
      </c>
      <c r="C8" s="28"/>
      <c r="D8" s="28"/>
      <c r="E8" s="28"/>
      <c r="F8" s="28"/>
      <c r="G8" s="28"/>
      <c r="H8" s="28"/>
      <c r="I8" s="28"/>
      <c r="J8" s="28"/>
      <c r="K8" s="28"/>
      <c r="L8" s="28"/>
      <c r="M8" s="28"/>
      <c r="N8" s="28"/>
      <c r="O8" s="28"/>
    </row>
    <row r="9" spans="1:15" ht="15.75">
      <c r="A9" s="426"/>
      <c r="B9" s="28"/>
      <c r="C9" s="28"/>
      <c r="D9" s="28"/>
      <c r="E9" s="28"/>
      <c r="F9" s="28"/>
      <c r="G9" s="28"/>
      <c r="H9" s="28"/>
      <c r="I9" s="28"/>
      <c r="J9" s="28"/>
      <c r="K9" s="28"/>
      <c r="L9" s="28"/>
      <c r="M9" s="28"/>
      <c r="N9" s="28"/>
      <c r="O9" s="28"/>
    </row>
    <row r="10" spans="1:15" ht="18">
      <c r="A10" s="426"/>
      <c r="B10" s="653" t="s">
        <v>552</v>
      </c>
      <c r="C10" s="654"/>
      <c r="D10" s="654"/>
      <c r="E10" s="654"/>
      <c r="F10" s="654"/>
      <c r="G10" s="654"/>
      <c r="H10" s="654"/>
      <c r="I10" s="654"/>
      <c r="J10" s="654"/>
      <c r="K10" s="654"/>
      <c r="L10" s="654"/>
      <c r="M10" s="426"/>
      <c r="N10" s="28"/>
      <c r="O10" s="28"/>
    </row>
    <row r="11" spans="1:15" ht="15.75">
      <c r="A11" s="426"/>
      <c r="B11" s="28" t="s">
        <v>136</v>
      </c>
      <c r="C11" s="28"/>
      <c r="D11" s="28"/>
      <c r="E11" s="28"/>
      <c r="F11" s="28"/>
      <c r="G11" s="28"/>
      <c r="H11" s="28"/>
      <c r="I11" s="426"/>
      <c r="J11" s="426"/>
      <c r="K11" s="426"/>
      <c r="L11" s="426"/>
      <c r="M11" s="426"/>
      <c r="N11" s="28"/>
      <c r="O11" s="28"/>
    </row>
    <row r="12" spans="1:15" ht="15.75">
      <c r="A12" s="426"/>
      <c r="B12" s="28"/>
      <c r="C12" s="28" t="s">
        <v>553</v>
      </c>
      <c r="D12" s="28"/>
      <c r="E12" s="28"/>
      <c r="F12" s="28"/>
      <c r="G12" s="28"/>
      <c r="H12" s="28"/>
      <c r="I12" s="426"/>
      <c r="J12" s="426"/>
      <c r="K12" s="426"/>
      <c r="L12" s="426"/>
      <c r="M12" s="426"/>
      <c r="N12" s="28"/>
      <c r="O12" s="28"/>
    </row>
    <row r="13" spans="1:15" ht="15.75">
      <c r="A13" s="426"/>
      <c r="B13" s="28" t="s">
        <v>137</v>
      </c>
      <c r="C13" s="474" t="s">
        <v>49</v>
      </c>
      <c r="D13" s="34" t="s">
        <v>117</v>
      </c>
      <c r="E13" s="28" t="s">
        <v>118</v>
      </c>
      <c r="F13" s="28"/>
      <c r="G13" s="28"/>
      <c r="H13" s="28"/>
      <c r="I13" s="426"/>
      <c r="J13" s="28"/>
      <c r="K13" s="426"/>
      <c r="L13" s="426"/>
      <c r="M13" s="426"/>
      <c r="N13" s="28"/>
      <c r="O13" s="28"/>
    </row>
    <row r="14" spans="1:15" ht="15.75">
      <c r="A14" s="426"/>
      <c r="B14" s="15" t="s">
        <v>116</v>
      </c>
      <c r="C14" s="475">
        <v>1300</v>
      </c>
      <c r="D14" s="16">
        <v>1.2</v>
      </c>
      <c r="E14" s="475">
        <v>33</v>
      </c>
      <c r="F14" s="28"/>
      <c r="G14" s="28"/>
      <c r="H14" s="476"/>
      <c r="I14" s="477"/>
      <c r="J14" s="28"/>
      <c r="K14" s="426"/>
      <c r="L14" s="426"/>
      <c r="M14" s="426"/>
      <c r="N14" s="28"/>
      <c r="O14" s="28"/>
    </row>
    <row r="15" spans="1:15" ht="15.75">
      <c r="A15" s="426"/>
      <c r="B15" s="17" t="s">
        <v>102</v>
      </c>
      <c r="C15" s="478">
        <v>2000</v>
      </c>
      <c r="D15" s="18">
        <v>1.5</v>
      </c>
      <c r="E15" s="478">
        <v>49</v>
      </c>
      <c r="F15" s="28"/>
      <c r="G15" s="28"/>
      <c r="H15" s="476"/>
      <c r="I15" s="479"/>
      <c r="J15" s="28"/>
      <c r="K15" s="426"/>
      <c r="L15" s="426"/>
      <c r="M15" s="426"/>
      <c r="N15" s="28"/>
      <c r="O15" s="28"/>
    </row>
    <row r="16" spans="1:15" ht="15.75">
      <c r="A16" s="426"/>
      <c r="B16" s="17" t="s">
        <v>126</v>
      </c>
      <c r="C16" s="478">
        <v>900</v>
      </c>
      <c r="D16" s="18">
        <v>0.8</v>
      </c>
      <c r="E16" s="478">
        <v>18</v>
      </c>
      <c r="F16" s="28"/>
      <c r="G16" s="28"/>
      <c r="H16" s="476"/>
      <c r="I16" s="477"/>
      <c r="J16" s="28"/>
      <c r="K16" s="426"/>
      <c r="L16" s="426"/>
      <c r="M16" s="426"/>
      <c r="N16" s="28"/>
      <c r="O16" s="28"/>
    </row>
    <row r="17" spans="1:15" ht="15.75">
      <c r="A17" s="426"/>
      <c r="B17" s="17" t="s">
        <v>103</v>
      </c>
      <c r="C17" s="478">
        <v>1300</v>
      </c>
      <c r="D17" s="18">
        <v>1.25</v>
      </c>
      <c r="E17" s="478">
        <v>30</v>
      </c>
      <c r="F17" s="28"/>
      <c r="G17" s="28"/>
      <c r="H17" s="28"/>
      <c r="I17" s="426"/>
      <c r="J17" s="28"/>
      <c r="K17" s="426"/>
      <c r="L17" s="426"/>
      <c r="M17" s="426"/>
      <c r="N17" s="28"/>
      <c r="O17" s="28"/>
    </row>
    <row r="18" spans="1:15" ht="15.75">
      <c r="A18" s="426"/>
      <c r="B18" s="480" t="s">
        <v>554</v>
      </c>
      <c r="C18" s="478">
        <v>100</v>
      </c>
      <c r="D18" s="18">
        <v>0.2</v>
      </c>
      <c r="E18" s="478">
        <v>2.5</v>
      </c>
      <c r="F18" s="28"/>
      <c r="G18" s="28"/>
      <c r="H18" s="28"/>
      <c r="I18" s="426"/>
      <c r="J18" s="28"/>
      <c r="K18" s="426"/>
      <c r="L18" s="426"/>
      <c r="M18" s="426"/>
      <c r="N18" s="28"/>
      <c r="O18" s="28"/>
    </row>
    <row r="19" spans="1:15" ht="15.75">
      <c r="A19" s="426"/>
      <c r="B19" s="480" t="s">
        <v>555</v>
      </c>
      <c r="C19" s="478">
        <v>0</v>
      </c>
      <c r="D19" s="18">
        <v>0</v>
      </c>
      <c r="E19" s="478">
        <v>0</v>
      </c>
      <c r="F19" s="28"/>
      <c r="G19" s="28"/>
      <c r="H19" s="28"/>
      <c r="I19" s="426"/>
      <c r="J19" s="28"/>
      <c r="K19" s="426"/>
      <c r="L19" s="426"/>
      <c r="M19" s="426"/>
      <c r="N19" s="28"/>
      <c r="O19" s="28"/>
    </row>
    <row r="20" spans="1:15" ht="15.75">
      <c r="A20" s="426"/>
      <c r="B20" s="480" t="s">
        <v>556</v>
      </c>
      <c r="C20" s="478">
        <v>0</v>
      </c>
      <c r="D20" s="18">
        <v>0</v>
      </c>
      <c r="E20" s="478">
        <v>0</v>
      </c>
      <c r="F20" s="28"/>
      <c r="G20" s="28"/>
      <c r="H20" s="28"/>
      <c r="I20" s="426"/>
      <c r="J20" s="28"/>
      <c r="K20" s="426"/>
      <c r="L20" s="426"/>
      <c r="M20" s="426"/>
      <c r="N20" s="28"/>
      <c r="O20" s="28"/>
    </row>
    <row r="21" spans="1:15" ht="15.75">
      <c r="A21" s="426"/>
      <c r="B21" s="480" t="s">
        <v>557</v>
      </c>
      <c r="C21" s="478">
        <v>0</v>
      </c>
      <c r="D21" s="18">
        <v>0</v>
      </c>
      <c r="E21" s="478">
        <v>0</v>
      </c>
      <c r="F21" s="28"/>
      <c r="G21" s="28"/>
      <c r="H21" s="28"/>
      <c r="I21" s="426"/>
      <c r="J21" s="28"/>
      <c r="K21" s="426"/>
      <c r="L21" s="426"/>
      <c r="M21" s="426"/>
      <c r="N21" s="28"/>
      <c r="O21" s="28"/>
    </row>
    <row r="22" spans="1:15" ht="15.75">
      <c r="A22" s="481" t="s">
        <v>558</v>
      </c>
      <c r="B22" s="482" t="s">
        <v>121</v>
      </c>
      <c r="C22" s="478">
        <v>450</v>
      </c>
      <c r="D22" s="18">
        <v>0.6</v>
      </c>
      <c r="E22" s="478">
        <v>10</v>
      </c>
      <c r="F22" s="28"/>
      <c r="G22" s="28"/>
      <c r="H22" s="28"/>
      <c r="I22" s="426"/>
      <c r="J22" s="28"/>
      <c r="K22" s="426"/>
      <c r="L22" s="426"/>
      <c r="M22" s="426"/>
      <c r="N22" s="28"/>
      <c r="O22" s="28"/>
    </row>
    <row r="23" spans="1:15" ht="15.75">
      <c r="A23" s="426"/>
      <c r="B23" s="482" t="s">
        <v>559</v>
      </c>
      <c r="C23" s="483">
        <v>130</v>
      </c>
      <c r="D23" s="484">
        <v>0.2</v>
      </c>
      <c r="E23" s="483">
        <v>3</v>
      </c>
      <c r="F23" s="28"/>
      <c r="G23" s="28"/>
      <c r="H23" s="28"/>
      <c r="I23" s="426"/>
      <c r="J23" s="28"/>
      <c r="K23" s="426"/>
      <c r="L23" s="426"/>
      <c r="M23" s="426"/>
      <c r="N23" s="28"/>
      <c r="O23" s="28"/>
    </row>
    <row r="24" spans="1:15" ht="15.75">
      <c r="A24" s="426"/>
      <c r="B24" s="485" t="s">
        <v>560</v>
      </c>
      <c r="C24" s="486">
        <v>900</v>
      </c>
      <c r="D24" s="19">
        <v>0.6</v>
      </c>
      <c r="E24" s="486">
        <v>22</v>
      </c>
      <c r="F24" s="28"/>
      <c r="G24" s="28"/>
      <c r="H24" s="28"/>
      <c r="I24" s="426"/>
      <c r="J24" s="28"/>
      <c r="K24" s="426"/>
      <c r="L24" s="426"/>
      <c r="M24" s="426"/>
      <c r="N24" s="28"/>
      <c r="O24" s="28"/>
    </row>
    <row r="25" spans="1:15" ht="15.75">
      <c r="A25" s="426"/>
      <c r="B25" s="50"/>
      <c r="C25" s="487"/>
      <c r="D25" s="28"/>
      <c r="E25" s="487"/>
      <c r="F25" s="28"/>
      <c r="G25" s="28"/>
      <c r="H25" s="28"/>
      <c r="I25" s="426"/>
      <c r="J25" s="28"/>
      <c r="K25" s="426"/>
      <c r="L25" s="426"/>
      <c r="M25" s="426"/>
      <c r="N25" s="28"/>
      <c r="O25" s="28"/>
    </row>
    <row r="26" spans="1:15" ht="15.75">
      <c r="A26" s="426"/>
      <c r="B26" s="50"/>
      <c r="C26" s="487"/>
      <c r="D26" s="28"/>
      <c r="E26" s="487"/>
      <c r="F26" s="28"/>
      <c r="G26" s="28"/>
      <c r="H26" s="28"/>
      <c r="I26" s="426"/>
      <c r="J26" s="28"/>
      <c r="K26" s="426"/>
      <c r="L26" s="426"/>
      <c r="M26" s="426"/>
      <c r="N26" s="28"/>
      <c r="O26" s="28"/>
    </row>
    <row r="27" spans="1:15" ht="15.75">
      <c r="A27" s="481" t="s">
        <v>558</v>
      </c>
      <c r="B27" s="50"/>
      <c r="C27" s="488">
        <v>1000</v>
      </c>
      <c r="D27" s="474" t="s">
        <v>561</v>
      </c>
      <c r="E27" s="426"/>
      <c r="F27" s="28"/>
      <c r="G27" s="426"/>
      <c r="H27" s="28"/>
      <c r="I27" s="426"/>
      <c r="J27" s="28"/>
      <c r="K27" s="426"/>
      <c r="L27" s="426"/>
      <c r="M27" s="426"/>
      <c r="N27" s="28"/>
      <c r="O27" s="28"/>
    </row>
    <row r="28" spans="1:15" ht="15.75">
      <c r="A28" s="426"/>
      <c r="B28" s="50"/>
      <c r="C28" s="23">
        <v>50</v>
      </c>
      <c r="D28" s="474" t="s">
        <v>562</v>
      </c>
      <c r="E28" s="426"/>
      <c r="F28" s="28"/>
      <c r="G28" s="426"/>
      <c r="H28" s="28"/>
      <c r="I28" s="426"/>
      <c r="J28" s="28"/>
      <c r="K28" s="426"/>
      <c r="L28" s="426"/>
      <c r="M28" s="426"/>
      <c r="N28" s="28"/>
      <c r="O28" s="28"/>
    </row>
    <row r="29" spans="1:15" ht="15.75">
      <c r="A29" s="426"/>
      <c r="B29" s="50"/>
      <c r="C29" s="487"/>
      <c r="D29" s="28"/>
      <c r="E29" s="487"/>
      <c r="F29" s="28"/>
      <c r="G29" s="28"/>
      <c r="H29" s="28"/>
      <c r="I29" s="426"/>
      <c r="J29" s="28"/>
      <c r="K29" s="426"/>
      <c r="L29" s="489"/>
      <c r="M29" s="490"/>
      <c r="N29" s="28"/>
      <c r="O29" s="28"/>
    </row>
    <row r="30" spans="1:15" ht="15.75">
      <c r="A30" s="426"/>
      <c r="B30" s="50"/>
      <c r="C30" s="491" t="s">
        <v>563</v>
      </c>
      <c r="D30" s="492" t="s">
        <v>564</v>
      </c>
      <c r="E30" s="487"/>
      <c r="F30" s="493" t="s">
        <v>565</v>
      </c>
      <c r="G30" s="492" t="s">
        <v>564</v>
      </c>
      <c r="H30" s="28"/>
      <c r="I30" s="426"/>
      <c r="J30" s="28"/>
      <c r="K30" s="426"/>
      <c r="L30" s="489"/>
      <c r="M30" s="490"/>
      <c r="N30" s="28"/>
      <c r="O30" s="28"/>
    </row>
    <row r="31" spans="1:15" ht="15.75">
      <c r="A31" s="426"/>
      <c r="B31" s="50"/>
      <c r="C31" s="494" t="s">
        <v>566</v>
      </c>
      <c r="D31" s="495" t="s">
        <v>567</v>
      </c>
      <c r="E31" s="487"/>
      <c r="F31" s="496" t="s">
        <v>568</v>
      </c>
      <c r="G31" s="495" t="s">
        <v>567</v>
      </c>
      <c r="H31" s="28"/>
      <c r="I31" s="426"/>
      <c r="J31" s="28"/>
      <c r="K31" s="426"/>
      <c r="L31" s="489"/>
      <c r="M31" s="490"/>
      <c r="N31" s="28"/>
      <c r="O31" s="28"/>
    </row>
    <row r="32" spans="1:15" ht="15.75">
      <c r="A32" s="481" t="s">
        <v>558</v>
      </c>
      <c r="B32" s="50"/>
      <c r="C32" s="497" t="s">
        <v>569</v>
      </c>
      <c r="D32" s="498" t="s">
        <v>49</v>
      </c>
      <c r="E32" s="487"/>
      <c r="F32" s="497" t="s">
        <v>569</v>
      </c>
      <c r="G32" s="498" t="s">
        <v>49</v>
      </c>
      <c r="H32" s="28"/>
      <c r="I32" s="426"/>
      <c r="J32" s="28"/>
      <c r="K32" s="426"/>
      <c r="L32" s="489"/>
      <c r="M32" s="490"/>
      <c r="N32" s="28"/>
      <c r="O32" s="28"/>
    </row>
    <row r="33" spans="1:15" ht="15.75">
      <c r="A33" s="426"/>
      <c r="B33" s="50"/>
      <c r="C33" s="499">
        <f>C27</f>
        <v>1000</v>
      </c>
      <c r="D33" s="490">
        <f>C33^0.75/1000^0.75</f>
        <v>1</v>
      </c>
      <c r="E33" s="487"/>
      <c r="F33" s="20">
        <v>400</v>
      </c>
      <c r="G33" s="490">
        <f>F33^0.75/1000^0.75</f>
        <v>0.5029733718731743</v>
      </c>
      <c r="H33" s="28"/>
      <c r="I33" s="426"/>
      <c r="J33" s="28"/>
      <c r="K33" s="426"/>
      <c r="L33" s="489"/>
      <c r="M33" s="490"/>
      <c r="N33" s="28"/>
      <c r="O33" s="28"/>
    </row>
    <row r="34" spans="1:15" ht="15.75">
      <c r="A34" s="426"/>
      <c r="B34" s="50"/>
      <c r="C34" s="489">
        <f aca="true" t="shared" si="0" ref="C34:C43">C33+$C$28</f>
        <v>1050</v>
      </c>
      <c r="D34" s="490">
        <f aca="true" t="shared" si="1" ref="D34:D43">C34^0.75/1000^0.75</f>
        <v>1.0372703747942278</v>
      </c>
      <c r="E34" s="487"/>
      <c r="F34" s="22">
        <v>450</v>
      </c>
      <c r="G34" s="490">
        <f aca="true" t="shared" si="2" ref="G34:G43">F34^0.75/1000^0.75</f>
        <v>0.5494262252227062</v>
      </c>
      <c r="H34" s="28"/>
      <c r="I34" s="426"/>
      <c r="J34" s="28"/>
      <c r="K34" s="426"/>
      <c r="L34" s="489"/>
      <c r="M34" s="490"/>
      <c r="N34" s="28"/>
      <c r="O34" s="28"/>
    </row>
    <row r="35" spans="1:15" ht="15.75">
      <c r="A35" s="426"/>
      <c r="B35" s="50"/>
      <c r="C35" s="489">
        <f t="shared" si="0"/>
        <v>1100</v>
      </c>
      <c r="D35" s="490">
        <f t="shared" si="1"/>
        <v>1.0740994986439412</v>
      </c>
      <c r="E35" s="487"/>
      <c r="F35" s="22">
        <v>500</v>
      </c>
      <c r="G35" s="490">
        <f t="shared" si="2"/>
        <v>0.5946035575013607</v>
      </c>
      <c r="H35" s="28"/>
      <c r="I35" s="426"/>
      <c r="J35" s="28"/>
      <c r="K35" s="426"/>
      <c r="L35" s="489"/>
      <c r="M35" s="490"/>
      <c r="N35" s="28"/>
      <c r="O35" s="28"/>
    </row>
    <row r="36" spans="1:15" ht="15.75">
      <c r="A36" s="426"/>
      <c r="B36" s="50"/>
      <c r="C36" s="489">
        <f t="shared" si="0"/>
        <v>1150</v>
      </c>
      <c r="D36" s="490">
        <f t="shared" si="1"/>
        <v>1.110512318210751</v>
      </c>
      <c r="E36" s="487"/>
      <c r="F36" s="22">
        <v>550</v>
      </c>
      <c r="G36" s="490">
        <f t="shared" si="2"/>
        <v>0.6386633830041155</v>
      </c>
      <c r="H36" s="28"/>
      <c r="I36" s="426"/>
      <c r="J36" s="28"/>
      <c r="K36" s="426"/>
      <c r="L36" s="489"/>
      <c r="M36" s="490"/>
      <c r="N36" s="28"/>
      <c r="O36" s="28"/>
    </row>
    <row r="37" spans="1:15" ht="15.75">
      <c r="A37" s="426"/>
      <c r="B37" s="50"/>
      <c r="C37" s="489">
        <f t="shared" si="0"/>
        <v>1200</v>
      </c>
      <c r="D37" s="490">
        <f t="shared" si="1"/>
        <v>1.1465313506452404</v>
      </c>
      <c r="E37" s="487"/>
      <c r="F37" s="22">
        <v>600</v>
      </c>
      <c r="G37" s="490">
        <f t="shared" si="2"/>
        <v>0.6817316198804995</v>
      </c>
      <c r="H37" s="28"/>
      <c r="I37" s="426"/>
      <c r="J37" s="28"/>
      <c r="K37" s="426"/>
      <c r="L37" s="489"/>
      <c r="M37" s="490"/>
      <c r="N37" s="28"/>
      <c r="O37" s="28"/>
    </row>
    <row r="38" spans="1:15" ht="15.75">
      <c r="A38" s="426"/>
      <c r="B38" s="50"/>
      <c r="C38" s="489">
        <f t="shared" si="0"/>
        <v>1250</v>
      </c>
      <c r="D38" s="490">
        <f t="shared" si="1"/>
        <v>1.18217701125397</v>
      </c>
      <c r="E38" s="487"/>
      <c r="F38" s="22">
        <v>650</v>
      </c>
      <c r="G38" s="490">
        <f t="shared" si="2"/>
        <v>0.7239107359608682</v>
      </c>
      <c r="H38" s="28"/>
      <c r="I38" s="426"/>
      <c r="J38" s="28"/>
      <c r="K38" s="426"/>
      <c r="L38" s="489"/>
      <c r="M38" s="490"/>
      <c r="N38" s="28"/>
      <c r="O38" s="28"/>
    </row>
    <row r="39" spans="1:15" ht="15.75">
      <c r="A39" s="426"/>
      <c r="B39" s="50"/>
      <c r="C39" s="489">
        <f t="shared" si="0"/>
        <v>1300</v>
      </c>
      <c r="D39" s="490">
        <f t="shared" si="1"/>
        <v>1.2174678856663441</v>
      </c>
      <c r="E39" s="487"/>
      <c r="F39" s="22">
        <v>700</v>
      </c>
      <c r="G39" s="490">
        <f t="shared" si="2"/>
        <v>0.7652855797503652</v>
      </c>
      <c r="H39" s="28"/>
      <c r="I39" s="426"/>
      <c r="J39" s="28"/>
      <c r="K39" s="426"/>
      <c r="L39" s="489"/>
      <c r="M39" s="490"/>
      <c r="N39" s="28"/>
      <c r="O39" s="28"/>
    </row>
    <row r="40" spans="1:15" ht="15.75">
      <c r="A40" s="426"/>
      <c r="B40" s="50"/>
      <c r="C40" s="489">
        <f t="shared" si="0"/>
        <v>1350</v>
      </c>
      <c r="D40" s="490">
        <f t="shared" si="1"/>
        <v>1.252420957671184</v>
      </c>
      <c r="E40" s="487"/>
      <c r="F40" s="22">
        <v>750</v>
      </c>
      <c r="G40" s="490">
        <f t="shared" si="2"/>
        <v>0.8059274488676563</v>
      </c>
      <c r="H40" s="28"/>
      <c r="I40" s="426"/>
      <c r="J40" s="28"/>
      <c r="K40" s="426"/>
      <c r="L40" s="489"/>
      <c r="M40" s="490"/>
      <c r="N40" s="28"/>
      <c r="O40" s="28"/>
    </row>
    <row r="41" spans="1:15" ht="15.75">
      <c r="A41" s="426"/>
      <c r="B41" s="50"/>
      <c r="C41" s="489">
        <f t="shared" si="0"/>
        <v>1400</v>
      </c>
      <c r="D41" s="490">
        <f t="shared" si="1"/>
        <v>1.2870518013148862</v>
      </c>
      <c r="E41" s="487"/>
      <c r="F41" s="22">
        <v>800</v>
      </c>
      <c r="G41" s="490">
        <f t="shared" si="2"/>
        <v>0.8458970107524512</v>
      </c>
      <c r="H41" s="28"/>
      <c r="I41" s="426"/>
      <c r="J41" s="28"/>
      <c r="K41" s="426"/>
      <c r="L41" s="489"/>
      <c r="M41" s="490"/>
      <c r="N41" s="28"/>
      <c r="O41" s="28"/>
    </row>
    <row r="42" spans="1:15" ht="15.75">
      <c r="A42" s="426"/>
      <c r="B42" s="50"/>
      <c r="C42" s="489">
        <f t="shared" si="0"/>
        <v>1450</v>
      </c>
      <c r="D42" s="490">
        <f t="shared" si="1"/>
        <v>1.3213747439409014</v>
      </c>
      <c r="E42" s="487"/>
      <c r="F42" s="22">
        <v>850</v>
      </c>
      <c r="G42" s="490">
        <f t="shared" si="2"/>
        <v>0.8852464509219432</v>
      </c>
      <c r="H42" s="28"/>
      <c r="I42" s="426"/>
      <c r="J42" s="28"/>
      <c r="K42" s="426"/>
      <c r="L42" s="489"/>
      <c r="M42" s="490"/>
      <c r="N42" s="28"/>
      <c r="O42" s="28"/>
    </row>
    <row r="43" spans="1:15" ht="15.75">
      <c r="A43" s="426"/>
      <c r="B43" s="50"/>
      <c r="C43" s="489">
        <f t="shared" si="0"/>
        <v>1500</v>
      </c>
      <c r="D43" s="490">
        <f t="shared" si="1"/>
        <v>1.3554030054147679</v>
      </c>
      <c r="E43" s="487"/>
      <c r="F43" s="23">
        <v>900</v>
      </c>
      <c r="G43" s="490">
        <f t="shared" si="2"/>
        <v>0.9240210864723069</v>
      </c>
      <c r="H43" s="28"/>
      <c r="I43" s="426"/>
      <c r="J43" s="28"/>
      <c r="K43" s="426"/>
      <c r="L43" s="489"/>
      <c r="M43" s="490"/>
      <c r="N43" s="28"/>
      <c r="O43" s="28"/>
    </row>
    <row r="44" spans="1:15" ht="15.75">
      <c r="A44" s="426"/>
      <c r="B44" s="50"/>
      <c r="C44" s="487"/>
      <c r="D44" s="28"/>
      <c r="E44" s="487"/>
      <c r="F44" s="28"/>
      <c r="G44" s="28"/>
      <c r="H44" s="28"/>
      <c r="I44" s="426"/>
      <c r="J44" s="28"/>
      <c r="K44" s="426"/>
      <c r="L44" s="489"/>
      <c r="M44" s="490"/>
      <c r="N44" s="28"/>
      <c r="O44" s="28"/>
    </row>
    <row r="45" spans="1:15" ht="15.75">
      <c r="A45" s="426"/>
      <c r="B45" s="28"/>
      <c r="C45" s="487"/>
      <c r="D45" s="28"/>
      <c r="E45" s="28"/>
      <c r="F45" s="28"/>
      <c r="G45" s="28"/>
      <c r="H45" s="28"/>
      <c r="I45" s="28"/>
      <c r="J45" s="28"/>
      <c r="K45" s="28"/>
      <c r="L45" s="28"/>
      <c r="M45" s="28"/>
      <c r="N45" s="28"/>
      <c r="O45" s="28"/>
    </row>
    <row r="46" spans="1:15" ht="15.75">
      <c r="A46" s="426"/>
      <c r="B46" s="28"/>
      <c r="C46" s="28" t="s">
        <v>131</v>
      </c>
      <c r="D46" s="28"/>
      <c r="E46" s="28"/>
      <c r="F46" s="28"/>
      <c r="G46" s="28"/>
      <c r="H46" s="28"/>
      <c r="I46" s="28"/>
      <c r="J46" s="28"/>
      <c r="K46" s="28"/>
      <c r="L46" s="28"/>
      <c r="M46" s="28"/>
      <c r="N46" s="28"/>
      <c r="O46" s="28"/>
    </row>
    <row r="47" spans="1:15" ht="15.75">
      <c r="A47" s="481" t="s">
        <v>558</v>
      </c>
      <c r="B47" s="28"/>
      <c r="C47" s="655" t="s">
        <v>115</v>
      </c>
      <c r="D47" s="656"/>
      <c r="E47" s="656"/>
      <c r="F47" s="656"/>
      <c r="G47" s="656"/>
      <c r="H47" s="656"/>
      <c r="I47" s="656"/>
      <c r="J47" s="656"/>
      <c r="K47" s="656"/>
      <c r="L47" s="656"/>
      <c r="M47" s="657"/>
      <c r="N47" s="28"/>
      <c r="O47" s="28"/>
    </row>
    <row r="48" spans="1:15" ht="15.75">
      <c r="A48" s="426"/>
      <c r="B48" s="28"/>
      <c r="C48" s="658" t="s">
        <v>360</v>
      </c>
      <c r="D48" s="659"/>
      <c r="E48" s="659"/>
      <c r="F48" s="659"/>
      <c r="G48" s="660"/>
      <c r="H48" s="500"/>
      <c r="I48" s="658" t="s">
        <v>361</v>
      </c>
      <c r="J48" s="659"/>
      <c r="K48" s="659"/>
      <c r="L48" s="659"/>
      <c r="M48" s="660"/>
      <c r="N48" s="28"/>
      <c r="O48" s="28"/>
    </row>
    <row r="49" spans="1:15" ht="15.75">
      <c r="A49" s="426"/>
      <c r="B49" s="28"/>
      <c r="C49" s="501"/>
      <c r="D49" s="501"/>
      <c r="E49" s="502"/>
      <c r="F49" s="502"/>
      <c r="G49" s="95"/>
      <c r="H49" s="42"/>
      <c r="I49" s="502"/>
      <c r="J49" s="502"/>
      <c r="K49" s="502"/>
      <c r="L49" s="502"/>
      <c r="M49" s="34" t="s">
        <v>120</v>
      </c>
      <c r="N49" s="28"/>
      <c r="O49" s="28"/>
    </row>
    <row r="50" spans="1:15" ht="15.75">
      <c r="A50" s="426"/>
      <c r="B50" s="42"/>
      <c r="C50" s="503"/>
      <c r="D50" s="503"/>
      <c r="E50" s="502"/>
      <c r="F50" s="502"/>
      <c r="G50" s="34" t="s">
        <v>362</v>
      </c>
      <c r="H50" s="389"/>
      <c r="I50" s="503"/>
      <c r="J50" s="503"/>
      <c r="K50" s="502"/>
      <c r="L50" s="502"/>
      <c r="M50" s="504" t="s">
        <v>119</v>
      </c>
      <c r="N50" s="28"/>
      <c r="O50" s="28"/>
    </row>
    <row r="51" spans="1:15" ht="15.75">
      <c r="A51" s="481" t="s">
        <v>558</v>
      </c>
      <c r="B51" s="28"/>
      <c r="C51" s="505" t="s">
        <v>110</v>
      </c>
      <c r="D51" s="505" t="s">
        <v>111</v>
      </c>
      <c r="E51" s="46" t="s">
        <v>112</v>
      </c>
      <c r="F51" s="46" t="s">
        <v>113</v>
      </c>
      <c r="G51" s="29" t="s">
        <v>104</v>
      </c>
      <c r="H51" s="506"/>
      <c r="I51" s="505" t="s">
        <v>110</v>
      </c>
      <c r="J51" s="505" t="s">
        <v>111</v>
      </c>
      <c r="K51" s="29" t="s">
        <v>112</v>
      </c>
      <c r="L51" s="29" t="s">
        <v>113</v>
      </c>
      <c r="M51" s="29" t="s">
        <v>104</v>
      </c>
      <c r="N51" s="28"/>
      <c r="O51" s="28"/>
    </row>
    <row r="52" spans="1:15" ht="15.75">
      <c r="A52" s="426"/>
      <c r="B52" s="28" t="str">
        <f>$B$14</f>
        <v>Cows</v>
      </c>
      <c r="C52" s="507">
        <v>38838</v>
      </c>
      <c r="D52" s="508">
        <v>39005</v>
      </c>
      <c r="E52" s="509">
        <f>D52-C52</f>
        <v>167</v>
      </c>
      <c r="F52" s="20">
        <v>100</v>
      </c>
      <c r="G52" s="510">
        <f>E52/30*F52*$D$14</f>
        <v>667.9999999999999</v>
      </c>
      <c r="H52" s="506"/>
      <c r="I52" s="507">
        <v>39036</v>
      </c>
      <c r="J52" s="508">
        <v>39202</v>
      </c>
      <c r="K52" s="509">
        <f>J52-I52</f>
        <v>166</v>
      </c>
      <c r="L52" s="20">
        <v>100</v>
      </c>
      <c r="M52" s="510">
        <f>K52*L52*$E$14/2000</f>
        <v>273.9</v>
      </c>
      <c r="N52" s="28"/>
      <c r="O52" s="28"/>
    </row>
    <row r="53" spans="1:15" ht="15.75">
      <c r="A53" s="426"/>
      <c r="B53" s="28" t="str">
        <f>$B$14</f>
        <v>Cows</v>
      </c>
      <c r="C53" s="511">
        <v>39005</v>
      </c>
      <c r="D53" s="512">
        <v>39036</v>
      </c>
      <c r="E53" s="509">
        <f>D53-C53</f>
        <v>31</v>
      </c>
      <c r="F53" s="22">
        <v>100</v>
      </c>
      <c r="G53" s="510">
        <f>E53/30*F53*$D$14</f>
        <v>124</v>
      </c>
      <c r="H53" s="506"/>
      <c r="I53" s="511"/>
      <c r="J53" s="512"/>
      <c r="K53" s="509">
        <f>J53-I53</f>
        <v>0</v>
      </c>
      <c r="L53" s="22">
        <v>0</v>
      </c>
      <c r="M53" s="510">
        <f>K53*L53*$E$14/2000</f>
        <v>0</v>
      </c>
      <c r="N53" s="28"/>
      <c r="O53" s="28"/>
    </row>
    <row r="54" spans="1:15" ht="16.5" thickBot="1">
      <c r="A54" s="426"/>
      <c r="B54" s="28" t="str">
        <f>$B$14</f>
        <v>Cows</v>
      </c>
      <c r="C54" s="513"/>
      <c r="D54" s="514"/>
      <c r="E54" s="509">
        <f>D54-C54</f>
        <v>0</v>
      </c>
      <c r="F54" s="23">
        <v>0</v>
      </c>
      <c r="G54" s="515">
        <f>E54/30*F54*$D$14</f>
        <v>0</v>
      </c>
      <c r="H54" s="506"/>
      <c r="I54" s="513"/>
      <c r="J54" s="514"/>
      <c r="K54" s="509">
        <f>J54-I54</f>
        <v>0</v>
      </c>
      <c r="L54" s="23">
        <v>0</v>
      </c>
      <c r="M54" s="515">
        <f>K54*L54*$E$14/2000</f>
        <v>0</v>
      </c>
      <c r="N54" s="28"/>
      <c r="O54" s="28"/>
    </row>
    <row r="55" spans="1:15" ht="16.5" thickTop="1">
      <c r="A55" s="426"/>
      <c r="B55" s="516"/>
      <c r="C55" s="517"/>
      <c r="D55" s="517"/>
      <c r="E55" s="518" t="s">
        <v>570</v>
      </c>
      <c r="F55" t="str">
        <f>B14</f>
        <v>Cows</v>
      </c>
      <c r="G55" s="519">
        <f>SUM(G52:G54)</f>
        <v>791.9999999999999</v>
      </c>
      <c r="H55" s="389"/>
      <c r="I55" s="389"/>
      <c r="J55" s="476"/>
      <c r="K55" s="520" t="s">
        <v>571</v>
      </c>
      <c r="L55" s="95" t="str">
        <f>B14</f>
        <v>Cows</v>
      </c>
      <c r="M55" s="510">
        <f>SUM(M52:M54)</f>
        <v>273.9</v>
      </c>
      <c r="N55" s="28"/>
      <c r="O55" s="28"/>
    </row>
    <row r="56" spans="1:15" ht="15.75">
      <c r="A56" s="426"/>
      <c r="B56" s="516"/>
      <c r="C56" s="517"/>
      <c r="D56" s="517"/>
      <c r="E56" s="521"/>
      <c r="F56" s="518"/>
      <c r="G56" s="519"/>
      <c r="H56" s="389"/>
      <c r="I56" s="389"/>
      <c r="J56" s="476"/>
      <c r="K56" s="520"/>
      <c r="L56" s="95"/>
      <c r="M56" s="510"/>
      <c r="N56" s="28"/>
      <c r="O56" s="28"/>
    </row>
    <row r="57" spans="1:15" ht="15.75">
      <c r="A57" s="426"/>
      <c r="B57" s="516"/>
      <c r="C57" s="505" t="s">
        <v>110</v>
      </c>
      <c r="D57" s="505" t="s">
        <v>111</v>
      </c>
      <c r="E57" s="46" t="s">
        <v>112</v>
      </c>
      <c r="F57" s="46" t="s">
        <v>113</v>
      </c>
      <c r="G57" s="29" t="s">
        <v>362</v>
      </c>
      <c r="H57" s="506"/>
      <c r="I57" s="505" t="s">
        <v>110</v>
      </c>
      <c r="J57" s="505" t="s">
        <v>111</v>
      </c>
      <c r="K57" s="46" t="s">
        <v>112</v>
      </c>
      <c r="L57" s="46" t="s">
        <v>113</v>
      </c>
      <c r="M57" s="522" t="s">
        <v>119</v>
      </c>
      <c r="N57" s="28"/>
      <c r="O57" s="28"/>
    </row>
    <row r="58" spans="1:15" ht="15.75">
      <c r="A58" s="426"/>
      <c r="B58" s="28" t="str">
        <f>$B$15</f>
        <v>Bulls</v>
      </c>
      <c r="C58" s="507">
        <v>38869</v>
      </c>
      <c r="D58" s="508">
        <v>38913</v>
      </c>
      <c r="E58" s="521">
        <f>D58-C58</f>
        <v>44</v>
      </c>
      <c r="F58" s="523">
        <v>4</v>
      </c>
      <c r="G58" s="519">
        <f>E58/30*F58*$D$15</f>
        <v>8.799999999999999</v>
      </c>
      <c r="H58" s="506"/>
      <c r="I58" s="507"/>
      <c r="J58" s="508"/>
      <c r="K58" s="521">
        <f>J58-I58</f>
        <v>0</v>
      </c>
      <c r="L58" s="523">
        <v>0</v>
      </c>
      <c r="M58" s="510">
        <f>K58*L58*$E$15/2000</f>
        <v>0</v>
      </c>
      <c r="N58" s="28"/>
      <c r="O58" s="28"/>
    </row>
    <row r="59" spans="1:15" ht="15.75">
      <c r="A59" s="426"/>
      <c r="B59" s="28" t="str">
        <f>$B$15</f>
        <v>Bulls</v>
      </c>
      <c r="C59" s="511">
        <v>38913</v>
      </c>
      <c r="D59" s="512">
        <v>39036</v>
      </c>
      <c r="E59" s="521">
        <f>D59-C59</f>
        <v>123</v>
      </c>
      <c r="F59" s="524">
        <v>4</v>
      </c>
      <c r="G59" s="519">
        <f>E59/30*F59*$D$15</f>
        <v>24.599999999999998</v>
      </c>
      <c r="H59" s="506"/>
      <c r="I59" s="511"/>
      <c r="J59" s="512"/>
      <c r="K59" s="521">
        <f>J59-I59</f>
        <v>0</v>
      </c>
      <c r="L59" s="524">
        <v>0</v>
      </c>
      <c r="M59" s="510">
        <f>K59*L59*$E$15/2000</f>
        <v>0</v>
      </c>
      <c r="N59" s="28"/>
      <c r="O59" s="28"/>
    </row>
    <row r="60" spans="1:15" ht="16.5" thickBot="1">
      <c r="A60" s="426"/>
      <c r="B60" s="28" t="str">
        <f>$B$15</f>
        <v>Bulls</v>
      </c>
      <c r="C60" s="513"/>
      <c r="D60" s="514"/>
      <c r="E60" s="521">
        <f>D60-C60</f>
        <v>0</v>
      </c>
      <c r="F60" s="525">
        <v>0</v>
      </c>
      <c r="G60" s="526">
        <f>E60/30*F60*$D$15</f>
        <v>0</v>
      </c>
      <c r="H60" s="506"/>
      <c r="I60" s="513"/>
      <c r="J60" s="514"/>
      <c r="K60" s="521">
        <f>J60-I60</f>
        <v>0</v>
      </c>
      <c r="L60" s="525">
        <v>0</v>
      </c>
      <c r="M60" s="515">
        <f>K60*L60*$E$15/2000</f>
        <v>0</v>
      </c>
      <c r="N60" s="28"/>
      <c r="O60" s="28"/>
    </row>
    <row r="61" spans="1:15" ht="16.5" thickTop="1">
      <c r="A61" s="426"/>
      <c r="B61" s="516"/>
      <c r="C61" s="517"/>
      <c r="D61" s="517"/>
      <c r="E61" s="518" t="s">
        <v>570</v>
      </c>
      <c r="F61" s="527" t="str">
        <f>B15</f>
        <v>Bulls</v>
      </c>
      <c r="G61" s="519">
        <f>SUM(G58:G60)</f>
        <v>33.4</v>
      </c>
      <c r="H61" s="389"/>
      <c r="I61" s="389"/>
      <c r="J61" s="476"/>
      <c r="K61" s="520" t="s">
        <v>571</v>
      </c>
      <c r="L61" s="528" t="str">
        <f>B15</f>
        <v>Bulls</v>
      </c>
      <c r="M61" s="510">
        <f>SUM(M58:M60)</f>
        <v>0</v>
      </c>
      <c r="N61" s="28"/>
      <c r="O61" s="28"/>
    </row>
    <row r="62" spans="1:15" ht="15.75">
      <c r="A62" s="426"/>
      <c r="B62" s="516"/>
      <c r="C62" s="517"/>
      <c r="D62" s="517"/>
      <c r="E62" s="521"/>
      <c r="F62" s="518"/>
      <c r="G62" s="519"/>
      <c r="H62" s="389"/>
      <c r="I62" s="389"/>
      <c r="J62" s="476"/>
      <c r="K62" s="520"/>
      <c r="L62" s="528"/>
      <c r="M62" s="510"/>
      <c r="N62" s="28"/>
      <c r="O62" s="28"/>
    </row>
    <row r="63" spans="1:15" ht="15.75">
      <c r="A63" s="426"/>
      <c r="B63" s="516"/>
      <c r="C63" s="505" t="s">
        <v>110</v>
      </c>
      <c r="D63" s="505" t="s">
        <v>111</v>
      </c>
      <c r="E63" s="46" t="s">
        <v>112</v>
      </c>
      <c r="F63" s="46" t="s">
        <v>113</v>
      </c>
      <c r="G63" s="29" t="s">
        <v>362</v>
      </c>
      <c r="H63" s="506"/>
      <c r="I63" s="505" t="s">
        <v>110</v>
      </c>
      <c r="J63" s="505" t="s">
        <v>111</v>
      </c>
      <c r="K63" s="46" t="s">
        <v>112</v>
      </c>
      <c r="L63" s="46" t="s">
        <v>113</v>
      </c>
      <c r="M63" s="522" t="s">
        <v>119</v>
      </c>
      <c r="N63" s="28"/>
      <c r="O63" s="28"/>
    </row>
    <row r="64" spans="1:15" ht="15.75">
      <c r="A64" s="426"/>
      <c r="B64" s="28" t="str">
        <f>$B$16</f>
        <v>Rep. Heifers</v>
      </c>
      <c r="C64" s="529">
        <v>38838</v>
      </c>
      <c r="D64" s="530">
        <v>39022</v>
      </c>
      <c r="E64" s="521">
        <f>D64-C64</f>
        <v>184</v>
      </c>
      <c r="F64" s="523">
        <v>0</v>
      </c>
      <c r="G64" s="519">
        <f>E64/30*F64*$D$16</f>
        <v>0</v>
      </c>
      <c r="H64" s="506"/>
      <c r="I64" s="531"/>
      <c r="J64" s="530"/>
      <c r="K64" s="521">
        <f>J64-I64</f>
        <v>0</v>
      </c>
      <c r="L64" s="523">
        <v>0</v>
      </c>
      <c r="M64" s="510">
        <f>K64*L64*$E$16/2000</f>
        <v>0</v>
      </c>
      <c r="N64" s="28"/>
      <c r="O64" s="28"/>
    </row>
    <row r="65" spans="1:15" ht="15.75">
      <c r="A65" s="426"/>
      <c r="B65" s="28" t="str">
        <f>$B$16</f>
        <v>Rep. Heifers</v>
      </c>
      <c r="C65" s="532"/>
      <c r="D65" s="533"/>
      <c r="E65" s="521">
        <f>D65-C65</f>
        <v>0</v>
      </c>
      <c r="F65" s="524">
        <v>0</v>
      </c>
      <c r="G65" s="519">
        <f>E65/30*F65*$D$16</f>
        <v>0</v>
      </c>
      <c r="H65" s="506"/>
      <c r="I65" s="534"/>
      <c r="J65" s="533"/>
      <c r="K65" s="521">
        <f>J65-I65</f>
        <v>0</v>
      </c>
      <c r="L65" s="524">
        <v>0</v>
      </c>
      <c r="M65" s="510">
        <f>K65*L65*$E$16/2000</f>
        <v>0</v>
      </c>
      <c r="N65" s="28"/>
      <c r="O65" s="28"/>
    </row>
    <row r="66" spans="1:15" ht="16.5" thickBot="1">
      <c r="A66" s="426"/>
      <c r="B66" s="28" t="str">
        <f>$B$16</f>
        <v>Rep. Heifers</v>
      </c>
      <c r="C66" s="535"/>
      <c r="D66" s="536"/>
      <c r="E66" s="521">
        <f>D66-C66</f>
        <v>0</v>
      </c>
      <c r="F66" s="525">
        <v>0</v>
      </c>
      <c r="G66" s="526">
        <f>E66/30*F66*$D$16</f>
        <v>0</v>
      </c>
      <c r="H66" s="506"/>
      <c r="I66" s="537"/>
      <c r="J66" s="536"/>
      <c r="K66" s="521">
        <f>J66-I66</f>
        <v>0</v>
      </c>
      <c r="L66" s="525">
        <v>0</v>
      </c>
      <c r="M66" s="515">
        <f>K66*L66*$E$16/2000</f>
        <v>0</v>
      </c>
      <c r="N66" s="28"/>
      <c r="O66" s="28"/>
    </row>
    <row r="67" spans="1:15" ht="16.5" thickTop="1">
      <c r="A67" s="426"/>
      <c r="B67" s="516"/>
      <c r="C67" s="517"/>
      <c r="D67" s="517"/>
      <c r="E67" s="518" t="s">
        <v>570</v>
      </c>
      <c r="F67" s="538" t="str">
        <f>B16</f>
        <v>Rep. Heifers</v>
      </c>
      <c r="G67" s="519">
        <f>SUM(G64:G66)</f>
        <v>0</v>
      </c>
      <c r="H67" s="389"/>
      <c r="I67" s="389"/>
      <c r="J67" s="476"/>
      <c r="K67" s="520" t="s">
        <v>571</v>
      </c>
      <c r="L67" s="528" t="str">
        <f>B16</f>
        <v>Rep. Heifers</v>
      </c>
      <c r="M67" s="510">
        <f>SUM(M64:M66)</f>
        <v>0</v>
      </c>
      <c r="N67" s="28"/>
      <c r="O67" s="28"/>
    </row>
    <row r="68" spans="1:15" ht="15.75">
      <c r="A68" s="426"/>
      <c r="B68" s="516"/>
      <c r="C68" s="517"/>
      <c r="D68" s="517"/>
      <c r="E68" s="521"/>
      <c r="F68" s="539"/>
      <c r="G68" s="519"/>
      <c r="H68" s="389"/>
      <c r="I68" s="389"/>
      <c r="J68" s="476"/>
      <c r="K68" s="520"/>
      <c r="L68" s="528"/>
      <c r="M68" s="510"/>
      <c r="N68" s="28"/>
      <c r="O68" s="28"/>
    </row>
    <row r="69" spans="1:15" ht="15.75">
      <c r="A69" s="426"/>
      <c r="B69" s="516"/>
      <c r="C69" s="505" t="s">
        <v>110</v>
      </c>
      <c r="D69" s="505" t="s">
        <v>111</v>
      </c>
      <c r="E69" s="46" t="s">
        <v>112</v>
      </c>
      <c r="F69" s="46" t="s">
        <v>113</v>
      </c>
      <c r="G69" s="29" t="s">
        <v>362</v>
      </c>
      <c r="H69" s="506"/>
      <c r="I69" s="505" t="s">
        <v>110</v>
      </c>
      <c r="J69" s="505" t="s">
        <v>111</v>
      </c>
      <c r="K69" s="46" t="s">
        <v>112</v>
      </c>
      <c r="L69" s="46" t="s">
        <v>113</v>
      </c>
      <c r="M69" s="522" t="s">
        <v>119</v>
      </c>
      <c r="N69" s="28"/>
      <c r="O69" s="28"/>
    </row>
    <row r="70" spans="1:15" ht="15.75">
      <c r="A70" s="426"/>
      <c r="B70" s="38" t="str">
        <f>$B$17</f>
        <v>Horses</v>
      </c>
      <c r="C70" s="529"/>
      <c r="D70" s="530"/>
      <c r="E70" s="521">
        <f>D70-C70</f>
        <v>0</v>
      </c>
      <c r="F70" s="523">
        <v>0</v>
      </c>
      <c r="G70" s="519">
        <f>E70/30*F70*$D$17</f>
        <v>0</v>
      </c>
      <c r="H70" s="506"/>
      <c r="I70" s="531"/>
      <c r="J70" s="530"/>
      <c r="K70" s="521">
        <f>J70-I70</f>
        <v>0</v>
      </c>
      <c r="L70" s="523">
        <v>0</v>
      </c>
      <c r="M70" s="510">
        <f>K70*L70*$E$17/2000</f>
        <v>0</v>
      </c>
      <c r="N70" s="28"/>
      <c r="O70" s="28"/>
    </row>
    <row r="71" spans="1:15" ht="15.75">
      <c r="A71" s="426"/>
      <c r="B71" s="38" t="str">
        <f>$B$17</f>
        <v>Horses</v>
      </c>
      <c r="C71" s="532"/>
      <c r="D71" s="533"/>
      <c r="E71" s="521">
        <f>D71-C71</f>
        <v>0</v>
      </c>
      <c r="F71" s="524">
        <v>0</v>
      </c>
      <c r="G71" s="519">
        <f>E71/30*F71*$D$17</f>
        <v>0</v>
      </c>
      <c r="H71" s="506"/>
      <c r="I71" s="534"/>
      <c r="J71" s="533"/>
      <c r="K71" s="521">
        <f>J71-I71</f>
        <v>0</v>
      </c>
      <c r="L71" s="524">
        <v>0</v>
      </c>
      <c r="M71" s="510">
        <f>K71*L71*$E$17/2000</f>
        <v>0</v>
      </c>
      <c r="N71" s="28"/>
      <c r="O71" s="28"/>
    </row>
    <row r="72" spans="1:15" ht="16.5" thickBot="1">
      <c r="A72" s="426"/>
      <c r="B72" s="38" t="str">
        <f>$B$17</f>
        <v>Horses</v>
      </c>
      <c r="C72" s="535"/>
      <c r="D72" s="536"/>
      <c r="E72" s="521">
        <f>D72-C72</f>
        <v>0</v>
      </c>
      <c r="F72" s="525">
        <v>0</v>
      </c>
      <c r="G72" s="526">
        <f>E72/30*F72*$D$17</f>
        <v>0</v>
      </c>
      <c r="H72" s="506"/>
      <c r="I72" s="537"/>
      <c r="J72" s="536"/>
      <c r="K72" s="521">
        <f>J72-I72</f>
        <v>0</v>
      </c>
      <c r="L72" s="525">
        <v>0</v>
      </c>
      <c r="M72" s="515">
        <f>K72*L72*$E$17/2000</f>
        <v>0</v>
      </c>
      <c r="N72" s="28"/>
      <c r="O72" s="28"/>
    </row>
    <row r="73" spans="1:15" ht="16.5" thickTop="1">
      <c r="A73" s="426"/>
      <c r="B73" s="516"/>
      <c r="C73" s="517"/>
      <c r="D73" s="517"/>
      <c r="E73" s="518" t="s">
        <v>570</v>
      </c>
      <c r="F73" s="527" t="str">
        <f>B17</f>
        <v>Horses</v>
      </c>
      <c r="G73" s="519">
        <f>SUM(G70:G72)</f>
        <v>0</v>
      </c>
      <c r="H73" s="389"/>
      <c r="I73" s="389"/>
      <c r="J73" s="476"/>
      <c r="K73" s="520" t="s">
        <v>571</v>
      </c>
      <c r="L73" s="528" t="str">
        <f>B17</f>
        <v>Horses</v>
      </c>
      <c r="M73" s="510">
        <f>SUM(M70:M72)</f>
        <v>0</v>
      </c>
      <c r="N73" s="28"/>
      <c r="O73" s="28"/>
    </row>
    <row r="74" spans="1:15" ht="15.75">
      <c r="A74" s="426"/>
      <c r="B74" s="516"/>
      <c r="C74" s="517"/>
      <c r="D74" s="517"/>
      <c r="E74" s="521"/>
      <c r="F74" s="518"/>
      <c r="G74" s="519"/>
      <c r="H74" s="389"/>
      <c r="I74" s="389"/>
      <c r="J74" s="476"/>
      <c r="K74" s="520"/>
      <c r="L74" s="528"/>
      <c r="M74" s="510"/>
      <c r="N74" s="28"/>
      <c r="O74" s="28"/>
    </row>
    <row r="75" spans="1:15" ht="15.75">
      <c r="A75" s="426"/>
      <c r="B75" s="516"/>
      <c r="C75" s="505" t="s">
        <v>110</v>
      </c>
      <c r="D75" s="505" t="s">
        <v>111</v>
      </c>
      <c r="E75" s="46" t="s">
        <v>112</v>
      </c>
      <c r="F75" s="46" t="s">
        <v>113</v>
      </c>
      <c r="G75" s="29" t="s">
        <v>362</v>
      </c>
      <c r="H75" s="506"/>
      <c r="I75" s="505" t="s">
        <v>110</v>
      </c>
      <c r="J75" s="505" t="s">
        <v>111</v>
      </c>
      <c r="K75" s="46" t="s">
        <v>112</v>
      </c>
      <c r="L75" s="46" t="s">
        <v>113</v>
      </c>
      <c r="M75" s="522" t="s">
        <v>119</v>
      </c>
      <c r="N75" s="28"/>
      <c r="O75" s="28"/>
    </row>
    <row r="76" spans="1:15" ht="15.75">
      <c r="A76" s="426"/>
      <c r="B76" s="38" t="str">
        <f>$B$18</f>
        <v>Sheep</v>
      </c>
      <c r="C76" s="529">
        <v>38852</v>
      </c>
      <c r="D76" s="530">
        <v>39005</v>
      </c>
      <c r="E76" s="521">
        <f>D76-C76</f>
        <v>153</v>
      </c>
      <c r="F76" s="523">
        <v>1000</v>
      </c>
      <c r="G76" s="519">
        <f>E76/30*F76*$D$18</f>
        <v>1020</v>
      </c>
      <c r="H76" s="506"/>
      <c r="I76" s="531"/>
      <c r="J76" s="530"/>
      <c r="K76" s="521">
        <f>J76-I76</f>
        <v>0</v>
      </c>
      <c r="L76" s="523">
        <v>0</v>
      </c>
      <c r="M76" s="510">
        <f>K76*L76*$E$18/2000</f>
        <v>0</v>
      </c>
      <c r="N76" s="28"/>
      <c r="O76" s="28"/>
    </row>
    <row r="77" spans="1:15" ht="15.75">
      <c r="A77" s="426"/>
      <c r="B77" s="38" t="str">
        <f>$B$18</f>
        <v>Sheep</v>
      </c>
      <c r="C77" s="532">
        <v>38852</v>
      </c>
      <c r="D77" s="533">
        <v>39005</v>
      </c>
      <c r="E77" s="521">
        <f>D77-C77</f>
        <v>153</v>
      </c>
      <c r="F77" s="524">
        <v>33</v>
      </c>
      <c r="G77" s="519">
        <f>E77/30*F77*$D$18</f>
        <v>33.66</v>
      </c>
      <c r="H77" s="506"/>
      <c r="I77" s="534"/>
      <c r="J77" s="533"/>
      <c r="K77" s="521">
        <f>J77-I77</f>
        <v>0</v>
      </c>
      <c r="L77" s="524">
        <v>0</v>
      </c>
      <c r="M77" s="510">
        <f>K77*L77*$E$18/2000</f>
        <v>0</v>
      </c>
      <c r="N77" s="28"/>
      <c r="O77" s="28"/>
    </row>
    <row r="78" spans="1:15" ht="16.5" thickBot="1">
      <c r="A78" s="426"/>
      <c r="B78" s="38" t="str">
        <f>$B$18</f>
        <v>Sheep</v>
      </c>
      <c r="C78" s="535"/>
      <c r="D78" s="536"/>
      <c r="E78" s="521">
        <f>D78-C78</f>
        <v>0</v>
      </c>
      <c r="F78" s="525">
        <v>0</v>
      </c>
      <c r="G78" s="515">
        <f>E78/30*F78*$D$18</f>
        <v>0</v>
      </c>
      <c r="H78" s="506"/>
      <c r="I78" s="537"/>
      <c r="J78" s="536"/>
      <c r="K78" s="521">
        <f>J78-I78</f>
        <v>0</v>
      </c>
      <c r="L78" s="525">
        <v>0</v>
      </c>
      <c r="M78" s="515">
        <f>K78*L78*$E$18/2000</f>
        <v>0</v>
      </c>
      <c r="N78" s="28"/>
      <c r="O78" s="28"/>
    </row>
    <row r="79" spans="1:15" ht="16.5" thickTop="1">
      <c r="A79" s="426"/>
      <c r="B79" s="516"/>
      <c r="C79" s="517"/>
      <c r="D79" s="517"/>
      <c r="E79" s="518" t="s">
        <v>570</v>
      </c>
      <c r="F79" s="527" t="str">
        <f>B18</f>
        <v>Sheep</v>
      </c>
      <c r="G79" s="519">
        <f>SUM(G76:G78)</f>
        <v>1053.66</v>
      </c>
      <c r="H79" s="389"/>
      <c r="I79" s="389"/>
      <c r="J79" s="476"/>
      <c r="K79" s="520" t="s">
        <v>571</v>
      </c>
      <c r="L79" s="528" t="str">
        <f>B18</f>
        <v>Sheep</v>
      </c>
      <c r="M79" s="510">
        <f>SUM(M76:M78)</f>
        <v>0</v>
      </c>
      <c r="N79" s="28"/>
      <c r="O79" s="28"/>
    </row>
    <row r="80" spans="1:15" ht="15.75">
      <c r="A80" s="426"/>
      <c r="B80" s="516"/>
      <c r="C80" s="517"/>
      <c r="D80" s="517"/>
      <c r="E80" s="518"/>
      <c r="F80" s="527"/>
      <c r="G80" s="519"/>
      <c r="H80" s="389"/>
      <c r="I80" s="389"/>
      <c r="J80" s="476"/>
      <c r="K80" s="520"/>
      <c r="L80" s="528"/>
      <c r="M80" s="510"/>
      <c r="N80" s="28"/>
      <c r="O80" s="28"/>
    </row>
    <row r="81" spans="1:15" ht="15.75">
      <c r="A81" s="426"/>
      <c r="B81" s="516"/>
      <c r="C81" s="505" t="s">
        <v>110</v>
      </c>
      <c r="D81" s="505" t="s">
        <v>111</v>
      </c>
      <c r="E81" s="46" t="s">
        <v>112</v>
      </c>
      <c r="F81" s="46" t="s">
        <v>113</v>
      </c>
      <c r="G81" s="29" t="s">
        <v>362</v>
      </c>
      <c r="H81" s="506"/>
      <c r="I81" s="505" t="s">
        <v>110</v>
      </c>
      <c r="J81" s="505" t="s">
        <v>111</v>
      </c>
      <c r="K81" s="46" t="s">
        <v>112</v>
      </c>
      <c r="L81" s="46" t="s">
        <v>113</v>
      </c>
      <c r="M81" s="522" t="s">
        <v>119</v>
      </c>
      <c r="N81" s="28"/>
      <c r="O81" s="28"/>
    </row>
    <row r="82" spans="1:15" ht="15.75">
      <c r="A82" s="426"/>
      <c r="B82" s="38" t="str">
        <f>$B$19</f>
        <v>Other Livestock #1</v>
      </c>
      <c r="C82" s="529">
        <v>38852</v>
      </c>
      <c r="D82" s="530">
        <v>39005</v>
      </c>
      <c r="E82" s="521">
        <f>D82-C82</f>
        <v>153</v>
      </c>
      <c r="F82" s="523">
        <v>0</v>
      </c>
      <c r="G82" s="519">
        <f>E82/30*F82*$D$19</f>
        <v>0</v>
      </c>
      <c r="H82" s="506"/>
      <c r="I82" s="531"/>
      <c r="J82" s="530"/>
      <c r="K82" s="521">
        <f>J82-I82</f>
        <v>0</v>
      </c>
      <c r="L82" s="523">
        <v>0</v>
      </c>
      <c r="M82" s="510">
        <f>K82*L82*$E$19/2000</f>
        <v>0</v>
      </c>
      <c r="N82" s="28"/>
      <c r="O82" s="28"/>
    </row>
    <row r="83" spans="1:15" ht="15.75">
      <c r="A83" s="426"/>
      <c r="B83" s="38" t="str">
        <f>$B$19</f>
        <v>Other Livestock #1</v>
      </c>
      <c r="C83" s="532">
        <v>38852</v>
      </c>
      <c r="D83" s="533">
        <v>39005</v>
      </c>
      <c r="E83" s="521">
        <f>D83-C83</f>
        <v>153</v>
      </c>
      <c r="F83" s="524">
        <v>0</v>
      </c>
      <c r="G83" s="519">
        <f>E83/30*F83*$D$19</f>
        <v>0</v>
      </c>
      <c r="H83" s="506"/>
      <c r="I83" s="534"/>
      <c r="J83" s="533"/>
      <c r="K83" s="521">
        <f>J83-I83</f>
        <v>0</v>
      </c>
      <c r="L83" s="524">
        <v>0</v>
      </c>
      <c r="M83" s="510">
        <f>K83*L83*$E$19/2000</f>
        <v>0</v>
      </c>
      <c r="N83" s="28"/>
      <c r="O83" s="28"/>
    </row>
    <row r="84" spans="1:15" ht="16.5" thickBot="1">
      <c r="A84" s="426"/>
      <c r="B84" s="38" t="str">
        <f>$B$19</f>
        <v>Other Livestock #1</v>
      </c>
      <c r="C84" s="535"/>
      <c r="D84" s="536"/>
      <c r="E84" s="521">
        <f>D84-C84</f>
        <v>0</v>
      </c>
      <c r="F84" s="525">
        <v>0</v>
      </c>
      <c r="G84" s="515">
        <f>E84/30*F84*$D$19</f>
        <v>0</v>
      </c>
      <c r="H84" s="506"/>
      <c r="I84" s="537"/>
      <c r="J84" s="536"/>
      <c r="K84" s="521">
        <f>J84-I84</f>
        <v>0</v>
      </c>
      <c r="L84" s="525">
        <v>0</v>
      </c>
      <c r="M84" s="515">
        <f>K84*L84*$E$19/2000</f>
        <v>0</v>
      </c>
      <c r="N84" s="28"/>
      <c r="O84" s="28"/>
    </row>
    <row r="85" spans="1:15" ht="16.5" thickTop="1">
      <c r="A85" s="426"/>
      <c r="B85" s="516"/>
      <c r="C85" s="517"/>
      <c r="D85" s="517"/>
      <c r="E85" s="518" t="s">
        <v>570</v>
      </c>
      <c r="F85" s="527" t="str">
        <f>B19</f>
        <v>Other Livestock #1</v>
      </c>
      <c r="G85" s="519">
        <f>SUM(G82:G84)</f>
        <v>0</v>
      </c>
      <c r="H85" s="389"/>
      <c r="I85" s="389"/>
      <c r="J85" s="476"/>
      <c r="K85" s="520" t="s">
        <v>571</v>
      </c>
      <c r="L85" s="528" t="str">
        <f>B19</f>
        <v>Other Livestock #1</v>
      </c>
      <c r="M85" s="510">
        <f>SUM(M82:M84)</f>
        <v>0</v>
      </c>
      <c r="N85" s="28"/>
      <c r="O85" s="28"/>
    </row>
    <row r="86" spans="1:15" ht="15.75">
      <c r="A86" s="426"/>
      <c r="B86" s="516"/>
      <c r="C86" s="517"/>
      <c r="D86" s="517"/>
      <c r="E86" s="518"/>
      <c r="F86" s="527"/>
      <c r="G86" s="519"/>
      <c r="H86" s="389"/>
      <c r="I86" s="389"/>
      <c r="J86" s="476"/>
      <c r="K86" s="520"/>
      <c r="L86" s="528"/>
      <c r="M86" s="510"/>
      <c r="N86" s="28"/>
      <c r="O86" s="28"/>
    </row>
    <row r="87" spans="1:15" ht="15.75">
      <c r="A87" s="426"/>
      <c r="B87" s="516"/>
      <c r="C87" s="505" t="s">
        <v>110</v>
      </c>
      <c r="D87" s="505" t="s">
        <v>111</v>
      </c>
      <c r="E87" s="46" t="s">
        <v>112</v>
      </c>
      <c r="F87" s="46" t="s">
        <v>113</v>
      </c>
      <c r="G87" s="29" t="s">
        <v>362</v>
      </c>
      <c r="H87" s="506"/>
      <c r="I87" s="505" t="s">
        <v>110</v>
      </c>
      <c r="J87" s="505" t="s">
        <v>111</v>
      </c>
      <c r="K87" s="46" t="s">
        <v>112</v>
      </c>
      <c r="L87" s="46" t="s">
        <v>113</v>
      </c>
      <c r="M87" s="522" t="s">
        <v>119</v>
      </c>
      <c r="N87" s="28"/>
      <c r="O87" s="28"/>
    </row>
    <row r="88" spans="1:15" ht="15.75">
      <c r="A88" s="426"/>
      <c r="B88" s="38" t="str">
        <f>$B$20</f>
        <v>Other Livestock #2</v>
      </c>
      <c r="C88" s="529">
        <v>38852</v>
      </c>
      <c r="D88" s="530">
        <v>39005</v>
      </c>
      <c r="E88" s="521">
        <f>D88-C88</f>
        <v>153</v>
      </c>
      <c r="F88" s="523">
        <v>0</v>
      </c>
      <c r="G88" s="519">
        <f>E88/30*F88*$D$20</f>
        <v>0</v>
      </c>
      <c r="H88" s="506"/>
      <c r="I88" s="531"/>
      <c r="J88" s="530"/>
      <c r="K88" s="521">
        <f>J88-I88</f>
        <v>0</v>
      </c>
      <c r="L88" s="523">
        <v>0</v>
      </c>
      <c r="M88" s="510">
        <f>K88*L88*$E$20/2000</f>
        <v>0</v>
      </c>
      <c r="N88" s="28"/>
      <c r="O88" s="28"/>
    </row>
    <row r="89" spans="1:15" ht="15.75">
      <c r="A89" s="426"/>
      <c r="B89" s="38" t="str">
        <f>$B$20</f>
        <v>Other Livestock #2</v>
      </c>
      <c r="C89" s="532">
        <v>38852</v>
      </c>
      <c r="D89" s="533">
        <v>39005</v>
      </c>
      <c r="E89" s="521">
        <f>D89-C89</f>
        <v>153</v>
      </c>
      <c r="F89" s="524">
        <v>0</v>
      </c>
      <c r="G89" s="519">
        <f>E89/30*F89*$D$20</f>
        <v>0</v>
      </c>
      <c r="H89" s="506"/>
      <c r="I89" s="534"/>
      <c r="J89" s="533"/>
      <c r="K89" s="521">
        <f>J89-I89</f>
        <v>0</v>
      </c>
      <c r="L89" s="524">
        <v>0</v>
      </c>
      <c r="M89" s="510">
        <f>K89*L89*$E$20/2000</f>
        <v>0</v>
      </c>
      <c r="N89" s="28"/>
      <c r="O89" s="28"/>
    </row>
    <row r="90" spans="1:15" ht="16.5" thickBot="1">
      <c r="A90" s="426"/>
      <c r="B90" s="38" t="str">
        <f>$B$20</f>
        <v>Other Livestock #2</v>
      </c>
      <c r="C90" s="535"/>
      <c r="D90" s="536"/>
      <c r="E90" s="521">
        <f>D90-C90</f>
        <v>0</v>
      </c>
      <c r="F90" s="525">
        <v>0</v>
      </c>
      <c r="G90" s="515">
        <f>E90/30*F90*$D$20</f>
        <v>0</v>
      </c>
      <c r="H90" s="506"/>
      <c r="I90" s="537"/>
      <c r="J90" s="536"/>
      <c r="K90" s="521">
        <f>J90-I90</f>
        <v>0</v>
      </c>
      <c r="L90" s="525">
        <v>0</v>
      </c>
      <c r="M90" s="515">
        <f>K90*L90*$E$20/2000</f>
        <v>0</v>
      </c>
      <c r="N90" s="28"/>
      <c r="O90" s="28"/>
    </row>
    <row r="91" spans="1:15" ht="16.5" thickTop="1">
      <c r="A91" s="426"/>
      <c r="B91" s="516"/>
      <c r="C91" s="517"/>
      <c r="D91" s="517"/>
      <c r="E91" s="518" t="s">
        <v>570</v>
      </c>
      <c r="F91" s="527" t="str">
        <f>B20</f>
        <v>Other Livestock #2</v>
      </c>
      <c r="G91" s="519">
        <f>SUM(G88:G90)</f>
        <v>0</v>
      </c>
      <c r="H91" s="389"/>
      <c r="I91" s="389"/>
      <c r="J91" s="476"/>
      <c r="K91" s="520" t="s">
        <v>571</v>
      </c>
      <c r="L91" s="528" t="str">
        <f>B20</f>
        <v>Other Livestock #2</v>
      </c>
      <c r="M91" s="510">
        <f>SUM(M88:M90)</f>
        <v>0</v>
      </c>
      <c r="N91" s="28"/>
      <c r="O91" s="28"/>
    </row>
    <row r="92" spans="1:15" ht="15.75">
      <c r="A92" s="426"/>
      <c r="B92" s="516"/>
      <c r="C92" s="517"/>
      <c r="D92" s="517"/>
      <c r="E92" s="518"/>
      <c r="F92" s="527"/>
      <c r="G92" s="519"/>
      <c r="H92" s="389"/>
      <c r="I92" s="389"/>
      <c r="J92" s="476"/>
      <c r="K92" s="520"/>
      <c r="L92" s="528"/>
      <c r="M92" s="510"/>
      <c r="N92" s="28"/>
      <c r="O92" s="28"/>
    </row>
    <row r="93" spans="1:15" ht="15.75">
      <c r="A93" s="426"/>
      <c r="B93" s="516"/>
      <c r="C93" s="505" t="s">
        <v>110</v>
      </c>
      <c r="D93" s="505" t="s">
        <v>111</v>
      </c>
      <c r="E93" s="46" t="s">
        <v>112</v>
      </c>
      <c r="F93" s="46" t="s">
        <v>113</v>
      </c>
      <c r="G93" s="29" t="s">
        <v>362</v>
      </c>
      <c r="H93" s="506"/>
      <c r="I93" s="505" t="s">
        <v>110</v>
      </c>
      <c r="J93" s="505" t="s">
        <v>111</v>
      </c>
      <c r="K93" s="46" t="s">
        <v>112</v>
      </c>
      <c r="L93" s="46" t="s">
        <v>113</v>
      </c>
      <c r="M93" s="522" t="s">
        <v>119</v>
      </c>
      <c r="N93" s="28"/>
      <c r="O93" s="28"/>
    </row>
    <row r="94" spans="1:15" ht="15.75">
      <c r="A94" s="426"/>
      <c r="B94" s="38" t="str">
        <f>$B$21</f>
        <v>Other Livestock #3</v>
      </c>
      <c r="C94" s="529">
        <v>38852</v>
      </c>
      <c r="D94" s="530">
        <v>39005</v>
      </c>
      <c r="E94" s="521">
        <f>D94-C94</f>
        <v>153</v>
      </c>
      <c r="F94" s="523">
        <v>0</v>
      </c>
      <c r="G94" s="519">
        <f>E94/30*F94*$D$21</f>
        <v>0</v>
      </c>
      <c r="H94" s="506"/>
      <c r="I94" s="531"/>
      <c r="J94" s="530"/>
      <c r="K94" s="521">
        <f>J94-I94</f>
        <v>0</v>
      </c>
      <c r="L94" s="523">
        <v>0</v>
      </c>
      <c r="M94" s="510">
        <f>K94*L94*$E$21/2000</f>
        <v>0</v>
      </c>
      <c r="N94" s="28"/>
      <c r="O94" s="28"/>
    </row>
    <row r="95" spans="1:15" ht="15.75">
      <c r="A95" s="426"/>
      <c r="B95" s="38" t="str">
        <f>$B$21</f>
        <v>Other Livestock #3</v>
      </c>
      <c r="C95" s="532">
        <v>38852</v>
      </c>
      <c r="D95" s="533">
        <v>39005</v>
      </c>
      <c r="E95" s="521">
        <f>D95-C95</f>
        <v>153</v>
      </c>
      <c r="F95" s="524">
        <v>0</v>
      </c>
      <c r="G95" s="519">
        <f>E95/30*F95*$D$21</f>
        <v>0</v>
      </c>
      <c r="H95" s="506"/>
      <c r="I95" s="534"/>
      <c r="J95" s="533"/>
      <c r="K95" s="521">
        <f>J95-I95</f>
        <v>0</v>
      </c>
      <c r="L95" s="524">
        <v>0</v>
      </c>
      <c r="M95" s="510">
        <f>K95*L95*$E$21/2000</f>
        <v>0</v>
      </c>
      <c r="N95" s="28"/>
      <c r="O95" s="28"/>
    </row>
    <row r="96" spans="1:15" ht="16.5" thickBot="1">
      <c r="A96" s="426"/>
      <c r="B96" s="38" t="str">
        <f>$B$21</f>
        <v>Other Livestock #3</v>
      </c>
      <c r="C96" s="535"/>
      <c r="D96" s="536"/>
      <c r="E96" s="521">
        <f>D96-C96</f>
        <v>0</v>
      </c>
      <c r="F96" s="525">
        <v>0</v>
      </c>
      <c r="G96" s="515">
        <f>E96/30*F96*$D$21</f>
        <v>0</v>
      </c>
      <c r="H96" s="506"/>
      <c r="I96" s="537"/>
      <c r="J96" s="536"/>
      <c r="K96" s="521">
        <f>J96-I96</f>
        <v>0</v>
      </c>
      <c r="L96" s="525">
        <v>0</v>
      </c>
      <c r="M96" s="515">
        <f>K96*L96*$E$21/2000</f>
        <v>0</v>
      </c>
      <c r="N96" s="28"/>
      <c r="O96" s="28"/>
    </row>
    <row r="97" spans="1:15" ht="16.5" thickTop="1">
      <c r="A97" s="426"/>
      <c r="B97" s="516"/>
      <c r="C97" s="517"/>
      <c r="D97" s="517"/>
      <c r="E97" s="518" t="s">
        <v>570</v>
      </c>
      <c r="F97" s="527" t="str">
        <f>B21</f>
        <v>Other Livestock #3</v>
      </c>
      <c r="G97" s="519">
        <f>SUM(G94:G96)</f>
        <v>0</v>
      </c>
      <c r="H97" s="389"/>
      <c r="I97" s="389"/>
      <c r="J97" s="476"/>
      <c r="K97" s="520" t="s">
        <v>571</v>
      </c>
      <c r="L97" s="528" t="str">
        <f>B21</f>
        <v>Other Livestock #3</v>
      </c>
      <c r="M97" s="510">
        <f>SUM(M94:M96)</f>
        <v>0</v>
      </c>
      <c r="N97" s="28"/>
      <c r="O97" s="28"/>
    </row>
    <row r="98" spans="1:15" ht="15.75">
      <c r="A98" s="426"/>
      <c r="B98" s="516"/>
      <c r="C98" s="517"/>
      <c r="D98" s="517"/>
      <c r="E98" s="521"/>
      <c r="F98" s="518"/>
      <c r="G98" s="519"/>
      <c r="H98" s="389"/>
      <c r="I98" s="389"/>
      <c r="J98" s="476"/>
      <c r="K98" s="520"/>
      <c r="L98" s="528"/>
      <c r="M98" s="510"/>
      <c r="N98" s="28"/>
      <c r="O98" s="28"/>
    </row>
    <row r="99" spans="1:15" ht="15.75">
      <c r="A99" s="426"/>
      <c r="B99" s="516"/>
      <c r="C99" s="505" t="s">
        <v>110</v>
      </c>
      <c r="D99" s="505" t="s">
        <v>111</v>
      </c>
      <c r="E99" s="46" t="s">
        <v>112</v>
      </c>
      <c r="F99" s="46" t="s">
        <v>113</v>
      </c>
      <c r="G99" s="29" t="s">
        <v>362</v>
      </c>
      <c r="H99" s="506"/>
      <c r="I99" s="505" t="s">
        <v>110</v>
      </c>
      <c r="J99" s="505" t="s">
        <v>111</v>
      </c>
      <c r="K99" s="46" t="s">
        <v>112</v>
      </c>
      <c r="L99" s="46" t="s">
        <v>113</v>
      </c>
      <c r="M99" s="522" t="s">
        <v>119</v>
      </c>
      <c r="N99" s="28"/>
      <c r="O99" s="28"/>
    </row>
    <row r="100" spans="1:15" ht="15.75">
      <c r="A100" s="481" t="s">
        <v>558</v>
      </c>
      <c r="B100" s="28" t="str">
        <f>$B$22</f>
        <v>Calves</v>
      </c>
      <c r="C100" s="529">
        <v>38899</v>
      </c>
      <c r="D100" s="530">
        <v>39005</v>
      </c>
      <c r="E100" s="521">
        <f>D100-C100</f>
        <v>106</v>
      </c>
      <c r="F100" s="523">
        <f>80*0.95</f>
        <v>76</v>
      </c>
      <c r="G100" s="519">
        <f>E100/30*F100*$D$22</f>
        <v>161.11999999999998</v>
      </c>
      <c r="H100" s="506"/>
      <c r="I100" s="531"/>
      <c r="J100" s="530"/>
      <c r="K100" s="521">
        <f>J100-I100</f>
        <v>0</v>
      </c>
      <c r="L100" s="523">
        <v>0</v>
      </c>
      <c r="M100" s="510">
        <f>K100*L100*$E$22/2000</f>
        <v>0</v>
      </c>
      <c r="N100" s="28"/>
      <c r="O100" s="28"/>
    </row>
    <row r="101" spans="1:15" ht="15.75">
      <c r="A101" s="426"/>
      <c r="B101" s="28" t="str">
        <f>$B$22</f>
        <v>Calves</v>
      </c>
      <c r="C101" s="532"/>
      <c r="D101" s="533"/>
      <c r="E101" s="521">
        <f>D101-C101</f>
        <v>0</v>
      </c>
      <c r="F101" s="524">
        <v>0</v>
      </c>
      <c r="G101" s="519">
        <f>E101/30*F101*$D$22</f>
        <v>0</v>
      </c>
      <c r="H101" s="506"/>
      <c r="I101" s="534"/>
      <c r="J101" s="533"/>
      <c r="K101" s="521">
        <f>J101-I101</f>
        <v>0</v>
      </c>
      <c r="L101" s="524">
        <v>0</v>
      </c>
      <c r="M101" s="510">
        <f>K101*L101*$E$22/2000</f>
        <v>0</v>
      </c>
      <c r="N101" s="28"/>
      <c r="O101" s="28"/>
    </row>
    <row r="102" spans="1:15" ht="16.5" thickBot="1">
      <c r="A102" s="426"/>
      <c r="B102" s="28" t="str">
        <f>$B$22</f>
        <v>Calves</v>
      </c>
      <c r="C102" s="535"/>
      <c r="D102" s="536"/>
      <c r="E102" s="521">
        <f>D102-C102</f>
        <v>0</v>
      </c>
      <c r="F102" s="525">
        <v>0</v>
      </c>
      <c r="G102" s="526">
        <f>E102/30*F102*$D$22</f>
        <v>0</v>
      </c>
      <c r="H102" s="506"/>
      <c r="I102" s="537"/>
      <c r="J102" s="536"/>
      <c r="K102" s="521">
        <f>J102-I102</f>
        <v>0</v>
      </c>
      <c r="L102" s="525">
        <v>0</v>
      </c>
      <c r="M102" s="515">
        <f>K102*L102*$E$22/2000</f>
        <v>0</v>
      </c>
      <c r="N102" s="28"/>
      <c r="O102" s="28"/>
    </row>
    <row r="103" spans="1:15" ht="16.5" thickTop="1">
      <c r="A103" s="426"/>
      <c r="B103" s="516"/>
      <c r="C103" s="517"/>
      <c r="D103" s="517"/>
      <c r="E103" s="518" t="s">
        <v>570</v>
      </c>
      <c r="F103" s="527" t="str">
        <f>B22</f>
        <v>Calves</v>
      </c>
      <c r="G103" s="519">
        <f>SUM(G100:G102)</f>
        <v>161.11999999999998</v>
      </c>
      <c r="H103" s="389"/>
      <c r="I103" s="540"/>
      <c r="J103" s="540"/>
      <c r="K103" s="520" t="s">
        <v>571</v>
      </c>
      <c r="L103" s="527" t="str">
        <f>B22</f>
        <v>Calves</v>
      </c>
      <c r="M103" s="510">
        <f>SUM(M100:M102)</f>
        <v>0</v>
      </c>
      <c r="N103" s="28"/>
      <c r="O103" s="28"/>
    </row>
    <row r="104" spans="1:15" ht="15.75">
      <c r="A104" s="426"/>
      <c r="B104" s="516"/>
      <c r="C104" s="517"/>
      <c r="D104" s="517"/>
      <c r="E104" s="521"/>
      <c r="F104" s="518"/>
      <c r="G104" s="519"/>
      <c r="H104" s="389"/>
      <c r="I104" s="541"/>
      <c r="J104" s="541"/>
      <c r="K104" s="520"/>
      <c r="L104" s="527"/>
      <c r="M104" s="510"/>
      <c r="N104" s="28"/>
      <c r="O104" s="28"/>
    </row>
    <row r="105" spans="1:15" ht="15.75">
      <c r="A105" s="426"/>
      <c r="B105" s="516"/>
      <c r="C105" s="505" t="s">
        <v>110</v>
      </c>
      <c r="D105" s="505" t="s">
        <v>111</v>
      </c>
      <c r="E105" s="46" t="s">
        <v>112</v>
      </c>
      <c r="F105" s="46" t="s">
        <v>113</v>
      </c>
      <c r="G105" s="29" t="s">
        <v>362</v>
      </c>
      <c r="H105" s="506"/>
      <c r="I105" s="505" t="s">
        <v>110</v>
      </c>
      <c r="J105" s="505" t="s">
        <v>111</v>
      </c>
      <c r="K105" s="46" t="s">
        <v>112</v>
      </c>
      <c r="L105" s="46" t="s">
        <v>113</v>
      </c>
      <c r="M105" s="522" t="s">
        <v>119</v>
      </c>
      <c r="N105" s="28"/>
      <c r="O105" s="28"/>
    </row>
    <row r="106" spans="1:15" ht="15.75">
      <c r="A106" s="426"/>
      <c r="B106" s="38" t="str">
        <f>$B$23</f>
        <v>Deer</v>
      </c>
      <c r="C106" s="529"/>
      <c r="D106" s="530"/>
      <c r="E106" s="521">
        <f>D106-C106</f>
        <v>0</v>
      </c>
      <c r="F106" s="523">
        <v>0</v>
      </c>
      <c r="G106" s="519">
        <f>E106/30*F106*$D$23</f>
        <v>0</v>
      </c>
      <c r="H106" s="506"/>
      <c r="I106" s="531"/>
      <c r="J106" s="530"/>
      <c r="K106" s="521">
        <f>J106-I106</f>
        <v>0</v>
      </c>
      <c r="L106" s="523">
        <v>0</v>
      </c>
      <c r="M106" s="510">
        <f>K106*L106*$E$23/2000</f>
        <v>0</v>
      </c>
      <c r="N106" s="28"/>
      <c r="O106" s="28"/>
    </row>
    <row r="107" spans="1:15" ht="15.75">
      <c r="A107" s="426"/>
      <c r="B107" s="38" t="str">
        <f>$B$23</f>
        <v>Deer</v>
      </c>
      <c r="C107" s="532"/>
      <c r="D107" s="533"/>
      <c r="E107" s="521">
        <f>D107-C107</f>
        <v>0</v>
      </c>
      <c r="F107" s="524">
        <v>0</v>
      </c>
      <c r="G107" s="519">
        <f>E107/30*F107*$D$23</f>
        <v>0</v>
      </c>
      <c r="H107" s="506"/>
      <c r="I107" s="534"/>
      <c r="J107" s="533"/>
      <c r="K107" s="521">
        <f>J107-I107</f>
        <v>0</v>
      </c>
      <c r="L107" s="524">
        <v>0</v>
      </c>
      <c r="M107" s="510">
        <f>K107*L107*$E$23/2000</f>
        <v>0</v>
      </c>
      <c r="N107" s="28"/>
      <c r="O107" s="28"/>
    </row>
    <row r="108" spans="1:15" ht="16.5" thickBot="1">
      <c r="A108" s="426"/>
      <c r="B108" s="38" t="str">
        <f>$B$23</f>
        <v>Deer</v>
      </c>
      <c r="C108" s="535"/>
      <c r="D108" s="536"/>
      <c r="E108" s="521">
        <f>D108-C108</f>
        <v>0</v>
      </c>
      <c r="F108" s="525">
        <v>0</v>
      </c>
      <c r="G108" s="526">
        <f>E108/30*F108*$D$23</f>
        <v>0</v>
      </c>
      <c r="H108" s="506"/>
      <c r="I108" s="537"/>
      <c r="J108" s="536"/>
      <c r="K108" s="521">
        <f>J108-I108</f>
        <v>0</v>
      </c>
      <c r="L108" s="525">
        <v>0</v>
      </c>
      <c r="M108" s="515">
        <f>K108*L108*$E$23/2000</f>
        <v>0</v>
      </c>
      <c r="N108" s="28"/>
      <c r="O108" s="28"/>
    </row>
    <row r="109" spans="1:15" ht="16.5" thickTop="1">
      <c r="A109" s="426"/>
      <c r="B109" s="426"/>
      <c r="C109" s="517"/>
      <c r="D109" s="517"/>
      <c r="E109" s="518" t="s">
        <v>570</v>
      </c>
      <c r="F109" s="527" t="str">
        <f>B23</f>
        <v>Deer</v>
      </c>
      <c r="G109" s="519">
        <f>SUM(G106:G108)</f>
        <v>0</v>
      </c>
      <c r="H109" s="389"/>
      <c r="I109" s="389"/>
      <c r="J109" s="476"/>
      <c r="K109" s="520" t="s">
        <v>571</v>
      </c>
      <c r="L109" s="528" t="str">
        <f>B23</f>
        <v>Deer</v>
      </c>
      <c r="M109" s="510">
        <f>SUM(M106:M108)</f>
        <v>0</v>
      </c>
      <c r="N109" s="28"/>
      <c r="O109" s="28"/>
    </row>
    <row r="110" spans="1:15" ht="15.75">
      <c r="A110" s="426"/>
      <c r="B110" s="426"/>
      <c r="C110" s="517"/>
      <c r="D110" s="517"/>
      <c r="E110" s="521"/>
      <c r="F110" s="518"/>
      <c r="G110" s="519"/>
      <c r="H110" s="389"/>
      <c r="I110" s="389"/>
      <c r="J110" s="476"/>
      <c r="K110" s="520"/>
      <c r="L110" s="528"/>
      <c r="M110" s="510"/>
      <c r="N110" s="28"/>
      <c r="O110" s="28"/>
    </row>
    <row r="111" spans="1:15" ht="15.75">
      <c r="A111" s="426"/>
      <c r="B111" s="516"/>
      <c r="C111" s="505" t="s">
        <v>110</v>
      </c>
      <c r="D111" s="505" t="s">
        <v>111</v>
      </c>
      <c r="E111" s="46" t="s">
        <v>112</v>
      </c>
      <c r="F111" s="46" t="s">
        <v>113</v>
      </c>
      <c r="G111" s="29" t="s">
        <v>362</v>
      </c>
      <c r="H111" s="506"/>
      <c r="I111" s="505" t="s">
        <v>110</v>
      </c>
      <c r="J111" s="505" t="s">
        <v>111</v>
      </c>
      <c r="K111" s="46" t="s">
        <v>112</v>
      </c>
      <c r="L111" s="46" t="s">
        <v>113</v>
      </c>
      <c r="M111" s="522" t="s">
        <v>119</v>
      </c>
      <c r="N111" s="28"/>
      <c r="O111" s="28"/>
    </row>
    <row r="112" spans="1:15" ht="15.75">
      <c r="A112" s="426"/>
      <c r="B112" s="38" t="str">
        <f>$B$24</f>
        <v>Elk</v>
      </c>
      <c r="C112" s="529"/>
      <c r="D112" s="530"/>
      <c r="E112" s="521">
        <f>D112-C112</f>
        <v>0</v>
      </c>
      <c r="F112" s="523">
        <v>0</v>
      </c>
      <c r="G112" s="519">
        <f>E112/30*F112*$D$24</f>
        <v>0</v>
      </c>
      <c r="H112" s="506"/>
      <c r="I112" s="531"/>
      <c r="J112" s="530"/>
      <c r="K112" s="521">
        <f>J112-I112</f>
        <v>0</v>
      </c>
      <c r="L112" s="523">
        <v>0</v>
      </c>
      <c r="M112" s="510">
        <f>K112*L112*$E$24/2000</f>
        <v>0</v>
      </c>
      <c r="N112" s="28"/>
      <c r="O112" s="28"/>
    </row>
    <row r="113" spans="1:15" ht="15.75">
      <c r="A113" s="426"/>
      <c r="B113" s="38" t="str">
        <f>$B$24</f>
        <v>Elk</v>
      </c>
      <c r="C113" s="532"/>
      <c r="D113" s="533"/>
      <c r="E113" s="521">
        <f>D113-C113</f>
        <v>0</v>
      </c>
      <c r="F113" s="524">
        <v>0</v>
      </c>
      <c r="G113" s="519">
        <f>E113/30*F113*$D$24</f>
        <v>0</v>
      </c>
      <c r="H113" s="506"/>
      <c r="I113" s="534"/>
      <c r="J113" s="533"/>
      <c r="K113" s="521">
        <f>J113-I113</f>
        <v>0</v>
      </c>
      <c r="L113" s="524">
        <v>0</v>
      </c>
      <c r="M113" s="510">
        <f>K113*L113*$E$24/2000</f>
        <v>0</v>
      </c>
      <c r="N113" s="28"/>
      <c r="O113" s="28"/>
    </row>
    <row r="114" spans="1:15" ht="16.5" thickBot="1">
      <c r="A114" s="426"/>
      <c r="B114" s="38" t="str">
        <f>$B$24</f>
        <v>Elk</v>
      </c>
      <c r="C114" s="535"/>
      <c r="D114" s="536"/>
      <c r="E114" s="521">
        <f>D114-C114</f>
        <v>0</v>
      </c>
      <c r="F114" s="525">
        <v>0</v>
      </c>
      <c r="G114" s="526">
        <f>E114/30*F114*$D$24</f>
        <v>0</v>
      </c>
      <c r="H114" s="506"/>
      <c r="I114" s="537"/>
      <c r="J114" s="536"/>
      <c r="K114" s="521">
        <f>J114-I114</f>
        <v>0</v>
      </c>
      <c r="L114" s="525">
        <v>0</v>
      </c>
      <c r="M114" s="515">
        <f>K114*L114*$E$24/2000</f>
        <v>0</v>
      </c>
      <c r="N114" s="28"/>
      <c r="O114" s="28"/>
    </row>
    <row r="115" spans="1:15" ht="16.5" thickTop="1">
      <c r="A115" s="426"/>
      <c r="B115" s="516"/>
      <c r="C115" s="517"/>
      <c r="D115" s="517"/>
      <c r="E115" s="518" t="s">
        <v>570</v>
      </c>
      <c r="F115" s="527" t="str">
        <f>B24</f>
        <v>Elk</v>
      </c>
      <c r="G115" s="519">
        <f>SUM(G112:G114)</f>
        <v>0</v>
      </c>
      <c r="H115" s="476"/>
      <c r="I115" s="476"/>
      <c r="J115" s="476"/>
      <c r="K115" s="520" t="s">
        <v>571</v>
      </c>
      <c r="L115" s="528" t="str">
        <f>B24</f>
        <v>Elk</v>
      </c>
      <c r="M115" s="510">
        <f>SUM(M112:M114)</f>
        <v>0</v>
      </c>
      <c r="N115" s="28"/>
      <c r="O115" s="28"/>
    </row>
    <row r="116" spans="1:15" ht="15.75">
      <c r="A116" s="426"/>
      <c r="B116" s="516"/>
      <c r="C116" s="517"/>
      <c r="D116" s="517"/>
      <c r="E116" s="521"/>
      <c r="F116" s="542"/>
      <c r="G116" s="519"/>
      <c r="H116" s="476"/>
      <c r="I116" s="476"/>
      <c r="J116" s="476"/>
      <c r="K116" s="476"/>
      <c r="L116" s="476"/>
      <c r="M116" s="34"/>
      <c r="N116" s="28"/>
      <c r="O116" s="28"/>
    </row>
    <row r="117" spans="2:15" ht="12.75">
      <c r="B117" s="28"/>
      <c r="C117" s="67"/>
      <c r="D117" s="67"/>
      <c r="E117" s="543"/>
      <c r="F117" s="544" t="s">
        <v>114</v>
      </c>
      <c r="G117" s="545">
        <f>G55+G61+G67+G73+G79+G85+G91+G97+G103+G109+G115</f>
        <v>2040.1799999999998</v>
      </c>
      <c r="H117" s="476"/>
      <c r="I117" s="28"/>
      <c r="J117" s="67"/>
      <c r="K117" s="67"/>
      <c r="L117" s="544" t="s">
        <v>122</v>
      </c>
      <c r="M117" s="545">
        <f>M55+M61+M67+M73+M79+M85+M91+M97+M103+M109+M115</f>
        <v>273.9</v>
      </c>
      <c r="N117" s="28"/>
      <c r="O117" s="28"/>
    </row>
    <row r="118" spans="1:15" ht="15.75">
      <c r="A118" s="426"/>
      <c r="B118" s="28"/>
      <c r="C118" s="28"/>
      <c r="D118" s="28"/>
      <c r="E118" s="509"/>
      <c r="F118" s="79"/>
      <c r="G118" s="546"/>
      <c r="H118" s="28"/>
      <c r="I118" s="28"/>
      <c r="J118" s="28"/>
      <c r="K118" s="28"/>
      <c r="L118" s="28"/>
      <c r="M118" s="28"/>
      <c r="N118" s="28"/>
      <c r="O118" s="28"/>
    </row>
    <row r="119" spans="1:15" ht="15.75">
      <c r="A119" s="426"/>
      <c r="B119" s="28"/>
      <c r="C119" s="28"/>
      <c r="D119" s="28"/>
      <c r="E119" s="509"/>
      <c r="F119" s="79"/>
      <c r="G119" s="546"/>
      <c r="H119" s="28"/>
      <c r="I119" s="28"/>
      <c r="J119" s="28"/>
      <c r="K119" s="28"/>
      <c r="L119" s="28"/>
      <c r="M119" s="28"/>
      <c r="N119" s="28"/>
      <c r="O119" s="28"/>
    </row>
    <row r="120" spans="1:15" ht="15.75">
      <c r="A120" s="426"/>
      <c r="B120" s="28"/>
      <c r="C120" s="28"/>
      <c r="D120" s="28"/>
      <c r="E120" s="28"/>
      <c r="F120" s="28"/>
      <c r="G120" s="28"/>
      <c r="H120" s="28"/>
      <c r="I120" s="28"/>
      <c r="J120" s="28"/>
      <c r="K120" s="28"/>
      <c r="L120" s="28"/>
      <c r="M120" s="28"/>
      <c r="N120" s="28"/>
      <c r="O120" s="28"/>
    </row>
    <row r="121" spans="1:15" ht="15.75">
      <c r="A121" s="481" t="s">
        <v>558</v>
      </c>
      <c r="B121" s="651" t="s">
        <v>572</v>
      </c>
      <c r="C121" s="652"/>
      <c r="D121" s="652"/>
      <c r="E121" s="652"/>
      <c r="F121" s="652"/>
      <c r="G121" s="652"/>
      <c r="H121" s="652"/>
      <c r="I121" s="652"/>
      <c r="J121" s="652"/>
      <c r="K121" s="28"/>
      <c r="L121" s="28"/>
      <c r="M121" s="28"/>
      <c r="N121" s="28"/>
      <c r="O121" s="28"/>
    </row>
    <row r="122" spans="1:15" ht="15.75">
      <c r="A122" s="426"/>
      <c r="B122" s="28"/>
      <c r="C122" s="28" t="s">
        <v>123</v>
      </c>
      <c r="D122" s="28"/>
      <c r="E122" s="647" t="s">
        <v>573</v>
      </c>
      <c r="F122" s="647"/>
      <c r="G122" s="34"/>
      <c r="H122" s="28"/>
      <c r="I122" s="34"/>
      <c r="J122" s="34" t="s">
        <v>101</v>
      </c>
      <c r="K122" s="28"/>
      <c r="L122" s="28"/>
      <c r="M122" s="28"/>
      <c r="N122" s="28"/>
      <c r="O122" s="28"/>
    </row>
    <row r="123" spans="1:15" ht="15.75">
      <c r="A123" s="426"/>
      <c r="B123" s="28" t="s">
        <v>109</v>
      </c>
      <c r="C123" s="28" t="s">
        <v>124</v>
      </c>
      <c r="D123" s="547" t="s">
        <v>558</v>
      </c>
      <c r="E123" s="75" t="s">
        <v>105</v>
      </c>
      <c r="F123" s="75" t="s">
        <v>106</v>
      </c>
      <c r="G123" s="34" t="s">
        <v>107</v>
      </c>
      <c r="H123" s="28"/>
      <c r="I123" s="34" t="s">
        <v>108</v>
      </c>
      <c r="J123" s="34" t="s">
        <v>125</v>
      </c>
      <c r="K123" s="28"/>
      <c r="L123" s="28"/>
      <c r="M123" s="28"/>
      <c r="N123" s="28"/>
      <c r="O123" s="28"/>
    </row>
    <row r="124" spans="1:15" ht="15.75">
      <c r="A124" s="426"/>
      <c r="B124" s="24" t="s">
        <v>127</v>
      </c>
      <c r="C124" s="548" t="str">
        <f aca="true" t="shared" si="3" ref="C124:C143">$B$14</f>
        <v>Cows</v>
      </c>
      <c r="D124" s="28"/>
      <c r="E124" s="507">
        <v>38838</v>
      </c>
      <c r="F124" s="508">
        <v>39036</v>
      </c>
      <c r="G124" s="509">
        <f aca="true" t="shared" si="4" ref="G124:G140">F124-E124</f>
        <v>198</v>
      </c>
      <c r="H124" s="28"/>
      <c r="I124" s="20">
        <v>80</v>
      </c>
      <c r="J124" s="549">
        <f aca="true" t="shared" si="5" ref="J124:J143">G124/30*I124*$D$14</f>
        <v>633.6</v>
      </c>
      <c r="K124" s="28"/>
      <c r="L124" s="28"/>
      <c r="M124" s="28"/>
      <c r="N124" s="28"/>
      <c r="O124" s="28"/>
    </row>
    <row r="125" spans="1:15" ht="15.75">
      <c r="A125" s="426"/>
      <c r="B125" s="25" t="s">
        <v>127</v>
      </c>
      <c r="C125" s="550" t="str">
        <f t="shared" si="3"/>
        <v>Cows</v>
      </c>
      <c r="D125" s="28"/>
      <c r="E125" s="511"/>
      <c r="F125" s="512"/>
      <c r="G125" s="509">
        <f t="shared" si="4"/>
        <v>0</v>
      </c>
      <c r="H125" s="28"/>
      <c r="I125" s="22">
        <v>0</v>
      </c>
      <c r="J125" s="549">
        <f t="shared" si="5"/>
        <v>0</v>
      </c>
      <c r="K125" s="28"/>
      <c r="L125" s="28"/>
      <c r="M125" s="28"/>
      <c r="N125" s="28"/>
      <c r="O125" s="28"/>
    </row>
    <row r="126" spans="1:15" ht="15.75">
      <c r="A126" s="426"/>
      <c r="B126" s="25" t="s">
        <v>127</v>
      </c>
      <c r="C126" s="550" t="str">
        <f t="shared" si="3"/>
        <v>Cows</v>
      </c>
      <c r="D126" s="28"/>
      <c r="E126" s="511"/>
      <c r="F126" s="512"/>
      <c r="G126" s="509">
        <f t="shared" si="4"/>
        <v>0</v>
      </c>
      <c r="H126" s="28"/>
      <c r="I126" s="22">
        <v>0</v>
      </c>
      <c r="J126" s="549">
        <f t="shared" si="5"/>
        <v>0</v>
      </c>
      <c r="K126" s="28"/>
      <c r="L126" s="28"/>
      <c r="M126" s="28"/>
      <c r="N126" s="28"/>
      <c r="O126" s="28"/>
    </row>
    <row r="127" spans="1:15" ht="15.75">
      <c r="A127" s="426"/>
      <c r="B127" s="25" t="s">
        <v>127</v>
      </c>
      <c r="C127" s="550" t="str">
        <f t="shared" si="3"/>
        <v>Cows</v>
      </c>
      <c r="D127" s="28"/>
      <c r="E127" s="511"/>
      <c r="F127" s="512"/>
      <c r="G127" s="509">
        <f t="shared" si="4"/>
        <v>0</v>
      </c>
      <c r="H127" s="28"/>
      <c r="I127" s="22">
        <v>0</v>
      </c>
      <c r="J127" s="549">
        <f t="shared" si="5"/>
        <v>0</v>
      </c>
      <c r="K127" s="28"/>
      <c r="L127" s="28"/>
      <c r="M127" s="28"/>
      <c r="N127" s="28"/>
      <c r="O127" s="28"/>
    </row>
    <row r="128" spans="1:15" ht="15.75">
      <c r="A128" s="426"/>
      <c r="B128" s="25" t="s">
        <v>127</v>
      </c>
      <c r="C128" s="550" t="str">
        <f t="shared" si="3"/>
        <v>Cows</v>
      </c>
      <c r="D128" s="28"/>
      <c r="E128" s="511"/>
      <c r="F128" s="512"/>
      <c r="G128" s="509">
        <f t="shared" si="4"/>
        <v>0</v>
      </c>
      <c r="H128" s="28"/>
      <c r="I128" s="22">
        <v>0</v>
      </c>
      <c r="J128" s="549">
        <f t="shared" si="5"/>
        <v>0</v>
      </c>
      <c r="K128" s="28"/>
      <c r="L128" s="28"/>
      <c r="M128" s="28"/>
      <c r="N128" s="28"/>
      <c r="O128" s="28"/>
    </row>
    <row r="129" spans="1:15" ht="15.75">
      <c r="A129" s="426"/>
      <c r="B129" s="25" t="s">
        <v>127</v>
      </c>
      <c r="C129" s="550" t="str">
        <f t="shared" si="3"/>
        <v>Cows</v>
      </c>
      <c r="D129" s="28"/>
      <c r="E129" s="511"/>
      <c r="F129" s="512"/>
      <c r="G129" s="509">
        <f t="shared" si="4"/>
        <v>0</v>
      </c>
      <c r="H129" s="28"/>
      <c r="I129" s="22">
        <v>0</v>
      </c>
      <c r="J129" s="549">
        <f t="shared" si="5"/>
        <v>0</v>
      </c>
      <c r="K129" s="28"/>
      <c r="L129" s="28"/>
      <c r="M129" s="28"/>
      <c r="N129" s="28"/>
      <c r="O129" s="28"/>
    </row>
    <row r="130" spans="1:15" ht="15.75">
      <c r="A130" s="426"/>
      <c r="B130" s="25" t="s">
        <v>127</v>
      </c>
      <c r="C130" s="550" t="str">
        <f t="shared" si="3"/>
        <v>Cows</v>
      </c>
      <c r="D130" s="28"/>
      <c r="E130" s="511"/>
      <c r="F130" s="512"/>
      <c r="G130" s="509">
        <f t="shared" si="4"/>
        <v>0</v>
      </c>
      <c r="H130" s="28"/>
      <c r="I130" s="22">
        <v>0</v>
      </c>
      <c r="J130" s="549">
        <f t="shared" si="5"/>
        <v>0</v>
      </c>
      <c r="K130" s="28"/>
      <c r="L130" s="28"/>
      <c r="M130" s="28"/>
      <c r="N130" s="28"/>
      <c r="O130" s="28"/>
    </row>
    <row r="131" spans="1:15" ht="15.75">
      <c r="A131" s="426"/>
      <c r="B131" s="25" t="s">
        <v>127</v>
      </c>
      <c r="C131" s="550" t="str">
        <f t="shared" si="3"/>
        <v>Cows</v>
      </c>
      <c r="D131" s="28"/>
      <c r="E131" s="511"/>
      <c r="F131" s="512"/>
      <c r="G131" s="509">
        <f t="shared" si="4"/>
        <v>0</v>
      </c>
      <c r="H131" s="28"/>
      <c r="I131" s="22">
        <v>0</v>
      </c>
      <c r="J131" s="549">
        <f t="shared" si="5"/>
        <v>0</v>
      </c>
      <c r="K131" s="28"/>
      <c r="L131" s="28"/>
      <c r="M131" s="28"/>
      <c r="N131" s="28"/>
      <c r="O131" s="28"/>
    </row>
    <row r="132" spans="1:15" ht="15.75">
      <c r="A132" s="426"/>
      <c r="B132" s="25" t="s">
        <v>127</v>
      </c>
      <c r="C132" s="550" t="str">
        <f t="shared" si="3"/>
        <v>Cows</v>
      </c>
      <c r="D132" s="28"/>
      <c r="E132" s="511"/>
      <c r="F132" s="512"/>
      <c r="G132" s="509">
        <f t="shared" si="4"/>
        <v>0</v>
      </c>
      <c r="H132" s="28"/>
      <c r="I132" s="22">
        <v>0</v>
      </c>
      <c r="J132" s="549">
        <f t="shared" si="5"/>
        <v>0</v>
      </c>
      <c r="K132" s="28"/>
      <c r="L132" s="28"/>
      <c r="M132" s="28"/>
      <c r="N132" s="28"/>
      <c r="O132" s="28"/>
    </row>
    <row r="133" spans="1:15" ht="15.75">
      <c r="A133" s="426"/>
      <c r="B133" s="25" t="s">
        <v>127</v>
      </c>
      <c r="C133" s="550" t="str">
        <f t="shared" si="3"/>
        <v>Cows</v>
      </c>
      <c r="D133" s="28"/>
      <c r="E133" s="511"/>
      <c r="F133" s="512"/>
      <c r="G133" s="509">
        <f t="shared" si="4"/>
        <v>0</v>
      </c>
      <c r="H133" s="28"/>
      <c r="I133" s="22">
        <v>0</v>
      </c>
      <c r="J133" s="549">
        <f t="shared" si="5"/>
        <v>0</v>
      </c>
      <c r="K133" s="28"/>
      <c r="L133" s="28"/>
      <c r="M133" s="28"/>
      <c r="N133" s="28"/>
      <c r="O133" s="28"/>
    </row>
    <row r="134" spans="1:15" ht="15.75">
      <c r="A134" s="426"/>
      <c r="B134" s="25" t="s">
        <v>127</v>
      </c>
      <c r="C134" s="550" t="str">
        <f t="shared" si="3"/>
        <v>Cows</v>
      </c>
      <c r="D134" s="28"/>
      <c r="E134" s="511"/>
      <c r="F134" s="512"/>
      <c r="G134" s="509">
        <f t="shared" si="4"/>
        <v>0</v>
      </c>
      <c r="H134" s="28"/>
      <c r="I134" s="22">
        <v>0</v>
      </c>
      <c r="J134" s="549">
        <f t="shared" si="5"/>
        <v>0</v>
      </c>
      <c r="K134" s="28"/>
      <c r="L134" s="28"/>
      <c r="M134" s="28"/>
      <c r="N134" s="28"/>
      <c r="O134" s="28"/>
    </row>
    <row r="135" spans="1:15" ht="15.75">
      <c r="A135" s="426"/>
      <c r="B135" s="25" t="s">
        <v>127</v>
      </c>
      <c r="C135" s="550" t="str">
        <f t="shared" si="3"/>
        <v>Cows</v>
      </c>
      <c r="D135" s="28"/>
      <c r="E135" s="511"/>
      <c r="F135" s="512"/>
      <c r="G135" s="509">
        <f t="shared" si="4"/>
        <v>0</v>
      </c>
      <c r="H135" s="28"/>
      <c r="I135" s="22">
        <v>0</v>
      </c>
      <c r="J135" s="549">
        <f t="shared" si="5"/>
        <v>0</v>
      </c>
      <c r="K135" s="28"/>
      <c r="L135" s="28"/>
      <c r="M135" s="28"/>
      <c r="N135" s="28"/>
      <c r="O135" s="28"/>
    </row>
    <row r="136" spans="1:15" ht="15.75">
      <c r="A136" s="426"/>
      <c r="B136" s="25" t="s">
        <v>127</v>
      </c>
      <c r="C136" s="550" t="str">
        <f t="shared" si="3"/>
        <v>Cows</v>
      </c>
      <c r="D136" s="28"/>
      <c r="E136" s="511"/>
      <c r="F136" s="512"/>
      <c r="G136" s="509">
        <f>F136-E136</f>
        <v>0</v>
      </c>
      <c r="H136" s="28"/>
      <c r="I136" s="22">
        <v>0</v>
      </c>
      <c r="J136" s="549">
        <f t="shared" si="5"/>
        <v>0</v>
      </c>
      <c r="K136" s="28"/>
      <c r="L136" s="28"/>
      <c r="M136" s="28"/>
      <c r="N136" s="28"/>
      <c r="O136" s="28"/>
    </row>
    <row r="137" spans="1:15" ht="15.75">
      <c r="A137" s="426"/>
      <c r="B137" s="25" t="s">
        <v>127</v>
      </c>
      <c r="C137" s="550" t="str">
        <f t="shared" si="3"/>
        <v>Cows</v>
      </c>
      <c r="D137" s="28"/>
      <c r="E137" s="511"/>
      <c r="F137" s="512"/>
      <c r="G137" s="509">
        <f>F137-E137</f>
        <v>0</v>
      </c>
      <c r="H137" s="28"/>
      <c r="I137" s="22">
        <v>0</v>
      </c>
      <c r="J137" s="549">
        <f t="shared" si="5"/>
        <v>0</v>
      </c>
      <c r="K137" s="28"/>
      <c r="L137" s="28"/>
      <c r="M137" s="28"/>
      <c r="N137" s="28"/>
      <c r="O137" s="28"/>
    </row>
    <row r="138" spans="1:15" ht="15.75">
      <c r="A138" s="426"/>
      <c r="B138" s="25" t="s">
        <v>127</v>
      </c>
      <c r="C138" s="550" t="str">
        <f t="shared" si="3"/>
        <v>Cows</v>
      </c>
      <c r="D138" s="28"/>
      <c r="E138" s="511"/>
      <c r="F138" s="512"/>
      <c r="G138" s="509">
        <f>F138-E138</f>
        <v>0</v>
      </c>
      <c r="H138" s="28"/>
      <c r="I138" s="22">
        <v>0</v>
      </c>
      <c r="J138" s="549">
        <f t="shared" si="5"/>
        <v>0</v>
      </c>
      <c r="K138" s="28"/>
      <c r="L138" s="28"/>
      <c r="M138" s="28"/>
      <c r="N138" s="28"/>
      <c r="O138" s="28"/>
    </row>
    <row r="139" spans="1:15" ht="15.75">
      <c r="A139" s="426"/>
      <c r="B139" s="25" t="s">
        <v>127</v>
      </c>
      <c r="C139" s="550" t="str">
        <f t="shared" si="3"/>
        <v>Cows</v>
      </c>
      <c r="D139" s="28"/>
      <c r="E139" s="511"/>
      <c r="F139" s="512"/>
      <c r="G139" s="509">
        <f t="shared" si="4"/>
        <v>0</v>
      </c>
      <c r="H139" s="28"/>
      <c r="I139" s="22">
        <v>0</v>
      </c>
      <c r="J139" s="549">
        <f t="shared" si="5"/>
        <v>0</v>
      </c>
      <c r="K139" s="28"/>
      <c r="L139" s="28"/>
      <c r="M139" s="28"/>
      <c r="N139" s="28"/>
      <c r="O139" s="28"/>
    </row>
    <row r="140" spans="1:15" ht="15.75">
      <c r="A140" s="426"/>
      <c r="B140" s="25" t="s">
        <v>127</v>
      </c>
      <c r="C140" s="550" t="str">
        <f t="shared" si="3"/>
        <v>Cows</v>
      </c>
      <c r="D140" s="28"/>
      <c r="E140" s="511"/>
      <c r="F140" s="512"/>
      <c r="G140" s="509">
        <f t="shared" si="4"/>
        <v>0</v>
      </c>
      <c r="H140" s="28"/>
      <c r="I140" s="22">
        <v>0</v>
      </c>
      <c r="J140" s="549">
        <f t="shared" si="5"/>
        <v>0</v>
      </c>
      <c r="K140" s="28"/>
      <c r="L140" s="28"/>
      <c r="M140" s="28"/>
      <c r="N140" s="28"/>
      <c r="O140" s="28"/>
    </row>
    <row r="141" spans="1:15" ht="15.75">
      <c r="A141" s="426"/>
      <c r="B141" s="25" t="s">
        <v>127</v>
      </c>
      <c r="C141" s="550" t="str">
        <f t="shared" si="3"/>
        <v>Cows</v>
      </c>
      <c r="D141" s="28"/>
      <c r="E141" s="511"/>
      <c r="F141" s="512"/>
      <c r="G141" s="509">
        <f>F141-E141</f>
        <v>0</v>
      </c>
      <c r="H141" s="28"/>
      <c r="I141" s="22">
        <v>0</v>
      </c>
      <c r="J141" s="549">
        <f t="shared" si="5"/>
        <v>0</v>
      </c>
      <c r="K141" s="28"/>
      <c r="L141" s="28"/>
      <c r="M141" s="28"/>
      <c r="N141" s="28"/>
      <c r="O141" s="28"/>
    </row>
    <row r="142" spans="1:15" ht="15.75">
      <c r="A142" s="426"/>
      <c r="B142" s="25" t="s">
        <v>127</v>
      </c>
      <c r="C142" s="550" t="str">
        <f t="shared" si="3"/>
        <v>Cows</v>
      </c>
      <c r="D142" s="28"/>
      <c r="E142" s="511"/>
      <c r="F142" s="512"/>
      <c r="G142" s="509">
        <f>F142-E142</f>
        <v>0</v>
      </c>
      <c r="H142" s="28"/>
      <c r="I142" s="22">
        <v>0</v>
      </c>
      <c r="J142" s="549">
        <f t="shared" si="5"/>
        <v>0</v>
      </c>
      <c r="K142" s="28"/>
      <c r="L142" s="28"/>
      <c r="M142" s="28"/>
      <c r="N142" s="28"/>
      <c r="O142" s="28"/>
    </row>
    <row r="143" spans="1:15" ht="16.5" thickBot="1">
      <c r="A143" s="426"/>
      <c r="B143" s="26" t="s">
        <v>127</v>
      </c>
      <c r="C143" s="551" t="str">
        <f t="shared" si="3"/>
        <v>Cows</v>
      </c>
      <c r="D143" s="42"/>
      <c r="E143" s="552"/>
      <c r="F143" s="553"/>
      <c r="G143" s="554">
        <f>F143-E143</f>
        <v>0</v>
      </c>
      <c r="H143" s="28"/>
      <c r="I143" s="23">
        <v>0</v>
      </c>
      <c r="J143" s="555">
        <f t="shared" si="5"/>
        <v>0</v>
      </c>
      <c r="K143" s="28"/>
      <c r="L143" s="28"/>
      <c r="M143" s="28"/>
      <c r="N143" s="28"/>
      <c r="O143" s="28"/>
    </row>
    <row r="144" spans="1:15" ht="16.5" thickTop="1">
      <c r="A144" s="426"/>
      <c r="B144" s="556"/>
      <c r="C144" s="557"/>
      <c r="D144" s="42"/>
      <c r="E144" s="558"/>
      <c r="F144" s="559" t="s">
        <v>128</v>
      </c>
      <c r="G144" s="294">
        <f>SUM(G124:G143)</f>
        <v>198</v>
      </c>
      <c r="H144" s="28"/>
      <c r="I144" s="470" t="s">
        <v>129</v>
      </c>
      <c r="J144" s="549">
        <f>SUM(J124:J143)</f>
        <v>633.6</v>
      </c>
      <c r="K144" s="28"/>
      <c r="L144" s="28"/>
      <c r="M144" s="28"/>
      <c r="N144" s="28"/>
      <c r="O144" s="28"/>
    </row>
    <row r="145" spans="1:15" ht="15.75">
      <c r="A145" s="426"/>
      <c r="B145" s="50"/>
      <c r="C145" s="74"/>
      <c r="D145" s="42"/>
      <c r="E145" s="560"/>
      <c r="F145" s="470"/>
      <c r="G145" s="294"/>
      <c r="H145" s="28"/>
      <c r="I145" s="470"/>
      <c r="J145" s="549"/>
      <c r="K145" s="28"/>
      <c r="L145" s="28"/>
      <c r="M145" s="28"/>
      <c r="N145" s="28"/>
      <c r="O145" s="28"/>
    </row>
    <row r="146" spans="1:15" ht="15.75">
      <c r="A146" s="426"/>
      <c r="B146" s="28"/>
      <c r="C146" s="54" t="s">
        <v>123</v>
      </c>
      <c r="D146" s="42"/>
      <c r="E146" s="647" t="s">
        <v>573</v>
      </c>
      <c r="F146" s="647"/>
      <c r="G146" s="34"/>
      <c r="H146" s="28"/>
      <c r="I146" s="34"/>
      <c r="J146" s="34" t="s">
        <v>101</v>
      </c>
      <c r="K146" s="28"/>
      <c r="L146" s="28"/>
      <c r="M146" s="28"/>
      <c r="N146" s="28"/>
      <c r="O146" s="28"/>
    </row>
    <row r="147" spans="1:15" ht="15.75">
      <c r="A147" s="426"/>
      <c r="B147" s="28" t="s">
        <v>109</v>
      </c>
      <c r="C147" s="54" t="s">
        <v>124</v>
      </c>
      <c r="D147" s="42"/>
      <c r="E147" s="75" t="s">
        <v>105</v>
      </c>
      <c r="F147" s="75" t="s">
        <v>106</v>
      </c>
      <c r="G147" s="34" t="s">
        <v>107</v>
      </c>
      <c r="H147" s="28"/>
      <c r="I147" s="34" t="s">
        <v>108</v>
      </c>
      <c r="J147" s="34" t="s">
        <v>125</v>
      </c>
      <c r="K147" s="28"/>
      <c r="L147" s="28"/>
      <c r="M147" s="28"/>
      <c r="N147" s="28"/>
      <c r="O147" s="28"/>
    </row>
    <row r="148" spans="1:15" ht="15.75">
      <c r="A148" s="426"/>
      <c r="B148" s="24" t="s">
        <v>127</v>
      </c>
      <c r="C148" s="548" t="str">
        <f aca="true" t="shared" si="6" ref="C148:C168">$B$15</f>
        <v>Bulls</v>
      </c>
      <c r="D148" s="42"/>
      <c r="E148" s="507">
        <v>38869</v>
      </c>
      <c r="F148" s="508">
        <v>39036</v>
      </c>
      <c r="G148" s="294">
        <f>F148-E148</f>
        <v>167</v>
      </c>
      <c r="H148" s="28"/>
      <c r="I148" s="20">
        <v>4</v>
      </c>
      <c r="J148" s="549">
        <f aca="true" t="shared" si="7" ref="J148:J168">G148/30*I148*$D$15</f>
        <v>33.4</v>
      </c>
      <c r="K148" s="28"/>
      <c r="L148" s="28"/>
      <c r="M148" s="28"/>
      <c r="N148" s="28"/>
      <c r="O148" s="28"/>
    </row>
    <row r="149" spans="1:15" ht="15.75">
      <c r="A149" s="426"/>
      <c r="B149" s="25" t="s">
        <v>127</v>
      </c>
      <c r="C149" s="550" t="str">
        <f t="shared" si="6"/>
        <v>Bulls</v>
      </c>
      <c r="D149" s="28"/>
      <c r="E149" s="511"/>
      <c r="F149" s="512"/>
      <c r="G149" s="509">
        <f>F149-E149</f>
        <v>0</v>
      </c>
      <c r="H149" s="28"/>
      <c r="I149" s="22">
        <v>0</v>
      </c>
      <c r="J149" s="549">
        <f t="shared" si="7"/>
        <v>0</v>
      </c>
      <c r="K149" s="28"/>
      <c r="L149" s="28"/>
      <c r="M149" s="28"/>
      <c r="N149" s="28"/>
      <c r="O149" s="28"/>
    </row>
    <row r="150" spans="1:15" ht="15.75">
      <c r="A150" s="426"/>
      <c r="B150" s="25" t="s">
        <v>127</v>
      </c>
      <c r="C150" s="550" t="str">
        <f t="shared" si="6"/>
        <v>Bulls</v>
      </c>
      <c r="D150" s="28"/>
      <c r="E150" s="511"/>
      <c r="F150" s="512"/>
      <c r="G150" s="509">
        <f>F150-E150</f>
        <v>0</v>
      </c>
      <c r="H150" s="28"/>
      <c r="I150" s="22">
        <v>0</v>
      </c>
      <c r="J150" s="549">
        <f t="shared" si="7"/>
        <v>0</v>
      </c>
      <c r="K150" s="28"/>
      <c r="L150" s="28"/>
      <c r="M150" s="28"/>
      <c r="N150" s="28"/>
      <c r="O150" s="28"/>
    </row>
    <row r="151" spans="1:15" ht="15.75">
      <c r="A151" s="426"/>
      <c r="B151" s="25" t="s">
        <v>127</v>
      </c>
      <c r="C151" s="550" t="str">
        <f t="shared" si="6"/>
        <v>Bulls</v>
      </c>
      <c r="D151" s="28"/>
      <c r="E151" s="511"/>
      <c r="F151" s="512"/>
      <c r="G151" s="509">
        <f>F151-E151</f>
        <v>0</v>
      </c>
      <c r="H151" s="28"/>
      <c r="I151" s="22">
        <v>0</v>
      </c>
      <c r="J151" s="549">
        <f t="shared" si="7"/>
        <v>0</v>
      </c>
      <c r="K151" s="28"/>
      <c r="L151" s="28"/>
      <c r="M151" s="28"/>
      <c r="N151" s="28"/>
      <c r="O151" s="28"/>
    </row>
    <row r="152" spans="1:15" ht="15.75">
      <c r="A152" s="426"/>
      <c r="B152" s="25" t="s">
        <v>127</v>
      </c>
      <c r="C152" s="550" t="str">
        <f t="shared" si="6"/>
        <v>Bulls</v>
      </c>
      <c r="D152" s="28"/>
      <c r="E152" s="511"/>
      <c r="F152" s="512"/>
      <c r="G152" s="509">
        <f>F152-E152</f>
        <v>0</v>
      </c>
      <c r="H152" s="28"/>
      <c r="I152" s="22">
        <v>0</v>
      </c>
      <c r="J152" s="549">
        <f t="shared" si="7"/>
        <v>0</v>
      </c>
      <c r="K152" s="28"/>
      <c r="L152" s="28"/>
      <c r="M152" s="28"/>
      <c r="N152" s="28"/>
      <c r="O152" s="28"/>
    </row>
    <row r="153" spans="1:15" ht="15.75">
      <c r="A153" s="426"/>
      <c r="B153" s="25" t="s">
        <v>127</v>
      </c>
      <c r="C153" s="550" t="str">
        <f t="shared" si="6"/>
        <v>Bulls</v>
      </c>
      <c r="D153" s="28"/>
      <c r="E153" s="511"/>
      <c r="F153" s="512"/>
      <c r="G153" s="509">
        <f aca="true" t="shared" si="8" ref="G153:G168">F153-E153</f>
        <v>0</v>
      </c>
      <c r="H153" s="28"/>
      <c r="I153" s="22">
        <v>0</v>
      </c>
      <c r="J153" s="549">
        <f t="shared" si="7"/>
        <v>0</v>
      </c>
      <c r="K153" s="28"/>
      <c r="L153" s="28"/>
      <c r="M153" s="28"/>
      <c r="N153" s="28"/>
      <c r="O153" s="28"/>
    </row>
    <row r="154" spans="1:15" ht="15.75">
      <c r="A154" s="426"/>
      <c r="B154" s="25" t="s">
        <v>127</v>
      </c>
      <c r="C154" s="550" t="str">
        <f t="shared" si="6"/>
        <v>Bulls</v>
      </c>
      <c r="D154" s="28"/>
      <c r="E154" s="511"/>
      <c r="F154" s="512"/>
      <c r="G154" s="509">
        <f t="shared" si="8"/>
        <v>0</v>
      </c>
      <c r="H154" s="28"/>
      <c r="I154" s="22">
        <v>0</v>
      </c>
      <c r="J154" s="549">
        <f t="shared" si="7"/>
        <v>0</v>
      </c>
      <c r="K154" s="28"/>
      <c r="L154" s="28"/>
      <c r="M154" s="28"/>
      <c r="N154" s="28"/>
      <c r="O154" s="28"/>
    </row>
    <row r="155" spans="1:15" ht="15.75">
      <c r="A155" s="426"/>
      <c r="B155" s="25" t="s">
        <v>127</v>
      </c>
      <c r="C155" s="550" t="str">
        <f t="shared" si="6"/>
        <v>Bulls</v>
      </c>
      <c r="D155" s="28"/>
      <c r="E155" s="511"/>
      <c r="F155" s="512"/>
      <c r="G155" s="509">
        <f t="shared" si="8"/>
        <v>0</v>
      </c>
      <c r="H155" s="28"/>
      <c r="I155" s="22">
        <v>0</v>
      </c>
      <c r="J155" s="549">
        <f t="shared" si="7"/>
        <v>0</v>
      </c>
      <c r="K155" s="28"/>
      <c r="L155" s="28"/>
      <c r="M155" s="28"/>
      <c r="N155" s="28"/>
      <c r="O155" s="28"/>
    </row>
    <row r="156" spans="1:15" ht="15.75">
      <c r="A156" s="426"/>
      <c r="B156" s="25" t="s">
        <v>127</v>
      </c>
      <c r="C156" s="550" t="str">
        <f t="shared" si="6"/>
        <v>Bulls</v>
      </c>
      <c r="D156" s="28"/>
      <c r="E156" s="511"/>
      <c r="F156" s="512"/>
      <c r="G156" s="509">
        <f t="shared" si="8"/>
        <v>0</v>
      </c>
      <c r="H156" s="28"/>
      <c r="I156" s="22">
        <v>0</v>
      </c>
      <c r="J156" s="549">
        <f t="shared" si="7"/>
        <v>0</v>
      </c>
      <c r="K156" s="28"/>
      <c r="L156" s="28"/>
      <c r="M156" s="28"/>
      <c r="N156" s="28"/>
      <c r="O156" s="28"/>
    </row>
    <row r="157" spans="1:15" ht="15.75">
      <c r="A157" s="426"/>
      <c r="B157" s="25" t="s">
        <v>127</v>
      </c>
      <c r="C157" s="550" t="str">
        <f t="shared" si="6"/>
        <v>Bulls</v>
      </c>
      <c r="D157" s="28"/>
      <c r="E157" s="511"/>
      <c r="F157" s="512"/>
      <c r="G157" s="509">
        <f t="shared" si="8"/>
        <v>0</v>
      </c>
      <c r="H157" s="28"/>
      <c r="I157" s="22">
        <v>0</v>
      </c>
      <c r="J157" s="549">
        <f t="shared" si="7"/>
        <v>0</v>
      </c>
      <c r="K157" s="28"/>
      <c r="L157" s="28"/>
      <c r="M157" s="28"/>
      <c r="N157" s="28"/>
      <c r="O157" s="28"/>
    </row>
    <row r="158" spans="1:15" ht="15.75">
      <c r="A158" s="426"/>
      <c r="B158" s="25" t="s">
        <v>127</v>
      </c>
      <c r="C158" s="550" t="str">
        <f t="shared" si="6"/>
        <v>Bulls</v>
      </c>
      <c r="D158" s="28"/>
      <c r="E158" s="511"/>
      <c r="F158" s="512"/>
      <c r="G158" s="509">
        <f t="shared" si="8"/>
        <v>0</v>
      </c>
      <c r="H158" s="28"/>
      <c r="I158" s="22">
        <v>0</v>
      </c>
      <c r="J158" s="549">
        <f t="shared" si="7"/>
        <v>0</v>
      </c>
      <c r="K158" s="28"/>
      <c r="L158" s="28"/>
      <c r="M158" s="28"/>
      <c r="N158" s="28"/>
      <c r="O158" s="28"/>
    </row>
    <row r="159" spans="1:15" ht="15.75">
      <c r="A159" s="426"/>
      <c r="B159" s="25" t="s">
        <v>127</v>
      </c>
      <c r="C159" s="550" t="str">
        <f t="shared" si="6"/>
        <v>Bulls</v>
      </c>
      <c r="D159" s="28"/>
      <c r="E159" s="511"/>
      <c r="F159" s="512"/>
      <c r="G159" s="509">
        <f t="shared" si="8"/>
        <v>0</v>
      </c>
      <c r="H159" s="28"/>
      <c r="I159" s="22">
        <v>0</v>
      </c>
      <c r="J159" s="549">
        <f t="shared" si="7"/>
        <v>0</v>
      </c>
      <c r="K159" s="28"/>
      <c r="L159" s="28"/>
      <c r="M159" s="28"/>
      <c r="N159" s="28"/>
      <c r="O159" s="28"/>
    </row>
    <row r="160" spans="1:15" ht="15.75">
      <c r="A160" s="426"/>
      <c r="B160" s="25" t="s">
        <v>127</v>
      </c>
      <c r="C160" s="550" t="str">
        <f t="shared" si="6"/>
        <v>Bulls</v>
      </c>
      <c r="D160" s="28"/>
      <c r="E160" s="511"/>
      <c r="F160" s="512"/>
      <c r="G160" s="509">
        <f t="shared" si="8"/>
        <v>0</v>
      </c>
      <c r="H160" s="28"/>
      <c r="I160" s="22">
        <v>0</v>
      </c>
      <c r="J160" s="549">
        <f t="shared" si="7"/>
        <v>0</v>
      </c>
      <c r="K160" s="28"/>
      <c r="L160" s="28"/>
      <c r="M160" s="28"/>
      <c r="N160" s="28"/>
      <c r="O160" s="28"/>
    </row>
    <row r="161" spans="1:15" ht="15.75">
      <c r="A161" s="426"/>
      <c r="B161" s="25" t="s">
        <v>127</v>
      </c>
      <c r="C161" s="550" t="str">
        <f t="shared" si="6"/>
        <v>Bulls</v>
      </c>
      <c r="D161" s="28"/>
      <c r="E161" s="511"/>
      <c r="F161" s="512"/>
      <c r="G161" s="509">
        <f t="shared" si="8"/>
        <v>0</v>
      </c>
      <c r="H161" s="28"/>
      <c r="I161" s="22">
        <v>0</v>
      </c>
      <c r="J161" s="549">
        <f t="shared" si="7"/>
        <v>0</v>
      </c>
      <c r="K161" s="28"/>
      <c r="L161" s="28"/>
      <c r="M161" s="28"/>
      <c r="N161" s="28"/>
      <c r="O161" s="28"/>
    </row>
    <row r="162" spans="1:15" ht="15.75">
      <c r="A162" s="426"/>
      <c r="B162" s="25" t="s">
        <v>127</v>
      </c>
      <c r="C162" s="550" t="str">
        <f t="shared" si="6"/>
        <v>Bulls</v>
      </c>
      <c r="D162" s="28"/>
      <c r="E162" s="511"/>
      <c r="F162" s="512"/>
      <c r="G162" s="509">
        <f t="shared" si="8"/>
        <v>0</v>
      </c>
      <c r="H162" s="28"/>
      <c r="I162" s="22">
        <v>0</v>
      </c>
      <c r="J162" s="549">
        <f t="shared" si="7"/>
        <v>0</v>
      </c>
      <c r="K162" s="28"/>
      <c r="L162" s="28"/>
      <c r="M162" s="28"/>
      <c r="N162" s="28"/>
      <c r="O162" s="28"/>
    </row>
    <row r="163" spans="1:15" ht="15.75">
      <c r="A163" s="426"/>
      <c r="B163" s="25" t="s">
        <v>127</v>
      </c>
      <c r="C163" s="550" t="str">
        <f t="shared" si="6"/>
        <v>Bulls</v>
      </c>
      <c r="D163" s="28"/>
      <c r="E163" s="511"/>
      <c r="F163" s="512"/>
      <c r="G163" s="509">
        <f t="shared" si="8"/>
        <v>0</v>
      </c>
      <c r="H163" s="28"/>
      <c r="I163" s="22">
        <v>0</v>
      </c>
      <c r="J163" s="549">
        <f t="shared" si="7"/>
        <v>0</v>
      </c>
      <c r="K163" s="28"/>
      <c r="L163" s="28"/>
      <c r="M163" s="28"/>
      <c r="N163" s="28"/>
      <c r="O163" s="28"/>
    </row>
    <row r="164" spans="1:15" ht="15.75">
      <c r="A164" s="426"/>
      <c r="B164" s="25" t="s">
        <v>127</v>
      </c>
      <c r="C164" s="550" t="str">
        <f t="shared" si="6"/>
        <v>Bulls</v>
      </c>
      <c r="D164" s="28"/>
      <c r="E164" s="511"/>
      <c r="F164" s="512"/>
      <c r="G164" s="509">
        <f t="shared" si="8"/>
        <v>0</v>
      </c>
      <c r="H164" s="28"/>
      <c r="I164" s="22">
        <v>0</v>
      </c>
      <c r="J164" s="549">
        <f t="shared" si="7"/>
        <v>0</v>
      </c>
      <c r="K164" s="28"/>
      <c r="L164" s="28"/>
      <c r="M164" s="28"/>
      <c r="N164" s="28"/>
      <c r="O164" s="28"/>
    </row>
    <row r="165" spans="1:15" ht="15.75">
      <c r="A165" s="426"/>
      <c r="B165" s="25" t="s">
        <v>127</v>
      </c>
      <c r="C165" s="550" t="str">
        <f t="shared" si="6"/>
        <v>Bulls</v>
      </c>
      <c r="D165" s="28"/>
      <c r="E165" s="511"/>
      <c r="F165" s="512"/>
      <c r="G165" s="509">
        <f t="shared" si="8"/>
        <v>0</v>
      </c>
      <c r="H165" s="28"/>
      <c r="I165" s="22">
        <v>0</v>
      </c>
      <c r="J165" s="549">
        <f t="shared" si="7"/>
        <v>0</v>
      </c>
      <c r="K165" s="28"/>
      <c r="L165" s="28"/>
      <c r="M165" s="28"/>
      <c r="N165" s="28"/>
      <c r="O165" s="28"/>
    </row>
    <row r="166" spans="1:15" ht="15.75">
      <c r="A166" s="426"/>
      <c r="B166" s="25" t="s">
        <v>127</v>
      </c>
      <c r="C166" s="550" t="str">
        <f t="shared" si="6"/>
        <v>Bulls</v>
      </c>
      <c r="D166" s="28"/>
      <c r="E166" s="511"/>
      <c r="F166" s="512"/>
      <c r="G166" s="509">
        <f t="shared" si="8"/>
        <v>0</v>
      </c>
      <c r="H166" s="28"/>
      <c r="I166" s="22">
        <v>0</v>
      </c>
      <c r="J166" s="549">
        <f t="shared" si="7"/>
        <v>0</v>
      </c>
      <c r="K166" s="28"/>
      <c r="L166" s="28"/>
      <c r="M166" s="28"/>
      <c r="N166" s="28"/>
      <c r="O166" s="28"/>
    </row>
    <row r="167" spans="1:15" ht="15.75">
      <c r="A167" s="426"/>
      <c r="B167" s="25" t="s">
        <v>127</v>
      </c>
      <c r="C167" s="550" t="str">
        <f t="shared" si="6"/>
        <v>Bulls</v>
      </c>
      <c r="D167" s="28"/>
      <c r="E167" s="511"/>
      <c r="F167" s="512"/>
      <c r="G167" s="509">
        <f t="shared" si="8"/>
        <v>0</v>
      </c>
      <c r="H167" s="28"/>
      <c r="I167" s="22">
        <v>0</v>
      </c>
      <c r="J167" s="549">
        <f t="shared" si="7"/>
        <v>0</v>
      </c>
      <c r="K167" s="28"/>
      <c r="L167" s="28"/>
      <c r="M167" s="28"/>
      <c r="N167" s="28"/>
      <c r="O167" s="28"/>
    </row>
    <row r="168" spans="1:15" ht="16.5" thickBot="1">
      <c r="A168" s="426"/>
      <c r="B168" s="26" t="s">
        <v>127</v>
      </c>
      <c r="C168" s="551" t="str">
        <f t="shared" si="6"/>
        <v>Bulls</v>
      </c>
      <c r="D168" s="28"/>
      <c r="E168" s="552"/>
      <c r="F168" s="514"/>
      <c r="G168" s="554">
        <f t="shared" si="8"/>
        <v>0</v>
      </c>
      <c r="H168" s="28"/>
      <c r="I168" s="23">
        <v>0</v>
      </c>
      <c r="J168" s="555">
        <f t="shared" si="7"/>
        <v>0</v>
      </c>
      <c r="K168" s="28"/>
      <c r="L168" s="28"/>
      <c r="M168" s="28"/>
      <c r="N168" s="28"/>
      <c r="O168" s="28"/>
    </row>
    <row r="169" spans="1:15" ht="16.5" thickTop="1">
      <c r="A169" s="426"/>
      <c r="B169" s="556"/>
      <c r="C169" s="557"/>
      <c r="D169" s="28"/>
      <c r="E169" s="558"/>
      <c r="F169" s="559" t="s">
        <v>128</v>
      </c>
      <c r="G169" s="509">
        <f>SUM(G148:G168)</f>
        <v>167</v>
      </c>
      <c r="H169" s="28"/>
      <c r="I169" s="470" t="s">
        <v>129</v>
      </c>
      <c r="J169" s="549">
        <f>SUM(J148:J168)</f>
        <v>33.4</v>
      </c>
      <c r="K169" s="28"/>
      <c r="L169" s="28"/>
      <c r="M169" s="28"/>
      <c r="N169" s="28"/>
      <c r="O169" s="28"/>
    </row>
    <row r="170" spans="1:15" ht="15.75">
      <c r="A170" s="426"/>
      <c r="B170" s="50"/>
      <c r="C170" s="74"/>
      <c r="D170" s="28"/>
      <c r="E170" s="560"/>
      <c r="F170" s="470"/>
      <c r="G170" s="509"/>
      <c r="H170" s="28"/>
      <c r="I170" s="470"/>
      <c r="J170" s="549"/>
      <c r="K170" s="28"/>
      <c r="L170" s="28"/>
      <c r="M170" s="28"/>
      <c r="N170" s="28"/>
      <c r="O170" s="28"/>
    </row>
    <row r="171" spans="1:15" ht="15.75">
      <c r="A171" s="426"/>
      <c r="B171" s="28"/>
      <c r="C171" s="54" t="s">
        <v>123</v>
      </c>
      <c r="D171" s="28"/>
      <c r="E171" s="647" t="s">
        <v>573</v>
      </c>
      <c r="F171" s="647"/>
      <c r="G171" s="34"/>
      <c r="H171" s="28"/>
      <c r="I171" s="34"/>
      <c r="J171" s="34" t="s">
        <v>101</v>
      </c>
      <c r="K171" s="28"/>
      <c r="L171" s="28"/>
      <c r="M171" s="28"/>
      <c r="N171" s="28"/>
      <c r="O171" s="28"/>
    </row>
    <row r="172" spans="1:15" ht="15.75">
      <c r="A172" s="426"/>
      <c r="B172" s="28" t="s">
        <v>109</v>
      </c>
      <c r="C172" s="54" t="s">
        <v>124</v>
      </c>
      <c r="D172" s="28"/>
      <c r="E172" s="75" t="s">
        <v>105</v>
      </c>
      <c r="F172" s="75" t="s">
        <v>106</v>
      </c>
      <c r="G172" s="34" t="s">
        <v>107</v>
      </c>
      <c r="H172" s="28"/>
      <c r="I172" s="34" t="s">
        <v>108</v>
      </c>
      <c r="J172" s="34" t="s">
        <v>125</v>
      </c>
      <c r="K172" s="28"/>
      <c r="L172" s="28"/>
      <c r="M172" s="28"/>
      <c r="N172" s="28"/>
      <c r="O172" s="28"/>
    </row>
    <row r="173" spans="1:15" ht="15.75">
      <c r="A173" s="426"/>
      <c r="B173" s="24" t="s">
        <v>127</v>
      </c>
      <c r="C173" s="548" t="str">
        <f aca="true" t="shared" si="9" ref="C173:C193">$B$16</f>
        <v>Rep. Heifers</v>
      </c>
      <c r="D173" s="28"/>
      <c r="E173" s="561">
        <v>37044</v>
      </c>
      <c r="F173" s="562">
        <v>37053</v>
      </c>
      <c r="G173" s="509">
        <f aca="true" t="shared" si="10" ref="G173:G191">F173-E173</f>
        <v>9</v>
      </c>
      <c r="H173" s="28"/>
      <c r="I173" s="20">
        <v>0</v>
      </c>
      <c r="J173" s="549">
        <f aca="true" t="shared" si="11" ref="J173:J193">G173/30*I173*$D$16</f>
        <v>0</v>
      </c>
      <c r="K173" s="28"/>
      <c r="L173" s="28"/>
      <c r="M173" s="28"/>
      <c r="N173" s="28"/>
      <c r="O173" s="28"/>
    </row>
    <row r="174" spans="1:15" ht="15.75">
      <c r="A174" s="426"/>
      <c r="B174" s="25" t="s">
        <v>127</v>
      </c>
      <c r="C174" s="550" t="str">
        <f t="shared" si="9"/>
        <v>Rep. Heifers</v>
      </c>
      <c r="D174" s="28"/>
      <c r="E174" s="511"/>
      <c r="F174" s="512"/>
      <c r="G174" s="509">
        <f t="shared" si="10"/>
        <v>0</v>
      </c>
      <c r="H174" s="28"/>
      <c r="I174" s="22">
        <v>0</v>
      </c>
      <c r="J174" s="549">
        <f t="shared" si="11"/>
        <v>0</v>
      </c>
      <c r="K174" s="28"/>
      <c r="L174" s="28"/>
      <c r="M174" s="28"/>
      <c r="N174" s="28"/>
      <c r="O174" s="28"/>
    </row>
    <row r="175" spans="1:15" ht="15.75">
      <c r="A175" s="426"/>
      <c r="B175" s="25" t="s">
        <v>127</v>
      </c>
      <c r="C175" s="550" t="str">
        <f t="shared" si="9"/>
        <v>Rep. Heifers</v>
      </c>
      <c r="D175" s="28"/>
      <c r="E175" s="511"/>
      <c r="F175" s="512"/>
      <c r="G175" s="509">
        <f t="shared" si="10"/>
        <v>0</v>
      </c>
      <c r="H175" s="28"/>
      <c r="I175" s="22">
        <v>0</v>
      </c>
      <c r="J175" s="549">
        <f t="shared" si="11"/>
        <v>0</v>
      </c>
      <c r="K175" s="28"/>
      <c r="L175" s="28"/>
      <c r="M175" s="28"/>
      <c r="N175" s="28"/>
      <c r="O175" s="28"/>
    </row>
    <row r="176" spans="1:15" ht="15.75">
      <c r="A176" s="426"/>
      <c r="B176" s="25" t="s">
        <v>127</v>
      </c>
      <c r="C176" s="550" t="str">
        <f t="shared" si="9"/>
        <v>Rep. Heifers</v>
      </c>
      <c r="D176" s="28"/>
      <c r="E176" s="511"/>
      <c r="F176" s="512"/>
      <c r="G176" s="509">
        <f t="shared" si="10"/>
        <v>0</v>
      </c>
      <c r="H176" s="28"/>
      <c r="I176" s="22">
        <v>0</v>
      </c>
      <c r="J176" s="549">
        <f t="shared" si="11"/>
        <v>0</v>
      </c>
      <c r="K176" s="28"/>
      <c r="L176" s="28"/>
      <c r="M176" s="28"/>
      <c r="N176" s="28"/>
      <c r="O176" s="28"/>
    </row>
    <row r="177" spans="1:15" ht="15.75">
      <c r="A177" s="426"/>
      <c r="B177" s="25" t="s">
        <v>127</v>
      </c>
      <c r="C177" s="550" t="str">
        <f t="shared" si="9"/>
        <v>Rep. Heifers</v>
      </c>
      <c r="D177" s="28"/>
      <c r="E177" s="511"/>
      <c r="F177" s="512"/>
      <c r="G177" s="509">
        <f t="shared" si="10"/>
        <v>0</v>
      </c>
      <c r="H177" s="28"/>
      <c r="I177" s="22">
        <v>0</v>
      </c>
      <c r="J177" s="549">
        <f t="shared" si="11"/>
        <v>0</v>
      </c>
      <c r="K177" s="28"/>
      <c r="L177" s="28"/>
      <c r="M177" s="28"/>
      <c r="N177" s="28"/>
      <c r="O177" s="28"/>
    </row>
    <row r="178" spans="1:15" ht="15.75">
      <c r="A178" s="426"/>
      <c r="B178" s="25" t="s">
        <v>127</v>
      </c>
      <c r="C178" s="550" t="str">
        <f t="shared" si="9"/>
        <v>Rep. Heifers</v>
      </c>
      <c r="D178" s="28"/>
      <c r="E178" s="511"/>
      <c r="F178" s="512"/>
      <c r="G178" s="509">
        <f t="shared" si="10"/>
        <v>0</v>
      </c>
      <c r="H178" s="28"/>
      <c r="I178" s="22">
        <v>0</v>
      </c>
      <c r="J178" s="549">
        <f t="shared" si="11"/>
        <v>0</v>
      </c>
      <c r="K178" s="28"/>
      <c r="L178" s="28"/>
      <c r="M178" s="28"/>
      <c r="N178" s="28"/>
      <c r="O178" s="28"/>
    </row>
    <row r="179" spans="1:15" ht="15.75">
      <c r="A179" s="426"/>
      <c r="B179" s="25" t="s">
        <v>127</v>
      </c>
      <c r="C179" s="550" t="str">
        <f t="shared" si="9"/>
        <v>Rep. Heifers</v>
      </c>
      <c r="D179" s="28"/>
      <c r="E179" s="511"/>
      <c r="F179" s="512"/>
      <c r="G179" s="509">
        <f t="shared" si="10"/>
        <v>0</v>
      </c>
      <c r="H179" s="28"/>
      <c r="I179" s="22">
        <v>0</v>
      </c>
      <c r="J179" s="549">
        <f t="shared" si="11"/>
        <v>0</v>
      </c>
      <c r="K179" s="28"/>
      <c r="L179" s="28"/>
      <c r="M179" s="28"/>
      <c r="N179" s="28"/>
      <c r="O179" s="28"/>
    </row>
    <row r="180" spans="1:15" ht="15.75">
      <c r="A180" s="426"/>
      <c r="B180" s="25" t="s">
        <v>127</v>
      </c>
      <c r="C180" s="550" t="str">
        <f t="shared" si="9"/>
        <v>Rep. Heifers</v>
      </c>
      <c r="D180" s="28"/>
      <c r="E180" s="511"/>
      <c r="F180" s="512"/>
      <c r="G180" s="509">
        <f t="shared" si="10"/>
        <v>0</v>
      </c>
      <c r="H180" s="28"/>
      <c r="I180" s="22">
        <v>0</v>
      </c>
      <c r="J180" s="549">
        <f t="shared" si="11"/>
        <v>0</v>
      </c>
      <c r="K180" s="28"/>
      <c r="L180" s="28"/>
      <c r="M180" s="28"/>
      <c r="N180" s="28"/>
      <c r="O180" s="28"/>
    </row>
    <row r="181" spans="1:15" ht="15.75">
      <c r="A181" s="426"/>
      <c r="B181" s="25" t="s">
        <v>127</v>
      </c>
      <c r="C181" s="550" t="str">
        <f t="shared" si="9"/>
        <v>Rep. Heifers</v>
      </c>
      <c r="D181" s="28"/>
      <c r="E181" s="511"/>
      <c r="F181" s="512"/>
      <c r="G181" s="509">
        <f t="shared" si="10"/>
        <v>0</v>
      </c>
      <c r="H181" s="28"/>
      <c r="I181" s="22">
        <v>0</v>
      </c>
      <c r="J181" s="549">
        <f t="shared" si="11"/>
        <v>0</v>
      </c>
      <c r="K181" s="28"/>
      <c r="L181" s="28"/>
      <c r="M181" s="28"/>
      <c r="N181" s="28"/>
      <c r="O181" s="28"/>
    </row>
    <row r="182" spans="1:15" ht="15.75">
      <c r="A182" s="426"/>
      <c r="B182" s="25" t="s">
        <v>127</v>
      </c>
      <c r="C182" s="550" t="str">
        <f t="shared" si="9"/>
        <v>Rep. Heifers</v>
      </c>
      <c r="D182" s="28"/>
      <c r="E182" s="511"/>
      <c r="F182" s="512"/>
      <c r="G182" s="509">
        <f t="shared" si="10"/>
        <v>0</v>
      </c>
      <c r="H182" s="28"/>
      <c r="I182" s="22">
        <v>0</v>
      </c>
      <c r="J182" s="549">
        <f t="shared" si="11"/>
        <v>0</v>
      </c>
      <c r="K182" s="28"/>
      <c r="L182" s="28"/>
      <c r="M182" s="28"/>
      <c r="N182" s="28"/>
      <c r="O182" s="28"/>
    </row>
    <row r="183" spans="1:15" ht="15.75">
      <c r="A183" s="426"/>
      <c r="B183" s="25" t="s">
        <v>127</v>
      </c>
      <c r="C183" s="550" t="str">
        <f t="shared" si="9"/>
        <v>Rep. Heifers</v>
      </c>
      <c r="D183" s="28"/>
      <c r="E183" s="511"/>
      <c r="F183" s="512"/>
      <c r="G183" s="509">
        <f t="shared" si="10"/>
        <v>0</v>
      </c>
      <c r="H183" s="28"/>
      <c r="I183" s="22">
        <v>0</v>
      </c>
      <c r="J183" s="549">
        <f t="shared" si="11"/>
        <v>0</v>
      </c>
      <c r="K183" s="28"/>
      <c r="L183" s="28"/>
      <c r="M183" s="28"/>
      <c r="N183" s="28"/>
      <c r="O183" s="28"/>
    </row>
    <row r="184" spans="1:15" ht="15.75">
      <c r="A184" s="426"/>
      <c r="B184" s="25" t="s">
        <v>127</v>
      </c>
      <c r="C184" s="550" t="str">
        <f t="shared" si="9"/>
        <v>Rep. Heifers</v>
      </c>
      <c r="D184" s="28"/>
      <c r="E184" s="511"/>
      <c r="F184" s="512"/>
      <c r="G184" s="509">
        <f t="shared" si="10"/>
        <v>0</v>
      </c>
      <c r="H184" s="28"/>
      <c r="I184" s="22">
        <v>0</v>
      </c>
      <c r="J184" s="549">
        <f t="shared" si="11"/>
        <v>0</v>
      </c>
      <c r="K184" s="28"/>
      <c r="L184" s="28"/>
      <c r="M184" s="28"/>
      <c r="N184" s="28"/>
      <c r="O184" s="28"/>
    </row>
    <row r="185" spans="1:15" ht="15.75">
      <c r="A185" s="426"/>
      <c r="B185" s="25" t="s">
        <v>127</v>
      </c>
      <c r="C185" s="550" t="str">
        <f t="shared" si="9"/>
        <v>Rep. Heifers</v>
      </c>
      <c r="D185" s="28"/>
      <c r="E185" s="511"/>
      <c r="F185" s="512"/>
      <c r="G185" s="509">
        <f t="shared" si="10"/>
        <v>0</v>
      </c>
      <c r="H185" s="28"/>
      <c r="I185" s="22">
        <v>0</v>
      </c>
      <c r="J185" s="549">
        <f t="shared" si="11"/>
        <v>0</v>
      </c>
      <c r="K185" s="28"/>
      <c r="L185" s="28"/>
      <c r="M185" s="28"/>
      <c r="N185" s="28"/>
      <c r="O185" s="28"/>
    </row>
    <row r="186" spans="1:15" ht="15.75">
      <c r="A186" s="426"/>
      <c r="B186" s="25" t="s">
        <v>127</v>
      </c>
      <c r="C186" s="550" t="str">
        <f t="shared" si="9"/>
        <v>Rep. Heifers</v>
      </c>
      <c r="D186" s="28"/>
      <c r="E186" s="511"/>
      <c r="F186" s="512"/>
      <c r="G186" s="509">
        <f t="shared" si="10"/>
        <v>0</v>
      </c>
      <c r="H186" s="28"/>
      <c r="I186" s="22">
        <v>0</v>
      </c>
      <c r="J186" s="549">
        <f t="shared" si="11"/>
        <v>0</v>
      </c>
      <c r="K186" s="28"/>
      <c r="L186" s="28"/>
      <c r="M186" s="28"/>
      <c r="N186" s="28"/>
      <c r="O186" s="28"/>
    </row>
    <row r="187" spans="1:15" ht="15.75">
      <c r="A187" s="426"/>
      <c r="B187" s="25" t="s">
        <v>127</v>
      </c>
      <c r="C187" s="550" t="str">
        <f t="shared" si="9"/>
        <v>Rep. Heifers</v>
      </c>
      <c r="D187" s="28"/>
      <c r="E187" s="511"/>
      <c r="F187" s="512"/>
      <c r="G187" s="509">
        <f t="shared" si="10"/>
        <v>0</v>
      </c>
      <c r="H187" s="28"/>
      <c r="I187" s="22">
        <v>0</v>
      </c>
      <c r="J187" s="549">
        <f t="shared" si="11"/>
        <v>0</v>
      </c>
      <c r="K187" s="28"/>
      <c r="L187" s="28"/>
      <c r="M187" s="28"/>
      <c r="N187" s="28"/>
      <c r="O187" s="28"/>
    </row>
    <row r="188" spans="1:15" ht="15.75">
      <c r="A188" s="426"/>
      <c r="B188" s="25" t="s">
        <v>127</v>
      </c>
      <c r="C188" s="550" t="str">
        <f t="shared" si="9"/>
        <v>Rep. Heifers</v>
      </c>
      <c r="D188" s="28"/>
      <c r="E188" s="511"/>
      <c r="F188" s="512"/>
      <c r="G188" s="509">
        <f t="shared" si="10"/>
        <v>0</v>
      </c>
      <c r="H188" s="28"/>
      <c r="I188" s="22">
        <v>0</v>
      </c>
      <c r="J188" s="549">
        <f t="shared" si="11"/>
        <v>0</v>
      </c>
      <c r="K188" s="28"/>
      <c r="L188" s="28"/>
      <c r="M188" s="28"/>
      <c r="N188" s="28"/>
      <c r="O188" s="28"/>
    </row>
    <row r="189" spans="1:15" ht="15.75">
      <c r="A189" s="426"/>
      <c r="B189" s="25" t="s">
        <v>127</v>
      </c>
      <c r="C189" s="550" t="str">
        <f t="shared" si="9"/>
        <v>Rep. Heifers</v>
      </c>
      <c r="D189" s="28"/>
      <c r="E189" s="511"/>
      <c r="F189" s="512"/>
      <c r="G189" s="509">
        <f t="shared" si="10"/>
        <v>0</v>
      </c>
      <c r="H189" s="28"/>
      <c r="I189" s="22">
        <v>0</v>
      </c>
      <c r="J189" s="549">
        <f t="shared" si="11"/>
        <v>0</v>
      </c>
      <c r="K189" s="28"/>
      <c r="L189" s="28"/>
      <c r="M189" s="28"/>
      <c r="N189" s="28"/>
      <c r="O189" s="28"/>
    </row>
    <row r="190" spans="1:15" ht="15.75">
      <c r="A190" s="426"/>
      <c r="B190" s="25" t="s">
        <v>127</v>
      </c>
      <c r="C190" s="550" t="str">
        <f t="shared" si="9"/>
        <v>Rep. Heifers</v>
      </c>
      <c r="D190" s="28"/>
      <c r="E190" s="511"/>
      <c r="F190" s="512"/>
      <c r="G190" s="509">
        <f t="shared" si="10"/>
        <v>0</v>
      </c>
      <c r="H190" s="28"/>
      <c r="I190" s="22">
        <v>0</v>
      </c>
      <c r="J190" s="549">
        <f t="shared" si="11"/>
        <v>0</v>
      </c>
      <c r="K190" s="28"/>
      <c r="L190" s="28"/>
      <c r="M190" s="28"/>
      <c r="N190" s="28"/>
      <c r="O190" s="28"/>
    </row>
    <row r="191" spans="1:15" ht="15.75">
      <c r="A191" s="426"/>
      <c r="B191" s="25" t="s">
        <v>127</v>
      </c>
      <c r="C191" s="550" t="str">
        <f t="shared" si="9"/>
        <v>Rep. Heifers</v>
      </c>
      <c r="D191" s="28"/>
      <c r="E191" s="511"/>
      <c r="F191" s="512"/>
      <c r="G191" s="509">
        <f t="shared" si="10"/>
        <v>0</v>
      </c>
      <c r="H191" s="28"/>
      <c r="I191" s="22">
        <v>0</v>
      </c>
      <c r="J191" s="549">
        <f t="shared" si="11"/>
        <v>0</v>
      </c>
      <c r="K191" s="28"/>
      <c r="L191" s="28"/>
      <c r="M191" s="28"/>
      <c r="N191" s="28"/>
      <c r="O191" s="28"/>
    </row>
    <row r="192" spans="1:15" ht="15.75">
      <c r="A192" s="426"/>
      <c r="B192" s="25" t="s">
        <v>127</v>
      </c>
      <c r="C192" s="550" t="str">
        <f t="shared" si="9"/>
        <v>Rep. Heifers</v>
      </c>
      <c r="D192" s="28"/>
      <c r="E192" s="511"/>
      <c r="F192" s="512"/>
      <c r="G192" s="509">
        <f>F192-E192</f>
        <v>0</v>
      </c>
      <c r="H192" s="28"/>
      <c r="I192" s="22">
        <v>0</v>
      </c>
      <c r="J192" s="549">
        <f t="shared" si="11"/>
        <v>0</v>
      </c>
      <c r="K192" s="28"/>
      <c r="L192" s="28"/>
      <c r="M192" s="28"/>
      <c r="N192" s="28"/>
      <c r="O192" s="28"/>
    </row>
    <row r="193" spans="1:15" ht="16.5" thickBot="1">
      <c r="A193" s="426"/>
      <c r="B193" s="26" t="s">
        <v>127</v>
      </c>
      <c r="C193" s="551" t="str">
        <f t="shared" si="9"/>
        <v>Rep. Heifers</v>
      </c>
      <c r="D193" s="28"/>
      <c r="E193" s="552"/>
      <c r="F193" s="553"/>
      <c r="G193" s="554">
        <f>F193-E193</f>
        <v>0</v>
      </c>
      <c r="H193" s="28"/>
      <c r="I193" s="23">
        <v>0</v>
      </c>
      <c r="J193" s="555">
        <f t="shared" si="11"/>
        <v>0</v>
      </c>
      <c r="K193" s="28"/>
      <c r="L193" s="28"/>
      <c r="M193" s="28"/>
      <c r="N193" s="28"/>
      <c r="O193" s="28"/>
    </row>
    <row r="194" spans="1:15" ht="16.5" thickTop="1">
      <c r="A194" s="426"/>
      <c r="B194" s="556"/>
      <c r="C194" s="557"/>
      <c r="D194" s="28"/>
      <c r="E194" s="558"/>
      <c r="F194" s="559" t="s">
        <v>128</v>
      </c>
      <c r="G194" s="509">
        <f>SUM(G173:G193)</f>
        <v>9</v>
      </c>
      <c r="H194" s="28"/>
      <c r="I194" s="470" t="s">
        <v>129</v>
      </c>
      <c r="J194" s="549">
        <f>SUM(J173:J193)</f>
        <v>0</v>
      </c>
      <c r="K194" s="28"/>
      <c r="L194" s="28"/>
      <c r="M194" s="28"/>
      <c r="N194" s="28"/>
      <c r="O194" s="28"/>
    </row>
    <row r="195" spans="1:15" ht="15.75">
      <c r="A195" s="426"/>
      <c r="B195" s="50"/>
      <c r="C195" s="74"/>
      <c r="D195" s="28"/>
      <c r="E195" s="560"/>
      <c r="F195" s="563"/>
      <c r="G195" s="509"/>
      <c r="H195" s="28"/>
      <c r="I195" s="470"/>
      <c r="J195" s="549"/>
      <c r="K195" s="28"/>
      <c r="L195" s="28"/>
      <c r="M195" s="28"/>
      <c r="N195" s="28"/>
      <c r="O195" s="28"/>
    </row>
    <row r="196" spans="1:15" ht="15.75">
      <c r="A196" s="426"/>
      <c r="B196" s="28"/>
      <c r="C196" s="54" t="s">
        <v>123</v>
      </c>
      <c r="D196" s="28"/>
      <c r="E196" s="647" t="s">
        <v>573</v>
      </c>
      <c r="F196" s="647"/>
      <c r="G196" s="34"/>
      <c r="H196" s="28"/>
      <c r="I196" s="34"/>
      <c r="J196" s="34" t="s">
        <v>101</v>
      </c>
      <c r="K196" s="28"/>
      <c r="L196" s="28"/>
      <c r="M196" s="28"/>
      <c r="N196" s="28"/>
      <c r="O196" s="28"/>
    </row>
    <row r="197" spans="1:15" ht="15.75">
      <c r="A197" s="426"/>
      <c r="B197" s="28" t="s">
        <v>109</v>
      </c>
      <c r="C197" s="54" t="s">
        <v>124</v>
      </c>
      <c r="D197" s="28"/>
      <c r="E197" s="75" t="s">
        <v>105</v>
      </c>
      <c r="F197" s="75" t="s">
        <v>106</v>
      </c>
      <c r="G197" s="34" t="s">
        <v>107</v>
      </c>
      <c r="H197" s="28"/>
      <c r="I197" s="34" t="s">
        <v>108</v>
      </c>
      <c r="J197" s="34" t="s">
        <v>125</v>
      </c>
      <c r="K197" s="28"/>
      <c r="L197" s="28"/>
      <c r="M197" s="28"/>
      <c r="N197" s="28"/>
      <c r="O197" s="28"/>
    </row>
    <row r="198" spans="1:15" ht="15.75">
      <c r="A198" s="426"/>
      <c r="B198" s="24" t="s">
        <v>127</v>
      </c>
      <c r="C198" s="548" t="str">
        <f aca="true" t="shared" si="12" ref="C198:C218">$B$17</f>
        <v>Horses</v>
      </c>
      <c r="D198" s="28"/>
      <c r="E198" s="561">
        <v>37012</v>
      </c>
      <c r="F198" s="562">
        <v>37102</v>
      </c>
      <c r="G198" s="509">
        <f>F198-E198</f>
        <v>90</v>
      </c>
      <c r="H198" s="28"/>
      <c r="I198" s="20">
        <v>0</v>
      </c>
      <c r="J198" s="549">
        <f aca="true" t="shared" si="13" ref="J198:J218">G198/30*I198*$D$17</f>
        <v>0</v>
      </c>
      <c r="K198" s="28"/>
      <c r="L198" s="28"/>
      <c r="M198" s="28"/>
      <c r="N198" s="28"/>
      <c r="O198" s="28"/>
    </row>
    <row r="199" spans="1:15" ht="15.75">
      <c r="A199" s="426"/>
      <c r="B199" s="25" t="s">
        <v>127</v>
      </c>
      <c r="C199" s="550" t="str">
        <f t="shared" si="12"/>
        <v>Horses</v>
      </c>
      <c r="D199" s="28"/>
      <c r="E199" s="511"/>
      <c r="F199" s="512"/>
      <c r="G199" s="509">
        <f>F199-E199</f>
        <v>0</v>
      </c>
      <c r="H199" s="28"/>
      <c r="I199" s="22">
        <v>0</v>
      </c>
      <c r="J199" s="549">
        <f t="shared" si="13"/>
        <v>0</v>
      </c>
      <c r="K199" s="28"/>
      <c r="L199" s="28"/>
      <c r="M199" s="28"/>
      <c r="N199" s="28"/>
      <c r="O199" s="28"/>
    </row>
    <row r="200" spans="1:15" ht="15.75">
      <c r="A200" s="426"/>
      <c r="B200" s="25" t="s">
        <v>127</v>
      </c>
      <c r="C200" s="550" t="str">
        <f t="shared" si="12"/>
        <v>Horses</v>
      </c>
      <c r="D200" s="28"/>
      <c r="E200" s="511"/>
      <c r="F200" s="512"/>
      <c r="G200" s="509">
        <f>F200-E200</f>
        <v>0</v>
      </c>
      <c r="H200" s="28"/>
      <c r="I200" s="22">
        <v>0</v>
      </c>
      <c r="J200" s="549">
        <f t="shared" si="13"/>
        <v>0</v>
      </c>
      <c r="K200" s="28"/>
      <c r="L200" s="28"/>
      <c r="M200" s="28"/>
      <c r="N200" s="28"/>
      <c r="O200" s="28"/>
    </row>
    <row r="201" spans="1:15" ht="15.75">
      <c r="A201" s="426"/>
      <c r="B201" s="25" t="s">
        <v>127</v>
      </c>
      <c r="C201" s="550" t="str">
        <f t="shared" si="12"/>
        <v>Horses</v>
      </c>
      <c r="D201" s="28"/>
      <c r="E201" s="511"/>
      <c r="F201" s="512"/>
      <c r="G201" s="509">
        <f>F201-E201</f>
        <v>0</v>
      </c>
      <c r="H201" s="28"/>
      <c r="I201" s="22">
        <v>0</v>
      </c>
      <c r="J201" s="549">
        <f t="shared" si="13"/>
        <v>0</v>
      </c>
      <c r="K201" s="28"/>
      <c r="L201" s="28"/>
      <c r="M201" s="28"/>
      <c r="N201" s="28"/>
      <c r="O201" s="28"/>
    </row>
    <row r="202" spans="1:15" ht="15.75">
      <c r="A202" s="426"/>
      <c r="B202" s="25" t="s">
        <v>127</v>
      </c>
      <c r="C202" s="550" t="str">
        <f t="shared" si="12"/>
        <v>Horses</v>
      </c>
      <c r="D202" s="28"/>
      <c r="E202" s="511"/>
      <c r="F202" s="512"/>
      <c r="G202" s="509">
        <f>F202-E202</f>
        <v>0</v>
      </c>
      <c r="H202" s="28"/>
      <c r="I202" s="22">
        <v>0</v>
      </c>
      <c r="J202" s="549">
        <f t="shared" si="13"/>
        <v>0</v>
      </c>
      <c r="K202" s="28"/>
      <c r="L202" s="28"/>
      <c r="M202" s="28"/>
      <c r="N202" s="28"/>
      <c r="O202" s="28"/>
    </row>
    <row r="203" spans="1:15" ht="15.75">
      <c r="A203" s="426"/>
      <c r="B203" s="25" t="s">
        <v>127</v>
      </c>
      <c r="C203" s="550" t="str">
        <f t="shared" si="12"/>
        <v>Horses</v>
      </c>
      <c r="D203" s="28"/>
      <c r="E203" s="511"/>
      <c r="F203" s="512"/>
      <c r="G203" s="509">
        <f aca="true" t="shared" si="14" ref="G203:G218">F203-E203</f>
        <v>0</v>
      </c>
      <c r="H203" s="28"/>
      <c r="I203" s="22">
        <v>0</v>
      </c>
      <c r="J203" s="549">
        <f t="shared" si="13"/>
        <v>0</v>
      </c>
      <c r="K203" s="28"/>
      <c r="L203" s="28"/>
      <c r="M203" s="28"/>
      <c r="N203" s="28"/>
      <c r="O203" s="28"/>
    </row>
    <row r="204" spans="1:15" ht="15.75">
      <c r="A204" s="426"/>
      <c r="B204" s="25" t="s">
        <v>127</v>
      </c>
      <c r="C204" s="550" t="str">
        <f t="shared" si="12"/>
        <v>Horses</v>
      </c>
      <c r="D204" s="28"/>
      <c r="E204" s="511"/>
      <c r="F204" s="512"/>
      <c r="G204" s="509">
        <f t="shared" si="14"/>
        <v>0</v>
      </c>
      <c r="H204" s="28"/>
      <c r="I204" s="22">
        <v>0</v>
      </c>
      <c r="J204" s="549">
        <f t="shared" si="13"/>
        <v>0</v>
      </c>
      <c r="K204" s="28"/>
      <c r="L204" s="28"/>
      <c r="M204" s="28"/>
      <c r="N204" s="28"/>
      <c r="O204" s="28"/>
    </row>
    <row r="205" spans="1:15" ht="15.75">
      <c r="A205" s="426"/>
      <c r="B205" s="25" t="s">
        <v>127</v>
      </c>
      <c r="C205" s="550" t="str">
        <f t="shared" si="12"/>
        <v>Horses</v>
      </c>
      <c r="D205" s="28"/>
      <c r="E205" s="511"/>
      <c r="F205" s="512"/>
      <c r="G205" s="509">
        <f t="shared" si="14"/>
        <v>0</v>
      </c>
      <c r="H205" s="28"/>
      <c r="I205" s="22">
        <v>0</v>
      </c>
      <c r="J205" s="549">
        <f t="shared" si="13"/>
        <v>0</v>
      </c>
      <c r="K205" s="28"/>
      <c r="L205" s="28"/>
      <c r="M205" s="28"/>
      <c r="N205" s="28"/>
      <c r="O205" s="28"/>
    </row>
    <row r="206" spans="1:15" ht="15.75">
      <c r="A206" s="426"/>
      <c r="B206" s="25" t="s">
        <v>127</v>
      </c>
      <c r="C206" s="550" t="str">
        <f t="shared" si="12"/>
        <v>Horses</v>
      </c>
      <c r="D206" s="28"/>
      <c r="E206" s="511"/>
      <c r="F206" s="512"/>
      <c r="G206" s="509">
        <f t="shared" si="14"/>
        <v>0</v>
      </c>
      <c r="H206" s="28"/>
      <c r="I206" s="22">
        <v>0</v>
      </c>
      <c r="J206" s="549">
        <f t="shared" si="13"/>
        <v>0</v>
      </c>
      <c r="K206" s="28"/>
      <c r="L206" s="28"/>
      <c r="M206" s="28"/>
      <c r="N206" s="28"/>
      <c r="O206" s="28"/>
    </row>
    <row r="207" spans="1:15" ht="15.75">
      <c r="A207" s="426"/>
      <c r="B207" s="25" t="s">
        <v>127</v>
      </c>
      <c r="C207" s="550" t="str">
        <f t="shared" si="12"/>
        <v>Horses</v>
      </c>
      <c r="D207" s="28"/>
      <c r="E207" s="511"/>
      <c r="F207" s="512"/>
      <c r="G207" s="509">
        <f t="shared" si="14"/>
        <v>0</v>
      </c>
      <c r="H207" s="28"/>
      <c r="I207" s="22">
        <v>0</v>
      </c>
      <c r="J207" s="549">
        <f t="shared" si="13"/>
        <v>0</v>
      </c>
      <c r="K207" s="28"/>
      <c r="L207" s="28"/>
      <c r="M207" s="28"/>
      <c r="N207" s="28"/>
      <c r="O207" s="28"/>
    </row>
    <row r="208" spans="1:15" ht="15.75">
      <c r="A208" s="426"/>
      <c r="B208" s="25" t="s">
        <v>127</v>
      </c>
      <c r="C208" s="550" t="str">
        <f t="shared" si="12"/>
        <v>Horses</v>
      </c>
      <c r="D208" s="28"/>
      <c r="E208" s="511"/>
      <c r="F208" s="512"/>
      <c r="G208" s="509">
        <f t="shared" si="14"/>
        <v>0</v>
      </c>
      <c r="H208" s="28"/>
      <c r="I208" s="22">
        <v>0</v>
      </c>
      <c r="J208" s="549">
        <f t="shared" si="13"/>
        <v>0</v>
      </c>
      <c r="K208" s="28"/>
      <c r="L208" s="28"/>
      <c r="M208" s="28"/>
      <c r="N208" s="28"/>
      <c r="O208" s="28"/>
    </row>
    <row r="209" spans="1:15" ht="15.75">
      <c r="A209" s="426"/>
      <c r="B209" s="25" t="s">
        <v>127</v>
      </c>
      <c r="C209" s="550" t="str">
        <f t="shared" si="12"/>
        <v>Horses</v>
      </c>
      <c r="D209" s="28"/>
      <c r="E209" s="511"/>
      <c r="F209" s="512"/>
      <c r="G209" s="509">
        <f t="shared" si="14"/>
        <v>0</v>
      </c>
      <c r="H209" s="28"/>
      <c r="I209" s="22">
        <v>0</v>
      </c>
      <c r="J209" s="549">
        <f t="shared" si="13"/>
        <v>0</v>
      </c>
      <c r="K209" s="28"/>
      <c r="L209" s="28"/>
      <c r="M209" s="28"/>
      <c r="N209" s="28"/>
      <c r="O209" s="28"/>
    </row>
    <row r="210" spans="1:15" ht="15.75">
      <c r="A210" s="426"/>
      <c r="B210" s="25" t="s">
        <v>127</v>
      </c>
      <c r="C210" s="550" t="str">
        <f t="shared" si="12"/>
        <v>Horses</v>
      </c>
      <c r="D210" s="28"/>
      <c r="E210" s="511"/>
      <c r="F210" s="512"/>
      <c r="G210" s="509">
        <f t="shared" si="14"/>
        <v>0</v>
      </c>
      <c r="H210" s="28"/>
      <c r="I210" s="22">
        <v>0</v>
      </c>
      <c r="J210" s="549">
        <f t="shared" si="13"/>
        <v>0</v>
      </c>
      <c r="K210" s="28"/>
      <c r="L210" s="28"/>
      <c r="M210" s="28"/>
      <c r="N210" s="28"/>
      <c r="O210" s="28"/>
    </row>
    <row r="211" spans="1:15" ht="15.75">
      <c r="A211" s="426"/>
      <c r="B211" s="25" t="s">
        <v>127</v>
      </c>
      <c r="C211" s="550" t="str">
        <f t="shared" si="12"/>
        <v>Horses</v>
      </c>
      <c r="D211" s="28"/>
      <c r="E211" s="511"/>
      <c r="F211" s="512"/>
      <c r="G211" s="509">
        <f t="shared" si="14"/>
        <v>0</v>
      </c>
      <c r="H211" s="28"/>
      <c r="I211" s="22">
        <v>0</v>
      </c>
      <c r="J211" s="549">
        <f t="shared" si="13"/>
        <v>0</v>
      </c>
      <c r="K211" s="28"/>
      <c r="L211" s="28"/>
      <c r="M211" s="28"/>
      <c r="N211" s="28"/>
      <c r="O211" s="28"/>
    </row>
    <row r="212" spans="1:15" ht="15.75">
      <c r="A212" s="426"/>
      <c r="B212" s="25" t="s">
        <v>127</v>
      </c>
      <c r="C212" s="550" t="str">
        <f t="shared" si="12"/>
        <v>Horses</v>
      </c>
      <c r="D212" s="28"/>
      <c r="E212" s="511"/>
      <c r="F212" s="512"/>
      <c r="G212" s="509">
        <f t="shared" si="14"/>
        <v>0</v>
      </c>
      <c r="H212" s="28"/>
      <c r="I212" s="22">
        <v>0</v>
      </c>
      <c r="J212" s="549">
        <f t="shared" si="13"/>
        <v>0</v>
      </c>
      <c r="K212" s="28"/>
      <c r="L212" s="28"/>
      <c r="M212" s="28"/>
      <c r="N212" s="28"/>
      <c r="O212" s="28"/>
    </row>
    <row r="213" spans="1:15" ht="15.75">
      <c r="A213" s="426"/>
      <c r="B213" s="25" t="s">
        <v>127</v>
      </c>
      <c r="C213" s="550" t="str">
        <f t="shared" si="12"/>
        <v>Horses</v>
      </c>
      <c r="D213" s="28"/>
      <c r="E213" s="511"/>
      <c r="F213" s="512"/>
      <c r="G213" s="509">
        <f t="shared" si="14"/>
        <v>0</v>
      </c>
      <c r="H213" s="28"/>
      <c r="I213" s="22">
        <v>0</v>
      </c>
      <c r="J213" s="549">
        <f t="shared" si="13"/>
        <v>0</v>
      </c>
      <c r="K213" s="28"/>
      <c r="L213" s="28"/>
      <c r="M213" s="28"/>
      <c r="N213" s="28"/>
      <c r="O213" s="28"/>
    </row>
    <row r="214" spans="1:15" ht="15.75">
      <c r="A214" s="426"/>
      <c r="B214" s="25" t="s">
        <v>127</v>
      </c>
      <c r="C214" s="550" t="str">
        <f t="shared" si="12"/>
        <v>Horses</v>
      </c>
      <c r="D214" s="28"/>
      <c r="E214" s="511"/>
      <c r="F214" s="512"/>
      <c r="G214" s="509">
        <f t="shared" si="14"/>
        <v>0</v>
      </c>
      <c r="H214" s="28"/>
      <c r="I214" s="22">
        <v>0</v>
      </c>
      <c r="J214" s="549">
        <f t="shared" si="13"/>
        <v>0</v>
      </c>
      <c r="K214" s="28"/>
      <c r="L214" s="28"/>
      <c r="M214" s="28"/>
      <c r="N214" s="28"/>
      <c r="O214" s="28"/>
    </row>
    <row r="215" spans="1:15" ht="15.75">
      <c r="A215" s="426"/>
      <c r="B215" s="25" t="s">
        <v>127</v>
      </c>
      <c r="C215" s="550" t="str">
        <f t="shared" si="12"/>
        <v>Horses</v>
      </c>
      <c r="D215" s="28"/>
      <c r="E215" s="511"/>
      <c r="F215" s="512"/>
      <c r="G215" s="509">
        <f t="shared" si="14"/>
        <v>0</v>
      </c>
      <c r="H215" s="28"/>
      <c r="I215" s="22">
        <v>0</v>
      </c>
      <c r="J215" s="549">
        <f t="shared" si="13"/>
        <v>0</v>
      </c>
      <c r="K215" s="28"/>
      <c r="L215" s="28"/>
      <c r="M215" s="28"/>
      <c r="N215" s="28"/>
      <c r="O215" s="28"/>
    </row>
    <row r="216" spans="1:15" ht="15.75">
      <c r="A216" s="426"/>
      <c r="B216" s="25" t="s">
        <v>127</v>
      </c>
      <c r="C216" s="550" t="str">
        <f t="shared" si="12"/>
        <v>Horses</v>
      </c>
      <c r="D216" s="28"/>
      <c r="E216" s="511"/>
      <c r="F216" s="512"/>
      <c r="G216" s="509">
        <f t="shared" si="14"/>
        <v>0</v>
      </c>
      <c r="H216" s="28"/>
      <c r="I216" s="22">
        <v>0</v>
      </c>
      <c r="J216" s="549">
        <f t="shared" si="13"/>
        <v>0</v>
      </c>
      <c r="K216" s="28"/>
      <c r="L216" s="28"/>
      <c r="M216" s="28"/>
      <c r="N216" s="28"/>
      <c r="O216" s="28"/>
    </row>
    <row r="217" spans="1:15" ht="15.75">
      <c r="A217" s="426"/>
      <c r="B217" s="25" t="s">
        <v>127</v>
      </c>
      <c r="C217" s="550" t="str">
        <f t="shared" si="12"/>
        <v>Horses</v>
      </c>
      <c r="D217" s="28"/>
      <c r="E217" s="511"/>
      <c r="F217" s="512"/>
      <c r="G217" s="509">
        <f t="shared" si="14"/>
        <v>0</v>
      </c>
      <c r="H217" s="28"/>
      <c r="I217" s="22">
        <v>0</v>
      </c>
      <c r="J217" s="549">
        <f t="shared" si="13"/>
        <v>0</v>
      </c>
      <c r="K217" s="28"/>
      <c r="L217" s="28"/>
      <c r="M217" s="28"/>
      <c r="N217" s="28"/>
      <c r="O217" s="28"/>
    </row>
    <row r="218" spans="1:15" ht="16.5" thickBot="1">
      <c r="A218" s="426"/>
      <c r="B218" s="27" t="s">
        <v>127</v>
      </c>
      <c r="C218" s="564" t="str">
        <f t="shared" si="12"/>
        <v>Horses</v>
      </c>
      <c r="D218" s="28"/>
      <c r="E218" s="513"/>
      <c r="F218" s="514"/>
      <c r="G218" s="554">
        <f t="shared" si="14"/>
        <v>0</v>
      </c>
      <c r="H218" s="28"/>
      <c r="I218" s="23">
        <v>0</v>
      </c>
      <c r="J218" s="555">
        <f t="shared" si="13"/>
        <v>0</v>
      </c>
      <c r="K218" s="28"/>
      <c r="L218" s="28"/>
      <c r="M218" s="28"/>
      <c r="N218" s="28"/>
      <c r="O218" s="28"/>
    </row>
    <row r="219" spans="1:15" ht="16.5" thickTop="1">
      <c r="A219" s="426"/>
      <c r="B219" s="28"/>
      <c r="C219" s="54"/>
      <c r="D219" s="426"/>
      <c r="E219" s="28"/>
      <c r="F219" s="559" t="s">
        <v>128</v>
      </c>
      <c r="G219" s="509">
        <f>SUM(G198:G218)</f>
        <v>90</v>
      </c>
      <c r="H219" s="28"/>
      <c r="I219" s="470" t="s">
        <v>129</v>
      </c>
      <c r="J219" s="549">
        <f>SUM(J198:J218)</f>
        <v>0</v>
      </c>
      <c r="K219" s="28"/>
      <c r="L219" s="28"/>
      <c r="M219" s="28"/>
      <c r="N219" s="28"/>
      <c r="O219" s="28"/>
    </row>
    <row r="220" spans="1:15" ht="15.75">
      <c r="A220" s="426"/>
      <c r="B220" s="28"/>
      <c r="C220" s="54"/>
      <c r="D220" s="426"/>
      <c r="E220" s="28"/>
      <c r="F220" s="563"/>
      <c r="G220" s="509"/>
      <c r="H220" s="28"/>
      <c r="I220" s="470"/>
      <c r="J220" s="549"/>
      <c r="K220" s="28"/>
      <c r="L220" s="28"/>
      <c r="M220" s="28"/>
      <c r="N220" s="28"/>
      <c r="O220" s="28"/>
    </row>
    <row r="221" spans="1:15" ht="15.75">
      <c r="A221" s="426"/>
      <c r="B221" s="28"/>
      <c r="C221" s="54" t="s">
        <v>123</v>
      </c>
      <c r="D221" s="28"/>
      <c r="E221" s="647" t="s">
        <v>573</v>
      </c>
      <c r="F221" s="647"/>
      <c r="G221" s="34"/>
      <c r="H221" s="28"/>
      <c r="I221" s="34"/>
      <c r="J221" s="34" t="s">
        <v>101</v>
      </c>
      <c r="K221" s="28"/>
      <c r="L221" s="28"/>
      <c r="M221" s="28"/>
      <c r="N221" s="28"/>
      <c r="O221" s="28"/>
    </row>
    <row r="222" spans="1:15" ht="15.75">
      <c r="A222" s="426"/>
      <c r="B222" s="28" t="s">
        <v>109</v>
      </c>
      <c r="C222" s="54" t="s">
        <v>124</v>
      </c>
      <c r="D222" s="28"/>
      <c r="E222" s="75" t="s">
        <v>105</v>
      </c>
      <c r="F222" s="75" t="s">
        <v>106</v>
      </c>
      <c r="G222" s="34" t="s">
        <v>107</v>
      </c>
      <c r="H222" s="28"/>
      <c r="I222" s="34" t="s">
        <v>108</v>
      </c>
      <c r="J222" s="34" t="s">
        <v>125</v>
      </c>
      <c r="K222" s="28"/>
      <c r="L222" s="28"/>
      <c r="M222" s="28"/>
      <c r="N222" s="28"/>
      <c r="O222" s="28"/>
    </row>
    <row r="223" spans="1:15" ht="15.75">
      <c r="A223" s="426"/>
      <c r="B223" s="24" t="s">
        <v>127</v>
      </c>
      <c r="C223" s="548" t="str">
        <f>$B$18</f>
        <v>Sheep</v>
      </c>
      <c r="D223" s="28"/>
      <c r="E223" s="561">
        <v>37012</v>
      </c>
      <c r="F223" s="562">
        <v>37102</v>
      </c>
      <c r="G223" s="509">
        <f>F223-E223</f>
        <v>90</v>
      </c>
      <c r="H223" s="28"/>
      <c r="I223" s="20">
        <v>0</v>
      </c>
      <c r="J223" s="549">
        <f>G223/30*I223*$D$18</f>
        <v>0</v>
      </c>
      <c r="K223" s="28"/>
      <c r="L223" s="28"/>
      <c r="M223" s="28"/>
      <c r="N223" s="28"/>
      <c r="O223" s="28"/>
    </row>
    <row r="224" spans="1:15" ht="15.75">
      <c r="A224" s="426"/>
      <c r="B224" s="25" t="s">
        <v>127</v>
      </c>
      <c r="C224" s="550" t="str">
        <f aca="true" t="shared" si="15" ref="C224:C243">$B$18</f>
        <v>Sheep</v>
      </c>
      <c r="D224" s="28"/>
      <c r="E224" s="511"/>
      <c r="F224" s="512"/>
      <c r="G224" s="509">
        <f>F224-E224</f>
        <v>0</v>
      </c>
      <c r="H224" s="28"/>
      <c r="I224" s="22">
        <v>0</v>
      </c>
      <c r="J224" s="549">
        <f aca="true" t="shared" si="16" ref="J224:J243">G224/30*I224*$D$18</f>
        <v>0</v>
      </c>
      <c r="K224" s="28"/>
      <c r="L224" s="28"/>
      <c r="M224" s="28"/>
      <c r="N224" s="28"/>
      <c r="O224" s="28"/>
    </row>
    <row r="225" spans="1:15" ht="15.75">
      <c r="A225" s="426"/>
      <c r="B225" s="25" t="s">
        <v>127</v>
      </c>
      <c r="C225" s="550" t="str">
        <f t="shared" si="15"/>
        <v>Sheep</v>
      </c>
      <c r="D225" s="28"/>
      <c r="E225" s="511"/>
      <c r="F225" s="512"/>
      <c r="G225" s="509">
        <f>F225-E225</f>
        <v>0</v>
      </c>
      <c r="H225" s="28"/>
      <c r="I225" s="22">
        <v>0</v>
      </c>
      <c r="J225" s="549">
        <f t="shared" si="16"/>
        <v>0</v>
      </c>
      <c r="K225" s="28"/>
      <c r="L225" s="28"/>
      <c r="M225" s="28"/>
      <c r="N225" s="28"/>
      <c r="O225" s="28"/>
    </row>
    <row r="226" spans="1:15" ht="15.75">
      <c r="A226" s="426"/>
      <c r="B226" s="25" t="s">
        <v>127</v>
      </c>
      <c r="C226" s="550" t="str">
        <f t="shared" si="15"/>
        <v>Sheep</v>
      </c>
      <c r="D226" s="28"/>
      <c r="E226" s="511"/>
      <c r="F226" s="512"/>
      <c r="G226" s="509">
        <f>F226-E226</f>
        <v>0</v>
      </c>
      <c r="H226" s="28"/>
      <c r="I226" s="22">
        <v>0</v>
      </c>
      <c r="J226" s="549">
        <f t="shared" si="16"/>
        <v>0</v>
      </c>
      <c r="K226" s="28"/>
      <c r="L226" s="28"/>
      <c r="M226" s="28"/>
      <c r="N226" s="28"/>
      <c r="O226" s="28"/>
    </row>
    <row r="227" spans="1:15" ht="15.75">
      <c r="A227" s="426"/>
      <c r="B227" s="25" t="s">
        <v>127</v>
      </c>
      <c r="C227" s="550" t="str">
        <f t="shared" si="15"/>
        <v>Sheep</v>
      </c>
      <c r="D227" s="28"/>
      <c r="E227" s="511"/>
      <c r="F227" s="512"/>
      <c r="G227" s="509">
        <f>F227-E227</f>
        <v>0</v>
      </c>
      <c r="H227" s="28"/>
      <c r="I227" s="22">
        <v>0</v>
      </c>
      <c r="J227" s="549">
        <f t="shared" si="16"/>
        <v>0</v>
      </c>
      <c r="K227" s="28"/>
      <c r="L227" s="28"/>
      <c r="M227" s="28"/>
      <c r="N227" s="28"/>
      <c r="O227" s="28"/>
    </row>
    <row r="228" spans="1:15" ht="15.75">
      <c r="A228" s="426"/>
      <c r="B228" s="25" t="s">
        <v>127</v>
      </c>
      <c r="C228" s="550" t="str">
        <f t="shared" si="15"/>
        <v>Sheep</v>
      </c>
      <c r="D228" s="28"/>
      <c r="E228" s="511"/>
      <c r="F228" s="512"/>
      <c r="G228" s="509">
        <f aca="true" t="shared" si="17" ref="G228:G243">F228-E228</f>
        <v>0</v>
      </c>
      <c r="H228" s="28"/>
      <c r="I228" s="22">
        <v>0</v>
      </c>
      <c r="J228" s="549">
        <f t="shared" si="16"/>
        <v>0</v>
      </c>
      <c r="K228" s="28"/>
      <c r="L228" s="28"/>
      <c r="M228" s="28"/>
      <c r="N228" s="28"/>
      <c r="O228" s="28"/>
    </row>
    <row r="229" spans="1:15" ht="15.75">
      <c r="A229" s="426"/>
      <c r="B229" s="25" t="s">
        <v>127</v>
      </c>
      <c r="C229" s="550" t="str">
        <f t="shared" si="15"/>
        <v>Sheep</v>
      </c>
      <c r="D229" s="28"/>
      <c r="E229" s="511"/>
      <c r="F229" s="512"/>
      <c r="G229" s="509">
        <f t="shared" si="17"/>
        <v>0</v>
      </c>
      <c r="H229" s="28"/>
      <c r="I229" s="22">
        <v>0</v>
      </c>
      <c r="J229" s="549">
        <f t="shared" si="16"/>
        <v>0</v>
      </c>
      <c r="K229" s="28"/>
      <c r="L229" s="28"/>
      <c r="M229" s="28"/>
      <c r="N229" s="28"/>
      <c r="O229" s="28"/>
    </row>
    <row r="230" spans="1:15" ht="15.75">
      <c r="A230" s="426"/>
      <c r="B230" s="25" t="s">
        <v>127</v>
      </c>
      <c r="C230" s="550" t="str">
        <f t="shared" si="15"/>
        <v>Sheep</v>
      </c>
      <c r="D230" s="28"/>
      <c r="E230" s="511"/>
      <c r="F230" s="512"/>
      <c r="G230" s="509">
        <f t="shared" si="17"/>
        <v>0</v>
      </c>
      <c r="H230" s="28"/>
      <c r="I230" s="22">
        <v>0</v>
      </c>
      <c r="J230" s="549">
        <f t="shared" si="16"/>
        <v>0</v>
      </c>
      <c r="K230" s="28"/>
      <c r="L230" s="28"/>
      <c r="M230" s="28"/>
      <c r="N230" s="28"/>
      <c r="O230" s="28"/>
    </row>
    <row r="231" spans="1:15" ht="15.75">
      <c r="A231" s="426"/>
      <c r="B231" s="25" t="s">
        <v>127</v>
      </c>
      <c r="C231" s="550" t="str">
        <f t="shared" si="15"/>
        <v>Sheep</v>
      </c>
      <c r="D231" s="28"/>
      <c r="E231" s="511"/>
      <c r="F231" s="512"/>
      <c r="G231" s="509">
        <f t="shared" si="17"/>
        <v>0</v>
      </c>
      <c r="H231" s="28"/>
      <c r="I231" s="22">
        <v>0</v>
      </c>
      <c r="J231" s="549">
        <f t="shared" si="16"/>
        <v>0</v>
      </c>
      <c r="K231" s="28"/>
      <c r="L231" s="28"/>
      <c r="M231" s="28"/>
      <c r="N231" s="28"/>
      <c r="O231" s="28"/>
    </row>
    <row r="232" spans="1:15" ht="15.75">
      <c r="A232" s="426"/>
      <c r="B232" s="25" t="s">
        <v>127</v>
      </c>
      <c r="C232" s="550" t="str">
        <f t="shared" si="15"/>
        <v>Sheep</v>
      </c>
      <c r="D232" s="28"/>
      <c r="E232" s="511"/>
      <c r="F232" s="512"/>
      <c r="G232" s="509">
        <f t="shared" si="17"/>
        <v>0</v>
      </c>
      <c r="H232" s="28"/>
      <c r="I232" s="22">
        <v>0</v>
      </c>
      <c r="J232" s="549">
        <f t="shared" si="16"/>
        <v>0</v>
      </c>
      <c r="K232" s="28"/>
      <c r="L232" s="28"/>
      <c r="M232" s="28"/>
      <c r="N232" s="28"/>
      <c r="O232" s="28"/>
    </row>
    <row r="233" spans="1:15" ht="15.75">
      <c r="A233" s="426"/>
      <c r="B233" s="25" t="s">
        <v>127</v>
      </c>
      <c r="C233" s="550" t="str">
        <f t="shared" si="15"/>
        <v>Sheep</v>
      </c>
      <c r="D233" s="28"/>
      <c r="E233" s="511"/>
      <c r="F233" s="512"/>
      <c r="G233" s="509">
        <f t="shared" si="17"/>
        <v>0</v>
      </c>
      <c r="H233" s="28"/>
      <c r="I233" s="22">
        <v>0</v>
      </c>
      <c r="J233" s="549">
        <f t="shared" si="16"/>
        <v>0</v>
      </c>
      <c r="K233" s="28"/>
      <c r="L233" s="28"/>
      <c r="M233" s="28"/>
      <c r="N233" s="28"/>
      <c r="O233" s="28"/>
    </row>
    <row r="234" spans="1:15" ht="15.75">
      <c r="A234" s="426"/>
      <c r="B234" s="25" t="s">
        <v>127</v>
      </c>
      <c r="C234" s="550" t="str">
        <f t="shared" si="15"/>
        <v>Sheep</v>
      </c>
      <c r="D234" s="28"/>
      <c r="E234" s="511"/>
      <c r="F234" s="512"/>
      <c r="G234" s="509">
        <f t="shared" si="17"/>
        <v>0</v>
      </c>
      <c r="H234" s="28"/>
      <c r="I234" s="22">
        <v>0</v>
      </c>
      <c r="J234" s="549">
        <f t="shared" si="16"/>
        <v>0</v>
      </c>
      <c r="K234" s="28"/>
      <c r="L234" s="28"/>
      <c r="M234" s="28"/>
      <c r="N234" s="28"/>
      <c r="O234" s="28"/>
    </row>
    <row r="235" spans="1:15" ht="15.75">
      <c r="A235" s="426"/>
      <c r="B235" s="25" t="s">
        <v>127</v>
      </c>
      <c r="C235" s="550" t="str">
        <f t="shared" si="15"/>
        <v>Sheep</v>
      </c>
      <c r="D235" s="28"/>
      <c r="E235" s="511"/>
      <c r="F235" s="512"/>
      <c r="G235" s="509">
        <f t="shared" si="17"/>
        <v>0</v>
      </c>
      <c r="H235" s="28"/>
      <c r="I235" s="22">
        <v>0</v>
      </c>
      <c r="J235" s="549">
        <f t="shared" si="16"/>
        <v>0</v>
      </c>
      <c r="K235" s="28"/>
      <c r="L235" s="28"/>
      <c r="M235" s="28"/>
      <c r="N235" s="28"/>
      <c r="O235" s="28"/>
    </row>
    <row r="236" spans="1:15" ht="15.75">
      <c r="A236" s="426"/>
      <c r="B236" s="25" t="s">
        <v>127</v>
      </c>
      <c r="C236" s="550" t="str">
        <f t="shared" si="15"/>
        <v>Sheep</v>
      </c>
      <c r="D236" s="28"/>
      <c r="E236" s="511"/>
      <c r="F236" s="512"/>
      <c r="G236" s="509">
        <f t="shared" si="17"/>
        <v>0</v>
      </c>
      <c r="H236" s="28"/>
      <c r="I236" s="22">
        <v>0</v>
      </c>
      <c r="J236" s="549">
        <f t="shared" si="16"/>
        <v>0</v>
      </c>
      <c r="K236" s="28"/>
      <c r="L236" s="28"/>
      <c r="M236" s="28"/>
      <c r="N236" s="28"/>
      <c r="O236" s="28"/>
    </row>
    <row r="237" spans="1:15" ht="15.75">
      <c r="A237" s="426"/>
      <c r="B237" s="25" t="s">
        <v>127</v>
      </c>
      <c r="C237" s="550" t="str">
        <f t="shared" si="15"/>
        <v>Sheep</v>
      </c>
      <c r="D237" s="28"/>
      <c r="E237" s="511"/>
      <c r="F237" s="512"/>
      <c r="G237" s="509">
        <f t="shared" si="17"/>
        <v>0</v>
      </c>
      <c r="H237" s="28"/>
      <c r="I237" s="22">
        <v>0</v>
      </c>
      <c r="J237" s="549">
        <f t="shared" si="16"/>
        <v>0</v>
      </c>
      <c r="K237" s="28"/>
      <c r="L237" s="28"/>
      <c r="M237" s="28"/>
      <c r="N237" s="28"/>
      <c r="O237" s="28"/>
    </row>
    <row r="238" spans="1:15" ht="15.75">
      <c r="A238" s="426"/>
      <c r="B238" s="25" t="s">
        <v>127</v>
      </c>
      <c r="C238" s="550" t="str">
        <f t="shared" si="15"/>
        <v>Sheep</v>
      </c>
      <c r="D238" s="28"/>
      <c r="E238" s="511"/>
      <c r="F238" s="512"/>
      <c r="G238" s="509">
        <f t="shared" si="17"/>
        <v>0</v>
      </c>
      <c r="H238" s="28"/>
      <c r="I238" s="22">
        <v>0</v>
      </c>
      <c r="J238" s="549">
        <f t="shared" si="16"/>
        <v>0</v>
      </c>
      <c r="K238" s="28"/>
      <c r="L238" s="28"/>
      <c r="M238" s="28"/>
      <c r="N238" s="28"/>
      <c r="O238" s="28"/>
    </row>
    <row r="239" spans="1:15" ht="15.75">
      <c r="A239" s="426"/>
      <c r="B239" s="25" t="s">
        <v>127</v>
      </c>
      <c r="C239" s="550" t="str">
        <f t="shared" si="15"/>
        <v>Sheep</v>
      </c>
      <c r="D239" s="28"/>
      <c r="E239" s="511"/>
      <c r="F239" s="512"/>
      <c r="G239" s="509">
        <f t="shared" si="17"/>
        <v>0</v>
      </c>
      <c r="H239" s="28"/>
      <c r="I239" s="22">
        <v>0</v>
      </c>
      <c r="J239" s="549">
        <f t="shared" si="16"/>
        <v>0</v>
      </c>
      <c r="K239" s="28"/>
      <c r="L239" s="28"/>
      <c r="M239" s="28"/>
      <c r="N239" s="28"/>
      <c r="O239" s="28"/>
    </row>
    <row r="240" spans="1:15" ht="15.75">
      <c r="A240" s="426"/>
      <c r="B240" s="25" t="s">
        <v>127</v>
      </c>
      <c r="C240" s="550" t="str">
        <f t="shared" si="15"/>
        <v>Sheep</v>
      </c>
      <c r="D240" s="28"/>
      <c r="E240" s="511"/>
      <c r="F240" s="512"/>
      <c r="G240" s="509">
        <f t="shared" si="17"/>
        <v>0</v>
      </c>
      <c r="H240" s="28"/>
      <c r="I240" s="22">
        <v>0</v>
      </c>
      <c r="J240" s="549">
        <f t="shared" si="16"/>
        <v>0</v>
      </c>
      <c r="K240" s="28"/>
      <c r="L240" s="28"/>
      <c r="M240" s="28"/>
      <c r="N240" s="28"/>
      <c r="O240" s="28"/>
    </row>
    <row r="241" spans="1:15" ht="15.75">
      <c r="A241" s="426"/>
      <c r="B241" s="25" t="s">
        <v>127</v>
      </c>
      <c r="C241" s="550" t="str">
        <f t="shared" si="15"/>
        <v>Sheep</v>
      </c>
      <c r="D241" s="28"/>
      <c r="E241" s="511"/>
      <c r="F241" s="512"/>
      <c r="G241" s="509">
        <f t="shared" si="17"/>
        <v>0</v>
      </c>
      <c r="H241" s="28"/>
      <c r="I241" s="22">
        <v>0</v>
      </c>
      <c r="J241" s="549">
        <f t="shared" si="16"/>
        <v>0</v>
      </c>
      <c r="K241" s="28"/>
      <c r="L241" s="28"/>
      <c r="M241" s="28"/>
      <c r="N241" s="28"/>
      <c r="O241" s="28"/>
    </row>
    <row r="242" spans="1:15" ht="15.75">
      <c r="A242" s="426"/>
      <c r="B242" s="25" t="s">
        <v>127</v>
      </c>
      <c r="C242" s="550" t="str">
        <f t="shared" si="15"/>
        <v>Sheep</v>
      </c>
      <c r="D242" s="28"/>
      <c r="E242" s="511"/>
      <c r="F242" s="512"/>
      <c r="G242" s="509">
        <f t="shared" si="17"/>
        <v>0</v>
      </c>
      <c r="H242" s="28"/>
      <c r="I242" s="22">
        <v>0</v>
      </c>
      <c r="J242" s="549">
        <f t="shared" si="16"/>
        <v>0</v>
      </c>
      <c r="K242" s="28"/>
      <c r="L242" s="28"/>
      <c r="M242" s="28"/>
      <c r="N242" s="28"/>
      <c r="O242" s="28"/>
    </row>
    <row r="243" spans="1:15" ht="16.5" thickBot="1">
      <c r="A243" s="426"/>
      <c r="B243" s="27" t="s">
        <v>127</v>
      </c>
      <c r="C243" s="564" t="str">
        <f t="shared" si="15"/>
        <v>Sheep</v>
      </c>
      <c r="D243" s="28"/>
      <c r="E243" s="513"/>
      <c r="F243" s="514"/>
      <c r="G243" s="554">
        <f t="shared" si="17"/>
        <v>0</v>
      </c>
      <c r="H243" s="28"/>
      <c r="I243" s="23">
        <v>0</v>
      </c>
      <c r="J243" s="555">
        <f t="shared" si="16"/>
        <v>0</v>
      </c>
      <c r="K243" s="28"/>
      <c r="L243" s="28"/>
      <c r="M243" s="28"/>
      <c r="N243" s="28"/>
      <c r="O243" s="28"/>
    </row>
    <row r="244" spans="1:15" ht="16.5" thickTop="1">
      <c r="A244" s="426"/>
      <c r="B244" s="28"/>
      <c r="C244" s="54"/>
      <c r="D244" s="426"/>
      <c r="E244" s="28"/>
      <c r="F244" s="559" t="s">
        <v>128</v>
      </c>
      <c r="G244" s="509">
        <f>SUM(G223:G243)</f>
        <v>90</v>
      </c>
      <c r="H244" s="28"/>
      <c r="I244" s="470" t="s">
        <v>129</v>
      </c>
      <c r="J244" s="549">
        <f>SUM(J223:J243)</f>
        <v>0</v>
      </c>
      <c r="K244" s="28"/>
      <c r="L244" s="28"/>
      <c r="M244" s="28"/>
      <c r="N244" s="28"/>
      <c r="O244" s="28"/>
    </row>
    <row r="245" spans="1:15" ht="15.75">
      <c r="A245" s="426"/>
      <c r="B245" s="28"/>
      <c r="C245" s="54"/>
      <c r="D245" s="426"/>
      <c r="E245" s="28"/>
      <c r="F245" s="563"/>
      <c r="G245" s="509"/>
      <c r="H245" s="28"/>
      <c r="I245" s="470"/>
      <c r="J245" s="549"/>
      <c r="K245" s="28"/>
      <c r="L245" s="28"/>
      <c r="M245" s="28"/>
      <c r="N245" s="28"/>
      <c r="O245" s="28"/>
    </row>
    <row r="246" spans="1:15" ht="15.75">
      <c r="A246" s="426"/>
      <c r="B246" s="28"/>
      <c r="C246" s="54" t="s">
        <v>123</v>
      </c>
      <c r="D246" s="28"/>
      <c r="E246" s="647" t="s">
        <v>573</v>
      </c>
      <c r="F246" s="647"/>
      <c r="G246" s="34"/>
      <c r="H246" s="28"/>
      <c r="I246" s="34"/>
      <c r="J246" s="34" t="s">
        <v>101</v>
      </c>
      <c r="K246" s="28"/>
      <c r="L246" s="28"/>
      <c r="M246" s="28"/>
      <c r="N246" s="28"/>
      <c r="O246" s="28"/>
    </row>
    <row r="247" spans="1:15" ht="15.75">
      <c r="A247" s="426"/>
      <c r="B247" s="28" t="s">
        <v>109</v>
      </c>
      <c r="C247" s="54" t="s">
        <v>124</v>
      </c>
      <c r="D247" s="28"/>
      <c r="E247" s="75" t="s">
        <v>105</v>
      </c>
      <c r="F247" s="75" t="s">
        <v>106</v>
      </c>
      <c r="G247" s="34" t="s">
        <v>107</v>
      </c>
      <c r="H247" s="28"/>
      <c r="I247" s="34" t="s">
        <v>108</v>
      </c>
      <c r="J247" s="34" t="s">
        <v>125</v>
      </c>
      <c r="K247" s="28"/>
      <c r="L247" s="28"/>
      <c r="M247" s="28"/>
      <c r="N247" s="28"/>
      <c r="O247" s="28"/>
    </row>
    <row r="248" spans="1:15" ht="15.75">
      <c r="A248" s="426"/>
      <c r="B248" s="24" t="s">
        <v>127</v>
      </c>
      <c r="C248" s="548" t="str">
        <f>$B$19</f>
        <v>Other Livestock #1</v>
      </c>
      <c r="D248" s="28"/>
      <c r="E248" s="561">
        <v>37012</v>
      </c>
      <c r="F248" s="562">
        <v>37102</v>
      </c>
      <c r="G248" s="509">
        <f>F248-E248</f>
        <v>90</v>
      </c>
      <c r="H248" s="28"/>
      <c r="I248" s="20">
        <v>0</v>
      </c>
      <c r="J248" s="549">
        <f>G248/30*I248*$D$19</f>
        <v>0</v>
      </c>
      <c r="K248" s="28"/>
      <c r="L248" s="28"/>
      <c r="M248" s="28"/>
      <c r="N248" s="28"/>
      <c r="O248" s="28"/>
    </row>
    <row r="249" spans="1:15" ht="15.75">
      <c r="A249" s="426"/>
      <c r="B249" s="25" t="s">
        <v>127</v>
      </c>
      <c r="C249" s="550" t="str">
        <f aca="true" t="shared" si="18" ref="C249:C268">$B$19</f>
        <v>Other Livestock #1</v>
      </c>
      <c r="D249" s="28"/>
      <c r="E249" s="511"/>
      <c r="F249" s="512"/>
      <c r="G249" s="509">
        <f>F249-E249</f>
        <v>0</v>
      </c>
      <c r="H249" s="28"/>
      <c r="I249" s="22">
        <v>0</v>
      </c>
      <c r="J249" s="549">
        <f aca="true" t="shared" si="19" ref="J249:J268">G249/30*I249*$D$19</f>
        <v>0</v>
      </c>
      <c r="K249" s="28"/>
      <c r="L249" s="28"/>
      <c r="M249" s="28"/>
      <c r="N249" s="28"/>
      <c r="O249" s="28"/>
    </row>
    <row r="250" spans="1:15" ht="15.75">
      <c r="A250" s="426"/>
      <c r="B250" s="25" t="s">
        <v>127</v>
      </c>
      <c r="C250" s="550" t="str">
        <f t="shared" si="18"/>
        <v>Other Livestock #1</v>
      </c>
      <c r="D250" s="28"/>
      <c r="E250" s="511"/>
      <c r="F250" s="512"/>
      <c r="G250" s="509">
        <f>F250-E250</f>
        <v>0</v>
      </c>
      <c r="H250" s="28"/>
      <c r="I250" s="22">
        <v>0</v>
      </c>
      <c r="J250" s="549">
        <f t="shared" si="19"/>
        <v>0</v>
      </c>
      <c r="K250" s="28"/>
      <c r="L250" s="28"/>
      <c r="M250" s="28"/>
      <c r="N250" s="28"/>
      <c r="O250" s="28"/>
    </row>
    <row r="251" spans="1:15" ht="15.75">
      <c r="A251" s="426"/>
      <c r="B251" s="25" t="s">
        <v>127</v>
      </c>
      <c r="C251" s="550" t="str">
        <f t="shared" si="18"/>
        <v>Other Livestock #1</v>
      </c>
      <c r="D251" s="28"/>
      <c r="E251" s="511"/>
      <c r="F251" s="512"/>
      <c r="G251" s="509">
        <f>F251-E251</f>
        <v>0</v>
      </c>
      <c r="H251" s="28"/>
      <c r="I251" s="22">
        <v>0</v>
      </c>
      <c r="J251" s="549">
        <f t="shared" si="19"/>
        <v>0</v>
      </c>
      <c r="K251" s="28"/>
      <c r="L251" s="28"/>
      <c r="M251" s="28"/>
      <c r="N251" s="28"/>
      <c r="O251" s="28"/>
    </row>
    <row r="252" spans="1:15" ht="15.75">
      <c r="A252" s="426"/>
      <c r="B252" s="25" t="s">
        <v>127</v>
      </c>
      <c r="C252" s="550" t="str">
        <f t="shared" si="18"/>
        <v>Other Livestock #1</v>
      </c>
      <c r="D252" s="28"/>
      <c r="E252" s="511"/>
      <c r="F252" s="512"/>
      <c r="G252" s="509">
        <f>F252-E252</f>
        <v>0</v>
      </c>
      <c r="H252" s="28"/>
      <c r="I252" s="22">
        <v>0</v>
      </c>
      <c r="J252" s="549">
        <f t="shared" si="19"/>
        <v>0</v>
      </c>
      <c r="K252" s="28"/>
      <c r="L252" s="28"/>
      <c r="M252" s="28"/>
      <c r="N252" s="28"/>
      <c r="O252" s="28"/>
    </row>
    <row r="253" spans="1:15" ht="15.75">
      <c r="A253" s="426"/>
      <c r="B253" s="25" t="s">
        <v>127</v>
      </c>
      <c r="C253" s="550" t="str">
        <f t="shared" si="18"/>
        <v>Other Livestock #1</v>
      </c>
      <c r="D253" s="28"/>
      <c r="E253" s="511"/>
      <c r="F253" s="512"/>
      <c r="G253" s="509">
        <f aca="true" t="shared" si="20" ref="G253:G268">F253-E253</f>
        <v>0</v>
      </c>
      <c r="H253" s="28"/>
      <c r="I253" s="22">
        <v>0</v>
      </c>
      <c r="J253" s="549">
        <f t="shared" si="19"/>
        <v>0</v>
      </c>
      <c r="K253" s="28"/>
      <c r="L253" s="28"/>
      <c r="M253" s="28"/>
      <c r="N253" s="28"/>
      <c r="O253" s="28"/>
    </row>
    <row r="254" spans="1:15" ht="15.75">
      <c r="A254" s="426"/>
      <c r="B254" s="25" t="s">
        <v>127</v>
      </c>
      <c r="C254" s="550" t="str">
        <f t="shared" si="18"/>
        <v>Other Livestock #1</v>
      </c>
      <c r="D254" s="28"/>
      <c r="E254" s="511"/>
      <c r="F254" s="512"/>
      <c r="G254" s="509">
        <f t="shared" si="20"/>
        <v>0</v>
      </c>
      <c r="H254" s="28"/>
      <c r="I254" s="22">
        <v>0</v>
      </c>
      <c r="J254" s="549">
        <f t="shared" si="19"/>
        <v>0</v>
      </c>
      <c r="K254" s="28"/>
      <c r="L254" s="28"/>
      <c r="M254" s="28"/>
      <c r="N254" s="28"/>
      <c r="O254" s="28"/>
    </row>
    <row r="255" spans="1:15" ht="15.75">
      <c r="A255" s="426"/>
      <c r="B255" s="25" t="s">
        <v>127</v>
      </c>
      <c r="C255" s="550" t="str">
        <f t="shared" si="18"/>
        <v>Other Livestock #1</v>
      </c>
      <c r="D255" s="28"/>
      <c r="E255" s="511"/>
      <c r="F255" s="512"/>
      <c r="G255" s="509">
        <f t="shared" si="20"/>
        <v>0</v>
      </c>
      <c r="H255" s="28"/>
      <c r="I255" s="22">
        <v>0</v>
      </c>
      <c r="J255" s="549">
        <f t="shared" si="19"/>
        <v>0</v>
      </c>
      <c r="K255" s="28"/>
      <c r="L255" s="28"/>
      <c r="M255" s="28"/>
      <c r="N255" s="28"/>
      <c r="O255" s="28"/>
    </row>
    <row r="256" spans="1:15" ht="15.75">
      <c r="A256" s="426"/>
      <c r="B256" s="25" t="s">
        <v>127</v>
      </c>
      <c r="C256" s="550" t="str">
        <f t="shared" si="18"/>
        <v>Other Livestock #1</v>
      </c>
      <c r="D256" s="28"/>
      <c r="E256" s="511"/>
      <c r="F256" s="512"/>
      <c r="G256" s="509">
        <f t="shared" si="20"/>
        <v>0</v>
      </c>
      <c r="H256" s="28"/>
      <c r="I256" s="22">
        <v>0</v>
      </c>
      <c r="J256" s="549">
        <f t="shared" si="19"/>
        <v>0</v>
      </c>
      <c r="K256" s="28"/>
      <c r="L256" s="28"/>
      <c r="M256" s="28"/>
      <c r="N256" s="28"/>
      <c r="O256" s="28"/>
    </row>
    <row r="257" spans="1:15" ht="15.75">
      <c r="A257" s="426"/>
      <c r="B257" s="25" t="s">
        <v>127</v>
      </c>
      <c r="C257" s="550" t="str">
        <f t="shared" si="18"/>
        <v>Other Livestock #1</v>
      </c>
      <c r="D257" s="28"/>
      <c r="E257" s="511"/>
      <c r="F257" s="512"/>
      <c r="G257" s="509">
        <f t="shared" si="20"/>
        <v>0</v>
      </c>
      <c r="H257" s="28"/>
      <c r="I257" s="22">
        <v>0</v>
      </c>
      <c r="J257" s="549">
        <f t="shared" si="19"/>
        <v>0</v>
      </c>
      <c r="K257" s="28"/>
      <c r="L257" s="28"/>
      <c r="M257" s="28"/>
      <c r="N257" s="28"/>
      <c r="O257" s="28"/>
    </row>
    <row r="258" spans="1:15" ht="15.75">
      <c r="A258" s="426"/>
      <c r="B258" s="25" t="s">
        <v>127</v>
      </c>
      <c r="C258" s="550" t="str">
        <f t="shared" si="18"/>
        <v>Other Livestock #1</v>
      </c>
      <c r="D258" s="28"/>
      <c r="E258" s="511"/>
      <c r="F258" s="512"/>
      <c r="G258" s="509">
        <f t="shared" si="20"/>
        <v>0</v>
      </c>
      <c r="H258" s="28"/>
      <c r="I258" s="22">
        <v>0</v>
      </c>
      <c r="J258" s="549">
        <f t="shared" si="19"/>
        <v>0</v>
      </c>
      <c r="K258" s="28"/>
      <c r="L258" s="28"/>
      <c r="M258" s="28"/>
      <c r="N258" s="28"/>
      <c r="O258" s="28"/>
    </row>
    <row r="259" spans="1:15" ht="15.75">
      <c r="A259" s="426"/>
      <c r="B259" s="25" t="s">
        <v>127</v>
      </c>
      <c r="C259" s="550" t="str">
        <f t="shared" si="18"/>
        <v>Other Livestock #1</v>
      </c>
      <c r="D259" s="28"/>
      <c r="E259" s="511"/>
      <c r="F259" s="512"/>
      <c r="G259" s="509">
        <f t="shared" si="20"/>
        <v>0</v>
      </c>
      <c r="H259" s="28"/>
      <c r="I259" s="22">
        <v>0</v>
      </c>
      <c r="J259" s="549">
        <f t="shared" si="19"/>
        <v>0</v>
      </c>
      <c r="K259" s="28"/>
      <c r="L259" s="28"/>
      <c r="M259" s="28"/>
      <c r="N259" s="28"/>
      <c r="O259" s="28"/>
    </row>
    <row r="260" spans="1:15" ht="15.75">
      <c r="A260" s="426"/>
      <c r="B260" s="25" t="s">
        <v>127</v>
      </c>
      <c r="C260" s="550" t="str">
        <f t="shared" si="18"/>
        <v>Other Livestock #1</v>
      </c>
      <c r="D260" s="28"/>
      <c r="E260" s="511"/>
      <c r="F260" s="512"/>
      <c r="G260" s="509">
        <f t="shared" si="20"/>
        <v>0</v>
      </c>
      <c r="H260" s="28"/>
      <c r="I260" s="22">
        <v>0</v>
      </c>
      <c r="J260" s="549">
        <f t="shared" si="19"/>
        <v>0</v>
      </c>
      <c r="K260" s="28"/>
      <c r="L260" s="28"/>
      <c r="M260" s="28"/>
      <c r="N260" s="28"/>
      <c r="O260" s="28"/>
    </row>
    <row r="261" spans="1:15" ht="15.75">
      <c r="A261" s="426"/>
      <c r="B261" s="25" t="s">
        <v>127</v>
      </c>
      <c r="C261" s="550" t="str">
        <f t="shared" si="18"/>
        <v>Other Livestock #1</v>
      </c>
      <c r="D261" s="28"/>
      <c r="E261" s="511"/>
      <c r="F261" s="512"/>
      <c r="G261" s="509">
        <f t="shared" si="20"/>
        <v>0</v>
      </c>
      <c r="H261" s="28"/>
      <c r="I261" s="22">
        <v>0</v>
      </c>
      <c r="J261" s="549">
        <f t="shared" si="19"/>
        <v>0</v>
      </c>
      <c r="K261" s="28"/>
      <c r="L261" s="28"/>
      <c r="M261" s="28"/>
      <c r="N261" s="28"/>
      <c r="O261" s="28"/>
    </row>
    <row r="262" spans="1:15" ht="15.75">
      <c r="A262" s="426"/>
      <c r="B262" s="25" t="s">
        <v>127</v>
      </c>
      <c r="C262" s="550" t="str">
        <f t="shared" si="18"/>
        <v>Other Livestock #1</v>
      </c>
      <c r="D262" s="28"/>
      <c r="E262" s="511"/>
      <c r="F262" s="512"/>
      <c r="G262" s="509">
        <f t="shared" si="20"/>
        <v>0</v>
      </c>
      <c r="H262" s="28"/>
      <c r="I262" s="22">
        <v>0</v>
      </c>
      <c r="J262" s="549">
        <f t="shared" si="19"/>
        <v>0</v>
      </c>
      <c r="K262" s="28"/>
      <c r="L262" s="28"/>
      <c r="M262" s="28"/>
      <c r="N262" s="28"/>
      <c r="O262" s="28"/>
    </row>
    <row r="263" spans="1:15" ht="15.75">
      <c r="A263" s="426"/>
      <c r="B263" s="25" t="s">
        <v>127</v>
      </c>
      <c r="C263" s="550" t="str">
        <f t="shared" si="18"/>
        <v>Other Livestock #1</v>
      </c>
      <c r="D263" s="28"/>
      <c r="E263" s="511"/>
      <c r="F263" s="512"/>
      <c r="G263" s="509">
        <f t="shared" si="20"/>
        <v>0</v>
      </c>
      <c r="H263" s="28"/>
      <c r="I263" s="22">
        <v>0</v>
      </c>
      <c r="J263" s="549">
        <f t="shared" si="19"/>
        <v>0</v>
      </c>
      <c r="K263" s="28"/>
      <c r="L263" s="28"/>
      <c r="M263" s="28"/>
      <c r="N263" s="28"/>
      <c r="O263" s="28"/>
    </row>
    <row r="264" spans="1:15" ht="15.75">
      <c r="A264" s="426"/>
      <c r="B264" s="25" t="s">
        <v>127</v>
      </c>
      <c r="C264" s="550" t="str">
        <f t="shared" si="18"/>
        <v>Other Livestock #1</v>
      </c>
      <c r="D264" s="28"/>
      <c r="E264" s="511"/>
      <c r="F264" s="512"/>
      <c r="G264" s="509">
        <f t="shared" si="20"/>
        <v>0</v>
      </c>
      <c r="H264" s="28"/>
      <c r="I264" s="22">
        <v>0</v>
      </c>
      <c r="J264" s="549">
        <f t="shared" si="19"/>
        <v>0</v>
      </c>
      <c r="K264" s="28"/>
      <c r="L264" s="28"/>
      <c r="M264" s="28"/>
      <c r="N264" s="28"/>
      <c r="O264" s="28"/>
    </row>
    <row r="265" spans="1:15" ht="15.75">
      <c r="A265" s="426"/>
      <c r="B265" s="25" t="s">
        <v>127</v>
      </c>
      <c r="C265" s="550" t="str">
        <f t="shared" si="18"/>
        <v>Other Livestock #1</v>
      </c>
      <c r="D265" s="28"/>
      <c r="E265" s="511"/>
      <c r="F265" s="512"/>
      <c r="G265" s="509">
        <f t="shared" si="20"/>
        <v>0</v>
      </c>
      <c r="H265" s="28"/>
      <c r="I265" s="22">
        <v>0</v>
      </c>
      <c r="J265" s="549">
        <f t="shared" si="19"/>
        <v>0</v>
      </c>
      <c r="K265" s="28"/>
      <c r="L265" s="28"/>
      <c r="M265" s="28"/>
      <c r="N265" s="28"/>
      <c r="O265" s="28"/>
    </row>
    <row r="266" spans="1:15" ht="15.75">
      <c r="A266" s="426"/>
      <c r="B266" s="25" t="s">
        <v>127</v>
      </c>
      <c r="C266" s="550" t="str">
        <f t="shared" si="18"/>
        <v>Other Livestock #1</v>
      </c>
      <c r="D266" s="28"/>
      <c r="E266" s="511"/>
      <c r="F266" s="512"/>
      <c r="G266" s="509">
        <f t="shared" si="20"/>
        <v>0</v>
      </c>
      <c r="H266" s="28"/>
      <c r="I266" s="22">
        <v>0</v>
      </c>
      <c r="J266" s="549">
        <f t="shared" si="19"/>
        <v>0</v>
      </c>
      <c r="K266" s="28"/>
      <c r="L266" s="28"/>
      <c r="M266" s="28"/>
      <c r="N266" s="28"/>
      <c r="O266" s="28"/>
    </row>
    <row r="267" spans="1:15" ht="15.75">
      <c r="A267" s="426"/>
      <c r="B267" s="25" t="s">
        <v>127</v>
      </c>
      <c r="C267" s="550" t="str">
        <f t="shared" si="18"/>
        <v>Other Livestock #1</v>
      </c>
      <c r="D267" s="28"/>
      <c r="E267" s="511"/>
      <c r="F267" s="512"/>
      <c r="G267" s="509">
        <f t="shared" si="20"/>
        <v>0</v>
      </c>
      <c r="H267" s="28"/>
      <c r="I267" s="22">
        <v>0</v>
      </c>
      <c r="J267" s="549">
        <f t="shared" si="19"/>
        <v>0</v>
      </c>
      <c r="K267" s="28"/>
      <c r="L267" s="28"/>
      <c r="M267" s="28"/>
      <c r="N267" s="28"/>
      <c r="O267" s="28"/>
    </row>
    <row r="268" spans="1:15" ht="16.5" thickBot="1">
      <c r="A268" s="426"/>
      <c r="B268" s="27" t="s">
        <v>127</v>
      </c>
      <c r="C268" s="564" t="str">
        <f t="shared" si="18"/>
        <v>Other Livestock #1</v>
      </c>
      <c r="D268" s="28"/>
      <c r="E268" s="513"/>
      <c r="F268" s="514"/>
      <c r="G268" s="554">
        <f t="shared" si="20"/>
        <v>0</v>
      </c>
      <c r="H268" s="28"/>
      <c r="I268" s="23">
        <v>0</v>
      </c>
      <c r="J268" s="555">
        <f t="shared" si="19"/>
        <v>0</v>
      </c>
      <c r="K268" s="28"/>
      <c r="L268" s="28"/>
      <c r="M268" s="28"/>
      <c r="N268" s="28"/>
      <c r="O268" s="28"/>
    </row>
    <row r="269" spans="1:15" ht="16.5" thickTop="1">
      <c r="A269" s="426"/>
      <c r="B269" s="28"/>
      <c r="C269" s="54"/>
      <c r="D269" s="426"/>
      <c r="E269" s="28"/>
      <c r="F269" s="559" t="s">
        <v>128</v>
      </c>
      <c r="G269" s="509">
        <f>SUM(G248:G268)</f>
        <v>90</v>
      </c>
      <c r="H269" s="28"/>
      <c r="I269" s="470" t="s">
        <v>129</v>
      </c>
      <c r="J269" s="549">
        <f>SUM(J248:J268)</f>
        <v>0</v>
      </c>
      <c r="K269" s="28"/>
      <c r="L269" s="28"/>
      <c r="M269" s="28"/>
      <c r="N269" s="28"/>
      <c r="O269" s="28"/>
    </row>
    <row r="270" spans="1:15" ht="15.75">
      <c r="A270" s="426"/>
      <c r="B270" s="28"/>
      <c r="C270" s="54"/>
      <c r="D270" s="426"/>
      <c r="E270" s="28"/>
      <c r="F270" s="563"/>
      <c r="G270" s="509"/>
      <c r="H270" s="28"/>
      <c r="I270" s="470"/>
      <c r="J270" s="549"/>
      <c r="K270" s="28"/>
      <c r="L270" s="28"/>
      <c r="M270" s="28"/>
      <c r="N270" s="28"/>
      <c r="O270" s="28"/>
    </row>
    <row r="271" spans="1:15" ht="15.75">
      <c r="A271" s="426"/>
      <c r="B271" s="28"/>
      <c r="C271" s="54" t="s">
        <v>123</v>
      </c>
      <c r="D271" s="28"/>
      <c r="E271" s="647" t="s">
        <v>573</v>
      </c>
      <c r="F271" s="647"/>
      <c r="G271" s="34"/>
      <c r="H271" s="28"/>
      <c r="I271" s="34"/>
      <c r="J271" s="34" t="s">
        <v>101</v>
      </c>
      <c r="K271" s="28"/>
      <c r="L271" s="28"/>
      <c r="M271" s="28"/>
      <c r="N271" s="28"/>
      <c r="O271" s="28"/>
    </row>
    <row r="272" spans="1:15" ht="15.75">
      <c r="A272" s="426"/>
      <c r="B272" s="28" t="s">
        <v>109</v>
      </c>
      <c r="C272" s="54" t="s">
        <v>124</v>
      </c>
      <c r="D272" s="28"/>
      <c r="E272" s="75" t="s">
        <v>105</v>
      </c>
      <c r="F272" s="75" t="s">
        <v>106</v>
      </c>
      <c r="G272" s="34" t="s">
        <v>107</v>
      </c>
      <c r="H272" s="28"/>
      <c r="I272" s="34" t="s">
        <v>108</v>
      </c>
      <c r="J272" s="34" t="s">
        <v>125</v>
      </c>
      <c r="K272" s="28"/>
      <c r="L272" s="28"/>
      <c r="M272" s="28"/>
      <c r="N272" s="28"/>
      <c r="O272" s="28"/>
    </row>
    <row r="273" spans="1:15" ht="15.75">
      <c r="A273" s="426"/>
      <c r="B273" s="24" t="s">
        <v>127</v>
      </c>
      <c r="C273" s="548" t="str">
        <f>$B$20</f>
        <v>Other Livestock #2</v>
      </c>
      <c r="D273" s="28"/>
      <c r="E273" s="561">
        <v>37012</v>
      </c>
      <c r="F273" s="562">
        <v>37102</v>
      </c>
      <c r="G273" s="509">
        <f>F273-E273</f>
        <v>90</v>
      </c>
      <c r="H273" s="28"/>
      <c r="I273" s="20">
        <v>0</v>
      </c>
      <c r="J273" s="549">
        <f>G273/30*I273*$D$20</f>
        <v>0</v>
      </c>
      <c r="K273" s="28"/>
      <c r="L273" s="28"/>
      <c r="M273" s="28"/>
      <c r="N273" s="28"/>
      <c r="O273" s="28"/>
    </row>
    <row r="274" spans="1:15" ht="15.75">
      <c r="A274" s="426"/>
      <c r="B274" s="25" t="s">
        <v>127</v>
      </c>
      <c r="C274" s="550" t="str">
        <f aca="true" t="shared" si="21" ref="C274:C293">$B$20</f>
        <v>Other Livestock #2</v>
      </c>
      <c r="D274" s="28"/>
      <c r="E274" s="511"/>
      <c r="F274" s="512"/>
      <c r="G274" s="509">
        <f>F274-E274</f>
        <v>0</v>
      </c>
      <c r="H274" s="28"/>
      <c r="I274" s="22">
        <v>0</v>
      </c>
      <c r="J274" s="549">
        <f aca="true" t="shared" si="22" ref="J274:J293">G274/30*I274*$D$20</f>
        <v>0</v>
      </c>
      <c r="K274" s="28"/>
      <c r="L274" s="28"/>
      <c r="M274" s="28"/>
      <c r="N274" s="28"/>
      <c r="O274" s="28"/>
    </row>
    <row r="275" spans="1:15" ht="15.75">
      <c r="A275" s="426"/>
      <c r="B275" s="25" t="s">
        <v>127</v>
      </c>
      <c r="C275" s="550" t="str">
        <f t="shared" si="21"/>
        <v>Other Livestock #2</v>
      </c>
      <c r="D275" s="28"/>
      <c r="E275" s="511"/>
      <c r="F275" s="512"/>
      <c r="G275" s="509">
        <f>F275-E275</f>
        <v>0</v>
      </c>
      <c r="H275" s="28"/>
      <c r="I275" s="22">
        <v>0</v>
      </c>
      <c r="J275" s="549">
        <f t="shared" si="22"/>
        <v>0</v>
      </c>
      <c r="K275" s="28"/>
      <c r="L275" s="28"/>
      <c r="M275" s="28"/>
      <c r="N275" s="28"/>
      <c r="O275" s="28"/>
    </row>
    <row r="276" spans="1:15" ht="15.75">
      <c r="A276" s="426"/>
      <c r="B276" s="25" t="s">
        <v>127</v>
      </c>
      <c r="C276" s="550" t="str">
        <f t="shared" si="21"/>
        <v>Other Livestock #2</v>
      </c>
      <c r="D276" s="28"/>
      <c r="E276" s="511"/>
      <c r="F276" s="512"/>
      <c r="G276" s="509">
        <f>F276-E276</f>
        <v>0</v>
      </c>
      <c r="H276" s="28"/>
      <c r="I276" s="22">
        <v>0</v>
      </c>
      <c r="J276" s="549">
        <f t="shared" si="22"/>
        <v>0</v>
      </c>
      <c r="K276" s="28"/>
      <c r="L276" s="28"/>
      <c r="M276" s="28"/>
      <c r="N276" s="28"/>
      <c r="O276" s="28"/>
    </row>
    <row r="277" spans="1:15" ht="15.75">
      <c r="A277" s="426"/>
      <c r="B277" s="25" t="s">
        <v>127</v>
      </c>
      <c r="C277" s="550" t="str">
        <f t="shared" si="21"/>
        <v>Other Livestock #2</v>
      </c>
      <c r="D277" s="28"/>
      <c r="E277" s="511"/>
      <c r="F277" s="512"/>
      <c r="G277" s="509">
        <f>F277-E277</f>
        <v>0</v>
      </c>
      <c r="H277" s="28"/>
      <c r="I277" s="22">
        <v>0</v>
      </c>
      <c r="J277" s="549">
        <f t="shared" si="22"/>
        <v>0</v>
      </c>
      <c r="K277" s="28"/>
      <c r="L277" s="28"/>
      <c r="M277" s="28"/>
      <c r="N277" s="28"/>
      <c r="O277" s="28"/>
    </row>
    <row r="278" spans="1:15" ht="15.75">
      <c r="A278" s="426"/>
      <c r="B278" s="25" t="s">
        <v>127</v>
      </c>
      <c r="C278" s="550" t="str">
        <f t="shared" si="21"/>
        <v>Other Livestock #2</v>
      </c>
      <c r="D278" s="28"/>
      <c r="E278" s="511"/>
      <c r="F278" s="512"/>
      <c r="G278" s="509">
        <f aca="true" t="shared" si="23" ref="G278:G293">F278-E278</f>
        <v>0</v>
      </c>
      <c r="H278" s="28"/>
      <c r="I278" s="22">
        <v>0</v>
      </c>
      <c r="J278" s="549">
        <f t="shared" si="22"/>
        <v>0</v>
      </c>
      <c r="K278" s="28"/>
      <c r="L278" s="28"/>
      <c r="M278" s="28"/>
      <c r="N278" s="28"/>
      <c r="O278" s="28"/>
    </row>
    <row r="279" spans="1:15" ht="15.75">
      <c r="A279" s="426"/>
      <c r="B279" s="25" t="s">
        <v>127</v>
      </c>
      <c r="C279" s="550" t="str">
        <f t="shared" si="21"/>
        <v>Other Livestock #2</v>
      </c>
      <c r="D279" s="28"/>
      <c r="E279" s="511"/>
      <c r="F279" s="512"/>
      <c r="G279" s="509">
        <f t="shared" si="23"/>
        <v>0</v>
      </c>
      <c r="H279" s="28"/>
      <c r="I279" s="22">
        <v>0</v>
      </c>
      <c r="J279" s="549">
        <f t="shared" si="22"/>
        <v>0</v>
      </c>
      <c r="K279" s="28"/>
      <c r="L279" s="28"/>
      <c r="M279" s="28"/>
      <c r="N279" s="28"/>
      <c r="O279" s="28"/>
    </row>
    <row r="280" spans="1:15" ht="15.75">
      <c r="A280" s="426"/>
      <c r="B280" s="25" t="s">
        <v>127</v>
      </c>
      <c r="C280" s="550" t="str">
        <f t="shared" si="21"/>
        <v>Other Livestock #2</v>
      </c>
      <c r="D280" s="28"/>
      <c r="E280" s="511"/>
      <c r="F280" s="512"/>
      <c r="G280" s="509">
        <f t="shared" si="23"/>
        <v>0</v>
      </c>
      <c r="H280" s="28"/>
      <c r="I280" s="22">
        <v>0</v>
      </c>
      <c r="J280" s="549">
        <f t="shared" si="22"/>
        <v>0</v>
      </c>
      <c r="K280" s="28"/>
      <c r="L280" s="28"/>
      <c r="M280" s="28"/>
      <c r="N280" s="28"/>
      <c r="O280" s="28"/>
    </row>
    <row r="281" spans="1:15" ht="15.75">
      <c r="A281" s="426"/>
      <c r="B281" s="25" t="s">
        <v>127</v>
      </c>
      <c r="C281" s="550" t="str">
        <f t="shared" si="21"/>
        <v>Other Livestock #2</v>
      </c>
      <c r="D281" s="28"/>
      <c r="E281" s="511"/>
      <c r="F281" s="512"/>
      <c r="G281" s="509">
        <f t="shared" si="23"/>
        <v>0</v>
      </c>
      <c r="H281" s="28"/>
      <c r="I281" s="22">
        <v>0</v>
      </c>
      <c r="J281" s="549">
        <f t="shared" si="22"/>
        <v>0</v>
      </c>
      <c r="K281" s="28"/>
      <c r="L281" s="28"/>
      <c r="M281" s="28"/>
      <c r="N281" s="28"/>
      <c r="O281" s="28"/>
    </row>
    <row r="282" spans="1:15" ht="15.75">
      <c r="A282" s="426"/>
      <c r="B282" s="25" t="s">
        <v>127</v>
      </c>
      <c r="C282" s="550" t="str">
        <f t="shared" si="21"/>
        <v>Other Livestock #2</v>
      </c>
      <c r="D282" s="28"/>
      <c r="E282" s="511"/>
      <c r="F282" s="512"/>
      <c r="G282" s="509">
        <f t="shared" si="23"/>
        <v>0</v>
      </c>
      <c r="H282" s="28"/>
      <c r="I282" s="22">
        <v>0</v>
      </c>
      <c r="J282" s="549">
        <f t="shared" si="22"/>
        <v>0</v>
      </c>
      <c r="K282" s="28"/>
      <c r="L282" s="28"/>
      <c r="M282" s="28"/>
      <c r="N282" s="28"/>
      <c r="O282" s="28"/>
    </row>
    <row r="283" spans="1:15" ht="15.75">
      <c r="A283" s="426"/>
      <c r="B283" s="25" t="s">
        <v>127</v>
      </c>
      <c r="C283" s="550" t="str">
        <f t="shared" si="21"/>
        <v>Other Livestock #2</v>
      </c>
      <c r="D283" s="28"/>
      <c r="E283" s="511"/>
      <c r="F283" s="512"/>
      <c r="G283" s="509">
        <f t="shared" si="23"/>
        <v>0</v>
      </c>
      <c r="H283" s="28"/>
      <c r="I283" s="22">
        <v>0</v>
      </c>
      <c r="J283" s="549">
        <f t="shared" si="22"/>
        <v>0</v>
      </c>
      <c r="K283" s="28"/>
      <c r="L283" s="28"/>
      <c r="M283" s="28"/>
      <c r="N283" s="28"/>
      <c r="O283" s="28"/>
    </row>
    <row r="284" spans="1:15" ht="15.75">
      <c r="A284" s="426"/>
      <c r="B284" s="25" t="s">
        <v>127</v>
      </c>
      <c r="C284" s="550" t="str">
        <f t="shared" si="21"/>
        <v>Other Livestock #2</v>
      </c>
      <c r="D284" s="28"/>
      <c r="E284" s="511"/>
      <c r="F284" s="512"/>
      <c r="G284" s="509">
        <f t="shared" si="23"/>
        <v>0</v>
      </c>
      <c r="H284" s="28"/>
      <c r="I284" s="22">
        <v>0</v>
      </c>
      <c r="J284" s="549">
        <f t="shared" si="22"/>
        <v>0</v>
      </c>
      <c r="K284" s="28"/>
      <c r="L284" s="28"/>
      <c r="M284" s="28"/>
      <c r="N284" s="28"/>
      <c r="O284" s="28"/>
    </row>
    <row r="285" spans="1:15" ht="15.75">
      <c r="A285" s="426"/>
      <c r="B285" s="25" t="s">
        <v>127</v>
      </c>
      <c r="C285" s="550" t="str">
        <f t="shared" si="21"/>
        <v>Other Livestock #2</v>
      </c>
      <c r="D285" s="28"/>
      <c r="E285" s="511"/>
      <c r="F285" s="512"/>
      <c r="G285" s="509">
        <f t="shared" si="23"/>
        <v>0</v>
      </c>
      <c r="H285" s="28"/>
      <c r="I285" s="22">
        <v>0</v>
      </c>
      <c r="J285" s="549">
        <f t="shared" si="22"/>
        <v>0</v>
      </c>
      <c r="K285" s="28"/>
      <c r="L285" s="28"/>
      <c r="M285" s="28"/>
      <c r="N285" s="28"/>
      <c r="O285" s="28"/>
    </row>
    <row r="286" spans="1:15" ht="15.75">
      <c r="A286" s="426"/>
      <c r="B286" s="25" t="s">
        <v>127</v>
      </c>
      <c r="C286" s="550" t="str">
        <f t="shared" si="21"/>
        <v>Other Livestock #2</v>
      </c>
      <c r="D286" s="28"/>
      <c r="E286" s="511"/>
      <c r="F286" s="512"/>
      <c r="G286" s="509">
        <f t="shared" si="23"/>
        <v>0</v>
      </c>
      <c r="H286" s="28"/>
      <c r="I286" s="22">
        <v>0</v>
      </c>
      <c r="J286" s="549">
        <f t="shared" si="22"/>
        <v>0</v>
      </c>
      <c r="K286" s="28"/>
      <c r="L286" s="28"/>
      <c r="M286" s="28"/>
      <c r="N286" s="28"/>
      <c r="O286" s="28"/>
    </row>
    <row r="287" spans="1:15" ht="15.75">
      <c r="A287" s="426"/>
      <c r="B287" s="25" t="s">
        <v>127</v>
      </c>
      <c r="C287" s="550" t="str">
        <f t="shared" si="21"/>
        <v>Other Livestock #2</v>
      </c>
      <c r="D287" s="28"/>
      <c r="E287" s="511"/>
      <c r="F287" s="512"/>
      <c r="G287" s="509">
        <f t="shared" si="23"/>
        <v>0</v>
      </c>
      <c r="H287" s="28"/>
      <c r="I287" s="22">
        <v>0</v>
      </c>
      <c r="J287" s="549">
        <f t="shared" si="22"/>
        <v>0</v>
      </c>
      <c r="K287" s="28"/>
      <c r="L287" s="28"/>
      <c r="M287" s="28"/>
      <c r="N287" s="28"/>
      <c r="O287" s="28"/>
    </row>
    <row r="288" spans="1:15" ht="15.75">
      <c r="A288" s="426"/>
      <c r="B288" s="25" t="s">
        <v>127</v>
      </c>
      <c r="C288" s="550" t="str">
        <f t="shared" si="21"/>
        <v>Other Livestock #2</v>
      </c>
      <c r="D288" s="28"/>
      <c r="E288" s="511"/>
      <c r="F288" s="512"/>
      <c r="G288" s="509">
        <f t="shared" si="23"/>
        <v>0</v>
      </c>
      <c r="H288" s="28"/>
      <c r="I288" s="22">
        <v>0</v>
      </c>
      <c r="J288" s="549">
        <f t="shared" si="22"/>
        <v>0</v>
      </c>
      <c r="K288" s="28"/>
      <c r="L288" s="28"/>
      <c r="M288" s="28"/>
      <c r="N288" s="28"/>
      <c r="O288" s="28"/>
    </row>
    <row r="289" spans="1:15" ht="15.75">
      <c r="A289" s="426"/>
      <c r="B289" s="25" t="s">
        <v>127</v>
      </c>
      <c r="C289" s="550" t="str">
        <f t="shared" si="21"/>
        <v>Other Livestock #2</v>
      </c>
      <c r="D289" s="28"/>
      <c r="E289" s="511"/>
      <c r="F289" s="512"/>
      <c r="G289" s="509">
        <f t="shared" si="23"/>
        <v>0</v>
      </c>
      <c r="H289" s="28"/>
      <c r="I289" s="22">
        <v>0</v>
      </c>
      <c r="J289" s="549">
        <f t="shared" si="22"/>
        <v>0</v>
      </c>
      <c r="K289" s="28"/>
      <c r="L289" s="28"/>
      <c r="M289" s="28"/>
      <c r="N289" s="28"/>
      <c r="O289" s="28"/>
    </row>
    <row r="290" spans="1:15" ht="15.75">
      <c r="A290" s="426"/>
      <c r="B290" s="25" t="s">
        <v>127</v>
      </c>
      <c r="C290" s="550" t="str">
        <f t="shared" si="21"/>
        <v>Other Livestock #2</v>
      </c>
      <c r="D290" s="28"/>
      <c r="E290" s="511"/>
      <c r="F290" s="512"/>
      <c r="G290" s="509">
        <f t="shared" si="23"/>
        <v>0</v>
      </c>
      <c r="H290" s="28"/>
      <c r="I290" s="22">
        <v>0</v>
      </c>
      <c r="J290" s="549">
        <f t="shared" si="22"/>
        <v>0</v>
      </c>
      <c r="K290" s="28"/>
      <c r="L290" s="28"/>
      <c r="M290" s="28"/>
      <c r="N290" s="28"/>
      <c r="O290" s="28"/>
    </row>
    <row r="291" spans="1:15" ht="15.75">
      <c r="A291" s="426"/>
      <c r="B291" s="25" t="s">
        <v>127</v>
      </c>
      <c r="C291" s="550" t="str">
        <f t="shared" si="21"/>
        <v>Other Livestock #2</v>
      </c>
      <c r="D291" s="28"/>
      <c r="E291" s="511"/>
      <c r="F291" s="512"/>
      <c r="G291" s="509">
        <f t="shared" si="23"/>
        <v>0</v>
      </c>
      <c r="H291" s="28"/>
      <c r="I291" s="22">
        <v>0</v>
      </c>
      <c r="J291" s="549">
        <f t="shared" si="22"/>
        <v>0</v>
      </c>
      <c r="K291" s="28"/>
      <c r="L291" s="28"/>
      <c r="M291" s="28"/>
      <c r="N291" s="28"/>
      <c r="O291" s="28"/>
    </row>
    <row r="292" spans="1:15" ht="15.75">
      <c r="A292" s="426"/>
      <c r="B292" s="25" t="s">
        <v>127</v>
      </c>
      <c r="C292" s="550" t="str">
        <f t="shared" si="21"/>
        <v>Other Livestock #2</v>
      </c>
      <c r="D292" s="28"/>
      <c r="E292" s="511"/>
      <c r="F292" s="512"/>
      <c r="G292" s="509">
        <f t="shared" si="23"/>
        <v>0</v>
      </c>
      <c r="H292" s="28"/>
      <c r="I292" s="22">
        <v>0</v>
      </c>
      <c r="J292" s="549">
        <f t="shared" si="22"/>
        <v>0</v>
      </c>
      <c r="K292" s="28"/>
      <c r="L292" s="28"/>
      <c r="M292" s="28"/>
      <c r="N292" s="28"/>
      <c r="O292" s="28"/>
    </row>
    <row r="293" spans="1:15" ht="16.5" thickBot="1">
      <c r="A293" s="426"/>
      <c r="B293" s="27" t="s">
        <v>127</v>
      </c>
      <c r="C293" s="564" t="str">
        <f t="shared" si="21"/>
        <v>Other Livestock #2</v>
      </c>
      <c r="D293" s="28"/>
      <c r="E293" s="513"/>
      <c r="F293" s="514"/>
      <c r="G293" s="554">
        <f t="shared" si="23"/>
        <v>0</v>
      </c>
      <c r="H293" s="28"/>
      <c r="I293" s="23">
        <v>0</v>
      </c>
      <c r="J293" s="555">
        <f t="shared" si="22"/>
        <v>0</v>
      </c>
      <c r="K293" s="28"/>
      <c r="L293" s="28"/>
      <c r="M293" s="28"/>
      <c r="N293" s="28"/>
      <c r="O293" s="28"/>
    </row>
    <row r="294" spans="1:15" ht="16.5" thickTop="1">
      <c r="A294" s="426"/>
      <c r="B294" s="28"/>
      <c r="C294" s="54"/>
      <c r="D294" s="426"/>
      <c r="E294" s="28"/>
      <c r="F294" s="559" t="s">
        <v>128</v>
      </c>
      <c r="G294" s="509">
        <f>SUM(G273:G293)</f>
        <v>90</v>
      </c>
      <c r="H294" s="28"/>
      <c r="I294" s="470" t="s">
        <v>129</v>
      </c>
      <c r="J294" s="549">
        <f>SUM(J273:J293)</f>
        <v>0</v>
      </c>
      <c r="K294" s="28"/>
      <c r="L294" s="28"/>
      <c r="M294" s="28"/>
      <c r="N294" s="28"/>
      <c r="O294" s="28"/>
    </row>
    <row r="295" spans="1:15" ht="15.75">
      <c r="A295" s="426"/>
      <c r="B295" s="28"/>
      <c r="C295" s="54"/>
      <c r="D295" s="426"/>
      <c r="E295" s="28"/>
      <c r="F295" s="563"/>
      <c r="G295" s="509"/>
      <c r="H295" s="28"/>
      <c r="I295" s="470"/>
      <c r="J295" s="549"/>
      <c r="K295" s="28"/>
      <c r="L295" s="28"/>
      <c r="M295" s="28"/>
      <c r="N295" s="28"/>
      <c r="O295" s="28"/>
    </row>
    <row r="296" spans="1:15" ht="15.75">
      <c r="A296" s="426"/>
      <c r="B296" s="28"/>
      <c r="C296" s="54" t="s">
        <v>123</v>
      </c>
      <c r="D296" s="426"/>
      <c r="E296" s="647" t="s">
        <v>573</v>
      </c>
      <c r="F296" s="647"/>
      <c r="G296" s="34"/>
      <c r="H296" s="28"/>
      <c r="I296" s="34"/>
      <c r="J296" s="34" t="s">
        <v>101</v>
      </c>
      <c r="K296" s="28"/>
      <c r="L296" s="28"/>
      <c r="M296" s="28"/>
      <c r="N296" s="28"/>
      <c r="O296" s="28"/>
    </row>
    <row r="297" spans="1:15" ht="15.75">
      <c r="A297" s="426"/>
      <c r="B297" s="28" t="s">
        <v>109</v>
      </c>
      <c r="C297" s="54" t="s">
        <v>124</v>
      </c>
      <c r="D297" s="426"/>
      <c r="E297" s="75" t="s">
        <v>105</v>
      </c>
      <c r="F297" s="75" t="s">
        <v>106</v>
      </c>
      <c r="G297" s="34" t="s">
        <v>107</v>
      </c>
      <c r="H297" s="28"/>
      <c r="I297" s="34" t="s">
        <v>108</v>
      </c>
      <c r="J297" s="34" t="s">
        <v>125</v>
      </c>
      <c r="K297" s="28"/>
      <c r="L297" s="28"/>
      <c r="M297" s="28"/>
      <c r="N297" s="28"/>
      <c r="O297" s="28"/>
    </row>
    <row r="298" spans="1:15" ht="15.75">
      <c r="A298" s="426"/>
      <c r="B298" s="24" t="s">
        <v>127</v>
      </c>
      <c r="C298" s="548" t="str">
        <f>$B$21</f>
        <v>Other Livestock #3</v>
      </c>
      <c r="D298" s="28"/>
      <c r="E298" s="561">
        <v>38852</v>
      </c>
      <c r="F298" s="562">
        <v>39005</v>
      </c>
      <c r="G298" s="509">
        <f aca="true" t="shared" si="24" ref="G298:G316">F298-E298</f>
        <v>153</v>
      </c>
      <c r="H298" s="28"/>
      <c r="I298" s="20">
        <v>1200</v>
      </c>
      <c r="J298" s="549">
        <f aca="true" t="shared" si="25" ref="J298:J318">G298/30*I298*$D$21</f>
        <v>0</v>
      </c>
      <c r="K298" s="28"/>
      <c r="L298" s="28"/>
      <c r="M298" s="28"/>
      <c r="N298" s="28"/>
      <c r="O298" s="28"/>
    </row>
    <row r="299" spans="1:15" ht="15.75">
      <c r="A299" s="426"/>
      <c r="B299" s="25" t="s">
        <v>127</v>
      </c>
      <c r="C299" s="550" t="str">
        <f aca="true" t="shared" si="26" ref="C299:C318">$B$21</f>
        <v>Other Livestock #3</v>
      </c>
      <c r="D299" s="28"/>
      <c r="E299" s="511"/>
      <c r="F299" s="512"/>
      <c r="G299" s="509">
        <f t="shared" si="24"/>
        <v>0</v>
      </c>
      <c r="H299" s="28"/>
      <c r="I299" s="22">
        <v>0</v>
      </c>
      <c r="J299" s="549">
        <f t="shared" si="25"/>
        <v>0</v>
      </c>
      <c r="K299" s="28"/>
      <c r="L299" s="28"/>
      <c r="M299" s="28"/>
      <c r="N299" s="28"/>
      <c r="O299" s="28"/>
    </row>
    <row r="300" spans="1:15" ht="15.75">
      <c r="A300" s="426"/>
      <c r="B300" s="25" t="s">
        <v>127</v>
      </c>
      <c r="C300" s="550" t="str">
        <f t="shared" si="26"/>
        <v>Other Livestock #3</v>
      </c>
      <c r="D300" s="28"/>
      <c r="E300" s="511"/>
      <c r="F300" s="512"/>
      <c r="G300" s="509">
        <f t="shared" si="24"/>
        <v>0</v>
      </c>
      <c r="H300" s="28"/>
      <c r="I300" s="22">
        <v>0</v>
      </c>
      <c r="J300" s="549">
        <f t="shared" si="25"/>
        <v>0</v>
      </c>
      <c r="K300" s="28"/>
      <c r="L300" s="28"/>
      <c r="M300" s="28"/>
      <c r="N300" s="28"/>
      <c r="O300" s="28"/>
    </row>
    <row r="301" spans="1:15" ht="15.75">
      <c r="A301" s="426"/>
      <c r="B301" s="25" t="s">
        <v>127</v>
      </c>
      <c r="C301" s="550" t="str">
        <f t="shared" si="26"/>
        <v>Other Livestock #3</v>
      </c>
      <c r="D301" s="28"/>
      <c r="E301" s="511"/>
      <c r="F301" s="512"/>
      <c r="G301" s="509">
        <f t="shared" si="24"/>
        <v>0</v>
      </c>
      <c r="H301" s="28"/>
      <c r="I301" s="22">
        <v>0</v>
      </c>
      <c r="J301" s="549">
        <f t="shared" si="25"/>
        <v>0</v>
      </c>
      <c r="K301" s="28"/>
      <c r="L301" s="28"/>
      <c r="M301" s="28"/>
      <c r="N301" s="28"/>
      <c r="O301" s="28"/>
    </row>
    <row r="302" spans="1:15" ht="15.75">
      <c r="A302" s="426"/>
      <c r="B302" s="25" t="s">
        <v>127</v>
      </c>
      <c r="C302" s="550" t="str">
        <f t="shared" si="26"/>
        <v>Other Livestock #3</v>
      </c>
      <c r="D302" s="28"/>
      <c r="E302" s="511"/>
      <c r="F302" s="512"/>
      <c r="G302" s="509">
        <f t="shared" si="24"/>
        <v>0</v>
      </c>
      <c r="H302" s="28"/>
      <c r="I302" s="22">
        <v>0</v>
      </c>
      <c r="J302" s="549">
        <f t="shared" si="25"/>
        <v>0</v>
      </c>
      <c r="K302" s="28"/>
      <c r="L302" s="28"/>
      <c r="M302" s="28"/>
      <c r="N302" s="28"/>
      <c r="O302" s="28"/>
    </row>
    <row r="303" spans="1:15" ht="15.75">
      <c r="A303" s="426"/>
      <c r="B303" s="25" t="s">
        <v>127</v>
      </c>
      <c r="C303" s="550" t="str">
        <f t="shared" si="26"/>
        <v>Other Livestock #3</v>
      </c>
      <c r="D303" s="28"/>
      <c r="E303" s="511"/>
      <c r="F303" s="512"/>
      <c r="G303" s="509">
        <f t="shared" si="24"/>
        <v>0</v>
      </c>
      <c r="H303" s="28"/>
      <c r="I303" s="22">
        <v>0</v>
      </c>
      <c r="J303" s="549">
        <f t="shared" si="25"/>
        <v>0</v>
      </c>
      <c r="K303" s="28"/>
      <c r="L303" s="28"/>
      <c r="M303" s="28"/>
      <c r="N303" s="28"/>
      <c r="O303" s="28"/>
    </row>
    <row r="304" spans="1:15" ht="15.75">
      <c r="A304" s="426"/>
      <c r="B304" s="25" t="s">
        <v>127</v>
      </c>
      <c r="C304" s="550" t="str">
        <f t="shared" si="26"/>
        <v>Other Livestock #3</v>
      </c>
      <c r="D304" s="28"/>
      <c r="E304" s="511"/>
      <c r="F304" s="512"/>
      <c r="G304" s="509">
        <f t="shared" si="24"/>
        <v>0</v>
      </c>
      <c r="H304" s="28"/>
      <c r="I304" s="22">
        <v>0</v>
      </c>
      <c r="J304" s="549">
        <f t="shared" si="25"/>
        <v>0</v>
      </c>
      <c r="K304" s="28"/>
      <c r="L304" s="28"/>
      <c r="M304" s="28"/>
      <c r="N304" s="28"/>
      <c r="O304" s="28"/>
    </row>
    <row r="305" spans="1:15" ht="15.75">
      <c r="A305" s="426"/>
      <c r="B305" s="25" t="s">
        <v>127</v>
      </c>
      <c r="C305" s="550" t="str">
        <f t="shared" si="26"/>
        <v>Other Livestock #3</v>
      </c>
      <c r="D305" s="28"/>
      <c r="E305" s="511"/>
      <c r="F305" s="512"/>
      <c r="G305" s="509">
        <f t="shared" si="24"/>
        <v>0</v>
      </c>
      <c r="H305" s="28"/>
      <c r="I305" s="22">
        <v>0</v>
      </c>
      <c r="J305" s="549">
        <f t="shared" si="25"/>
        <v>0</v>
      </c>
      <c r="K305" s="28"/>
      <c r="L305" s="28"/>
      <c r="M305" s="28"/>
      <c r="N305" s="28"/>
      <c r="O305" s="28"/>
    </row>
    <row r="306" spans="1:15" ht="15.75">
      <c r="A306" s="426"/>
      <c r="B306" s="25" t="s">
        <v>127</v>
      </c>
      <c r="C306" s="550" t="str">
        <f t="shared" si="26"/>
        <v>Other Livestock #3</v>
      </c>
      <c r="D306" s="28"/>
      <c r="E306" s="511"/>
      <c r="F306" s="512"/>
      <c r="G306" s="509">
        <f t="shared" si="24"/>
        <v>0</v>
      </c>
      <c r="H306" s="28"/>
      <c r="I306" s="22">
        <v>0</v>
      </c>
      <c r="J306" s="549">
        <f t="shared" si="25"/>
        <v>0</v>
      </c>
      <c r="K306" s="28"/>
      <c r="L306" s="28"/>
      <c r="M306" s="28"/>
      <c r="N306" s="28"/>
      <c r="O306" s="28"/>
    </row>
    <row r="307" spans="1:15" ht="15.75">
      <c r="A307" s="426"/>
      <c r="B307" s="25" t="s">
        <v>127</v>
      </c>
      <c r="C307" s="550" t="str">
        <f t="shared" si="26"/>
        <v>Other Livestock #3</v>
      </c>
      <c r="D307" s="28"/>
      <c r="E307" s="511"/>
      <c r="F307" s="512"/>
      <c r="G307" s="509">
        <f t="shared" si="24"/>
        <v>0</v>
      </c>
      <c r="H307" s="28"/>
      <c r="I307" s="22">
        <v>0</v>
      </c>
      <c r="J307" s="549">
        <f t="shared" si="25"/>
        <v>0</v>
      </c>
      <c r="K307" s="28"/>
      <c r="L307" s="28"/>
      <c r="M307" s="28"/>
      <c r="N307" s="28"/>
      <c r="O307" s="28"/>
    </row>
    <row r="308" spans="1:15" ht="15.75">
      <c r="A308" s="426"/>
      <c r="B308" s="25" t="s">
        <v>127</v>
      </c>
      <c r="C308" s="550" t="str">
        <f t="shared" si="26"/>
        <v>Other Livestock #3</v>
      </c>
      <c r="D308" s="28"/>
      <c r="E308" s="511"/>
      <c r="F308" s="512"/>
      <c r="G308" s="509">
        <f t="shared" si="24"/>
        <v>0</v>
      </c>
      <c r="H308" s="28"/>
      <c r="I308" s="22">
        <v>0</v>
      </c>
      <c r="J308" s="549">
        <f t="shared" si="25"/>
        <v>0</v>
      </c>
      <c r="K308" s="28"/>
      <c r="L308" s="28"/>
      <c r="M308" s="28"/>
      <c r="N308" s="28"/>
      <c r="O308" s="28"/>
    </row>
    <row r="309" spans="1:15" ht="15.75">
      <c r="A309" s="426"/>
      <c r="B309" s="25" t="s">
        <v>127</v>
      </c>
      <c r="C309" s="550" t="str">
        <f t="shared" si="26"/>
        <v>Other Livestock #3</v>
      </c>
      <c r="D309" s="28"/>
      <c r="E309" s="511"/>
      <c r="F309" s="512"/>
      <c r="G309" s="509">
        <f t="shared" si="24"/>
        <v>0</v>
      </c>
      <c r="H309" s="28"/>
      <c r="I309" s="22">
        <v>0</v>
      </c>
      <c r="J309" s="549">
        <f t="shared" si="25"/>
        <v>0</v>
      </c>
      <c r="K309" s="28"/>
      <c r="L309" s="28"/>
      <c r="M309" s="28"/>
      <c r="N309" s="28"/>
      <c r="O309" s="28"/>
    </row>
    <row r="310" spans="1:15" ht="15.75">
      <c r="A310" s="426"/>
      <c r="B310" s="25" t="s">
        <v>127</v>
      </c>
      <c r="C310" s="550" t="str">
        <f t="shared" si="26"/>
        <v>Other Livestock #3</v>
      </c>
      <c r="D310" s="28"/>
      <c r="E310" s="511"/>
      <c r="F310" s="512"/>
      <c r="G310" s="509">
        <f t="shared" si="24"/>
        <v>0</v>
      </c>
      <c r="H310" s="28"/>
      <c r="I310" s="22">
        <v>0</v>
      </c>
      <c r="J310" s="549">
        <f t="shared" si="25"/>
        <v>0</v>
      </c>
      <c r="K310" s="28"/>
      <c r="L310" s="28"/>
      <c r="M310" s="28"/>
      <c r="N310" s="28"/>
      <c r="O310" s="28"/>
    </row>
    <row r="311" spans="1:15" ht="15.75">
      <c r="A311" s="426"/>
      <c r="B311" s="25" t="s">
        <v>127</v>
      </c>
      <c r="C311" s="550" t="str">
        <f t="shared" si="26"/>
        <v>Other Livestock #3</v>
      </c>
      <c r="D311" s="28"/>
      <c r="E311" s="511"/>
      <c r="F311" s="512"/>
      <c r="G311" s="509">
        <f t="shared" si="24"/>
        <v>0</v>
      </c>
      <c r="H311" s="28"/>
      <c r="I311" s="22">
        <v>0</v>
      </c>
      <c r="J311" s="549">
        <f t="shared" si="25"/>
        <v>0</v>
      </c>
      <c r="K311" s="28"/>
      <c r="L311" s="28"/>
      <c r="M311" s="28"/>
      <c r="N311" s="28"/>
      <c r="O311" s="28"/>
    </row>
    <row r="312" spans="1:15" ht="15.75">
      <c r="A312" s="426"/>
      <c r="B312" s="25" t="s">
        <v>127</v>
      </c>
      <c r="C312" s="550" t="str">
        <f t="shared" si="26"/>
        <v>Other Livestock #3</v>
      </c>
      <c r="D312" s="28"/>
      <c r="E312" s="511"/>
      <c r="F312" s="512"/>
      <c r="G312" s="509">
        <f t="shared" si="24"/>
        <v>0</v>
      </c>
      <c r="H312" s="28"/>
      <c r="I312" s="22">
        <v>0</v>
      </c>
      <c r="J312" s="549">
        <f t="shared" si="25"/>
        <v>0</v>
      </c>
      <c r="K312" s="28"/>
      <c r="L312" s="28"/>
      <c r="M312" s="28"/>
      <c r="N312" s="28"/>
      <c r="O312" s="28"/>
    </row>
    <row r="313" spans="1:15" ht="15.75">
      <c r="A313" s="426"/>
      <c r="B313" s="25" t="s">
        <v>127</v>
      </c>
      <c r="C313" s="550" t="str">
        <f t="shared" si="26"/>
        <v>Other Livestock #3</v>
      </c>
      <c r="D313" s="28"/>
      <c r="E313" s="511"/>
      <c r="F313" s="512"/>
      <c r="G313" s="509">
        <f t="shared" si="24"/>
        <v>0</v>
      </c>
      <c r="H313" s="28"/>
      <c r="I313" s="22">
        <v>0</v>
      </c>
      <c r="J313" s="549">
        <f t="shared" si="25"/>
        <v>0</v>
      </c>
      <c r="K313" s="28"/>
      <c r="L313" s="28"/>
      <c r="M313" s="28"/>
      <c r="N313" s="28"/>
      <c r="O313" s="28"/>
    </row>
    <row r="314" spans="1:15" ht="15.75">
      <c r="A314" s="426"/>
      <c r="B314" s="25" t="s">
        <v>127</v>
      </c>
      <c r="C314" s="550" t="str">
        <f t="shared" si="26"/>
        <v>Other Livestock #3</v>
      </c>
      <c r="D314" s="28"/>
      <c r="E314" s="511"/>
      <c r="F314" s="512"/>
      <c r="G314" s="509">
        <f t="shared" si="24"/>
        <v>0</v>
      </c>
      <c r="H314" s="28"/>
      <c r="I314" s="22">
        <v>0</v>
      </c>
      <c r="J314" s="549">
        <f t="shared" si="25"/>
        <v>0</v>
      </c>
      <c r="K314" s="28"/>
      <c r="L314" s="28"/>
      <c r="M314" s="28"/>
      <c r="N314" s="28"/>
      <c r="O314" s="28"/>
    </row>
    <row r="315" spans="1:15" ht="15.75">
      <c r="A315" s="426"/>
      <c r="B315" s="25" t="s">
        <v>127</v>
      </c>
      <c r="C315" s="550" t="str">
        <f t="shared" si="26"/>
        <v>Other Livestock #3</v>
      </c>
      <c r="D315" s="28"/>
      <c r="E315" s="511"/>
      <c r="F315" s="512"/>
      <c r="G315" s="509">
        <f t="shared" si="24"/>
        <v>0</v>
      </c>
      <c r="H315" s="28"/>
      <c r="I315" s="22">
        <v>0</v>
      </c>
      <c r="J315" s="549">
        <f t="shared" si="25"/>
        <v>0</v>
      </c>
      <c r="K315" s="28"/>
      <c r="L315" s="28"/>
      <c r="M315" s="28"/>
      <c r="N315" s="28"/>
      <c r="O315" s="28"/>
    </row>
    <row r="316" spans="1:15" ht="15.75">
      <c r="A316" s="426"/>
      <c r="B316" s="25" t="s">
        <v>127</v>
      </c>
      <c r="C316" s="550" t="str">
        <f t="shared" si="26"/>
        <v>Other Livestock #3</v>
      </c>
      <c r="D316" s="28"/>
      <c r="E316" s="511"/>
      <c r="F316" s="512"/>
      <c r="G316" s="509">
        <f t="shared" si="24"/>
        <v>0</v>
      </c>
      <c r="H316" s="28"/>
      <c r="I316" s="22">
        <v>0</v>
      </c>
      <c r="J316" s="549">
        <f t="shared" si="25"/>
        <v>0</v>
      </c>
      <c r="K316" s="28"/>
      <c r="L316" s="28"/>
      <c r="M316" s="28"/>
      <c r="N316" s="28"/>
      <c r="O316" s="28"/>
    </row>
    <row r="317" spans="1:15" ht="15.75">
      <c r="A317" s="426"/>
      <c r="B317" s="25" t="s">
        <v>127</v>
      </c>
      <c r="C317" s="550" t="str">
        <f t="shared" si="26"/>
        <v>Other Livestock #3</v>
      </c>
      <c r="D317" s="28"/>
      <c r="E317" s="511"/>
      <c r="F317" s="512"/>
      <c r="G317" s="509">
        <f>F317-E317</f>
        <v>0</v>
      </c>
      <c r="H317" s="28"/>
      <c r="I317" s="22">
        <v>0</v>
      </c>
      <c r="J317" s="549">
        <f t="shared" si="25"/>
        <v>0</v>
      </c>
      <c r="K317" s="28"/>
      <c r="L317" s="28"/>
      <c r="M317" s="28"/>
      <c r="N317" s="28"/>
      <c r="O317" s="28"/>
    </row>
    <row r="318" spans="1:15" ht="16.5" thickBot="1">
      <c r="A318" s="426"/>
      <c r="B318" s="26" t="s">
        <v>127</v>
      </c>
      <c r="C318" s="551" t="str">
        <f t="shared" si="26"/>
        <v>Other Livestock #3</v>
      </c>
      <c r="D318" s="28"/>
      <c r="E318" s="552"/>
      <c r="F318" s="553"/>
      <c r="G318" s="554">
        <f>F318-E318</f>
        <v>0</v>
      </c>
      <c r="H318" s="28"/>
      <c r="I318" s="23">
        <v>0</v>
      </c>
      <c r="J318" s="555">
        <f t="shared" si="25"/>
        <v>0</v>
      </c>
      <c r="K318" s="28"/>
      <c r="L318" s="28"/>
      <c r="M318" s="28"/>
      <c r="N318" s="28"/>
      <c r="O318" s="28"/>
    </row>
    <row r="319" spans="1:15" ht="16.5" thickTop="1">
      <c r="A319" s="426"/>
      <c r="B319" s="556"/>
      <c r="C319" s="557"/>
      <c r="D319" s="28"/>
      <c r="E319" s="558"/>
      <c r="F319" s="559" t="s">
        <v>128</v>
      </c>
      <c r="G319" s="509">
        <f>SUM(G298:G318)</f>
        <v>153</v>
      </c>
      <c r="H319" s="28"/>
      <c r="I319" s="470" t="s">
        <v>129</v>
      </c>
      <c r="J319" s="549">
        <f>SUM(J298:J318)</f>
        <v>0</v>
      </c>
      <c r="K319" s="28"/>
      <c r="L319" s="28"/>
      <c r="M319" s="28"/>
      <c r="N319" s="28"/>
      <c r="O319" s="28"/>
    </row>
    <row r="320" spans="1:15" ht="16.5" thickBot="1">
      <c r="A320" s="426"/>
      <c r="B320" s="28"/>
      <c r="C320" s="54"/>
      <c r="D320" s="426"/>
      <c r="E320" s="28"/>
      <c r="F320" s="563"/>
      <c r="G320" s="509"/>
      <c r="H320" s="28"/>
      <c r="I320" s="470"/>
      <c r="J320" s="549"/>
      <c r="K320" s="28"/>
      <c r="L320" s="28"/>
      <c r="M320" s="28"/>
      <c r="N320" s="28"/>
      <c r="O320" s="28"/>
    </row>
    <row r="321" spans="1:15" ht="16.5" thickBot="1">
      <c r="A321" s="426"/>
      <c r="B321" s="648" t="s">
        <v>138</v>
      </c>
      <c r="C321" s="649"/>
      <c r="D321" s="649"/>
      <c r="E321" s="649"/>
      <c r="F321" s="649"/>
      <c r="G321" s="649"/>
      <c r="H321" s="649"/>
      <c r="I321" s="649"/>
      <c r="J321" s="650"/>
      <c r="K321" s="28"/>
      <c r="L321" s="28"/>
      <c r="M321" s="28"/>
      <c r="N321" s="28"/>
      <c r="O321" s="28"/>
    </row>
    <row r="322" spans="1:15" ht="15.75">
      <c r="A322" s="426"/>
      <c r="B322" s="50"/>
      <c r="C322" s="74"/>
      <c r="D322" s="496" t="s">
        <v>101</v>
      </c>
      <c r="E322" s="560"/>
      <c r="F322" s="563"/>
      <c r="G322" s="294"/>
      <c r="H322" s="28"/>
      <c r="I322" s="470"/>
      <c r="J322" s="549"/>
      <c r="K322" s="28"/>
      <c r="L322" s="28"/>
      <c r="M322" s="28"/>
      <c r="N322" s="28"/>
      <c r="O322" s="28"/>
    </row>
    <row r="323" spans="1:15" ht="15.75">
      <c r="A323" s="426"/>
      <c r="B323" s="28"/>
      <c r="C323" s="54" t="s">
        <v>123</v>
      </c>
      <c r="D323" s="496" t="s">
        <v>104</v>
      </c>
      <c r="E323" s="647" t="s">
        <v>573</v>
      </c>
      <c r="F323" s="647"/>
      <c r="G323" s="34"/>
      <c r="H323" s="28"/>
      <c r="I323" s="34"/>
      <c r="J323" s="34" t="s">
        <v>101</v>
      </c>
      <c r="K323" s="28"/>
      <c r="L323" s="28"/>
      <c r="M323" s="28"/>
      <c r="N323" s="28"/>
      <c r="O323" s="28"/>
    </row>
    <row r="324" spans="1:15" ht="15.75">
      <c r="A324" s="426"/>
      <c r="B324" s="28" t="s">
        <v>109</v>
      </c>
      <c r="C324" s="54" t="s">
        <v>124</v>
      </c>
      <c r="D324" s="565" t="s">
        <v>135</v>
      </c>
      <c r="E324" s="75" t="s">
        <v>105</v>
      </c>
      <c r="F324" s="75" t="s">
        <v>106</v>
      </c>
      <c r="G324" s="34" t="s">
        <v>107</v>
      </c>
      <c r="H324" s="28"/>
      <c r="I324" s="34" t="s">
        <v>108</v>
      </c>
      <c r="J324" s="34" t="s">
        <v>125</v>
      </c>
      <c r="K324" s="28"/>
      <c r="L324" s="28"/>
      <c r="M324" s="28"/>
      <c r="N324" s="28"/>
      <c r="O324" s="28"/>
    </row>
    <row r="325" spans="1:15" ht="15.75">
      <c r="A325" s="426"/>
      <c r="B325" s="24" t="s">
        <v>127</v>
      </c>
      <c r="C325" s="548" t="str">
        <f aca="true" t="shared" si="27" ref="C325:C344">$B$22</f>
        <v>Calves</v>
      </c>
      <c r="D325" s="20">
        <v>0.6</v>
      </c>
      <c r="E325" s="507">
        <v>38899</v>
      </c>
      <c r="F325" s="508">
        <v>39022</v>
      </c>
      <c r="G325" s="509">
        <f aca="true" t="shared" si="28" ref="G325:G344">F325-E325</f>
        <v>123</v>
      </c>
      <c r="H325" s="28"/>
      <c r="I325" s="22">
        <f>80*0.95</f>
        <v>76</v>
      </c>
      <c r="J325" s="549">
        <f>G325/30*I325*D325</f>
        <v>186.95999999999998</v>
      </c>
      <c r="K325" s="28"/>
      <c r="L325" s="28"/>
      <c r="M325" s="28"/>
      <c r="N325" s="28"/>
      <c r="O325" s="28"/>
    </row>
    <row r="326" spans="1:15" ht="15.75">
      <c r="A326" s="426"/>
      <c r="B326" s="25" t="s">
        <v>127</v>
      </c>
      <c r="C326" s="550" t="str">
        <f t="shared" si="27"/>
        <v>Calves</v>
      </c>
      <c r="D326" s="22">
        <v>0</v>
      </c>
      <c r="E326" s="511"/>
      <c r="F326" s="512"/>
      <c r="G326" s="509">
        <f t="shared" si="28"/>
        <v>0</v>
      </c>
      <c r="H326" s="28"/>
      <c r="I326" s="22">
        <v>0</v>
      </c>
      <c r="J326" s="549">
        <f aca="true" t="shared" si="29" ref="J326:J344">G326/30*I326*D326</f>
        <v>0</v>
      </c>
      <c r="K326" s="28"/>
      <c r="L326" s="28"/>
      <c r="M326" s="28"/>
      <c r="N326" s="28"/>
      <c r="O326" s="28"/>
    </row>
    <row r="327" spans="1:15" ht="15.75">
      <c r="A327" s="426"/>
      <c r="B327" s="25" t="s">
        <v>127</v>
      </c>
      <c r="C327" s="550" t="str">
        <f t="shared" si="27"/>
        <v>Calves</v>
      </c>
      <c r="D327" s="22">
        <v>0</v>
      </c>
      <c r="E327" s="511"/>
      <c r="F327" s="512"/>
      <c r="G327" s="509">
        <f t="shared" si="28"/>
        <v>0</v>
      </c>
      <c r="H327" s="28"/>
      <c r="I327" s="22">
        <v>0</v>
      </c>
      <c r="J327" s="549">
        <f t="shared" si="29"/>
        <v>0</v>
      </c>
      <c r="K327" s="28"/>
      <c r="L327" s="28"/>
      <c r="M327" s="28"/>
      <c r="N327" s="28"/>
      <c r="O327" s="28"/>
    </row>
    <row r="328" spans="1:15" ht="15.75">
      <c r="A328" s="426"/>
      <c r="B328" s="25" t="s">
        <v>127</v>
      </c>
      <c r="C328" s="550" t="str">
        <f t="shared" si="27"/>
        <v>Calves</v>
      </c>
      <c r="D328" s="22">
        <v>0</v>
      </c>
      <c r="E328" s="511"/>
      <c r="F328" s="512"/>
      <c r="G328" s="509">
        <f t="shared" si="28"/>
        <v>0</v>
      </c>
      <c r="H328" s="28"/>
      <c r="I328" s="22"/>
      <c r="J328" s="549">
        <f t="shared" si="29"/>
        <v>0</v>
      </c>
      <c r="K328" s="28"/>
      <c r="L328" s="28"/>
      <c r="M328" s="28"/>
      <c r="N328" s="28"/>
      <c r="O328" s="28"/>
    </row>
    <row r="329" spans="1:15" ht="15.75">
      <c r="A329" s="426"/>
      <c r="B329" s="25" t="s">
        <v>127</v>
      </c>
      <c r="C329" s="550" t="str">
        <f t="shared" si="27"/>
        <v>Calves</v>
      </c>
      <c r="D329" s="22">
        <v>0</v>
      </c>
      <c r="E329" s="511"/>
      <c r="F329" s="512"/>
      <c r="G329" s="509">
        <f>F329-E329</f>
        <v>0</v>
      </c>
      <c r="H329" s="28"/>
      <c r="I329" s="22">
        <v>0</v>
      </c>
      <c r="J329" s="549">
        <f>G329/30*I329*D329</f>
        <v>0</v>
      </c>
      <c r="K329" s="28"/>
      <c r="L329" s="28"/>
      <c r="M329" s="28"/>
      <c r="N329" s="28"/>
      <c r="O329" s="28"/>
    </row>
    <row r="330" spans="1:15" ht="15.75">
      <c r="A330" s="426"/>
      <c r="B330" s="25" t="s">
        <v>127</v>
      </c>
      <c r="C330" s="550" t="str">
        <f t="shared" si="27"/>
        <v>Calves</v>
      </c>
      <c r="D330" s="22">
        <v>0</v>
      </c>
      <c r="E330" s="511"/>
      <c r="F330" s="512"/>
      <c r="G330" s="509">
        <f>F330-E330</f>
        <v>0</v>
      </c>
      <c r="H330" s="28"/>
      <c r="I330" s="22">
        <v>0</v>
      </c>
      <c r="J330" s="549">
        <f>G330/30*I330*D330</f>
        <v>0</v>
      </c>
      <c r="K330" s="28"/>
      <c r="L330" s="28"/>
      <c r="M330" s="28"/>
      <c r="N330" s="28"/>
      <c r="O330" s="28"/>
    </row>
    <row r="331" spans="1:15" ht="15.75">
      <c r="A331" s="426"/>
      <c r="B331" s="25" t="s">
        <v>127</v>
      </c>
      <c r="C331" s="550" t="str">
        <f t="shared" si="27"/>
        <v>Calves</v>
      </c>
      <c r="D331" s="22">
        <v>0</v>
      </c>
      <c r="E331" s="511"/>
      <c r="F331" s="512"/>
      <c r="G331" s="509">
        <f>F331-E331</f>
        <v>0</v>
      </c>
      <c r="H331" s="28"/>
      <c r="I331" s="22">
        <v>0</v>
      </c>
      <c r="J331" s="549">
        <f>G331/30*I331*D331</f>
        <v>0</v>
      </c>
      <c r="K331" s="28"/>
      <c r="L331" s="28"/>
      <c r="M331" s="28"/>
      <c r="N331" s="28"/>
      <c r="O331" s="28"/>
    </row>
    <row r="332" spans="1:15" ht="15.75">
      <c r="A332" s="426"/>
      <c r="B332" s="25" t="s">
        <v>127</v>
      </c>
      <c r="C332" s="550" t="str">
        <f t="shared" si="27"/>
        <v>Calves</v>
      </c>
      <c r="D332" s="22">
        <v>0</v>
      </c>
      <c r="E332" s="511"/>
      <c r="F332" s="512"/>
      <c r="G332" s="509">
        <f>F332-E332</f>
        <v>0</v>
      </c>
      <c r="H332" s="28"/>
      <c r="I332" s="22">
        <v>0</v>
      </c>
      <c r="J332" s="549">
        <f>G332/30*I332*D332</f>
        <v>0</v>
      </c>
      <c r="K332" s="28"/>
      <c r="L332" s="28"/>
      <c r="M332" s="28"/>
      <c r="N332" s="28"/>
      <c r="O332" s="28"/>
    </row>
    <row r="333" spans="1:15" ht="15.75">
      <c r="A333" s="426"/>
      <c r="B333" s="25" t="s">
        <v>127</v>
      </c>
      <c r="C333" s="550" t="str">
        <f t="shared" si="27"/>
        <v>Calves</v>
      </c>
      <c r="D333" s="22">
        <v>0</v>
      </c>
      <c r="E333" s="511"/>
      <c r="F333" s="512"/>
      <c r="G333" s="509">
        <f t="shared" si="28"/>
        <v>0</v>
      </c>
      <c r="H333" s="28"/>
      <c r="I333" s="22">
        <v>0</v>
      </c>
      <c r="J333" s="549">
        <f t="shared" si="29"/>
        <v>0</v>
      </c>
      <c r="K333" s="28"/>
      <c r="L333" s="28"/>
      <c r="M333" s="28"/>
      <c r="N333" s="28"/>
      <c r="O333" s="28"/>
    </row>
    <row r="334" spans="1:15" ht="15.75">
      <c r="A334" s="426"/>
      <c r="B334" s="25" t="s">
        <v>127</v>
      </c>
      <c r="C334" s="550" t="str">
        <f t="shared" si="27"/>
        <v>Calves</v>
      </c>
      <c r="D334" s="22">
        <v>0</v>
      </c>
      <c r="E334" s="511"/>
      <c r="F334" s="512"/>
      <c r="G334" s="509">
        <f t="shared" si="28"/>
        <v>0</v>
      </c>
      <c r="H334" s="28"/>
      <c r="I334" s="22">
        <v>0</v>
      </c>
      <c r="J334" s="549">
        <f t="shared" si="29"/>
        <v>0</v>
      </c>
      <c r="K334" s="28"/>
      <c r="L334" s="28"/>
      <c r="M334" s="28"/>
      <c r="N334" s="28"/>
      <c r="O334" s="28"/>
    </row>
    <row r="335" spans="1:15" ht="15.75">
      <c r="A335" s="426"/>
      <c r="B335" s="25" t="s">
        <v>127</v>
      </c>
      <c r="C335" s="550" t="str">
        <f t="shared" si="27"/>
        <v>Calves</v>
      </c>
      <c r="D335" s="22">
        <v>0</v>
      </c>
      <c r="E335" s="511"/>
      <c r="F335" s="512"/>
      <c r="G335" s="509">
        <f>F335-E335</f>
        <v>0</v>
      </c>
      <c r="H335" s="28"/>
      <c r="I335" s="22">
        <v>0</v>
      </c>
      <c r="J335" s="549">
        <f>G335/30*I335*D335</f>
        <v>0</v>
      </c>
      <c r="K335" s="28"/>
      <c r="L335" s="28"/>
      <c r="M335" s="28"/>
      <c r="N335" s="28"/>
      <c r="O335" s="28"/>
    </row>
    <row r="336" spans="1:15" ht="15.75">
      <c r="A336" s="426"/>
      <c r="B336" s="25" t="s">
        <v>127</v>
      </c>
      <c r="C336" s="550" t="str">
        <f t="shared" si="27"/>
        <v>Calves</v>
      </c>
      <c r="D336" s="22">
        <v>0</v>
      </c>
      <c r="E336" s="511"/>
      <c r="F336" s="512"/>
      <c r="G336" s="509">
        <f>F336-E336</f>
        <v>0</v>
      </c>
      <c r="H336" s="28"/>
      <c r="I336" s="22">
        <v>0</v>
      </c>
      <c r="J336" s="549">
        <f>G336/30*I336*D336</f>
        <v>0</v>
      </c>
      <c r="K336" s="28"/>
      <c r="L336" s="28"/>
      <c r="M336" s="28"/>
      <c r="N336" s="28"/>
      <c r="O336" s="28"/>
    </row>
    <row r="337" spans="1:15" ht="15.75">
      <c r="A337" s="426"/>
      <c r="B337" s="25" t="s">
        <v>127</v>
      </c>
      <c r="C337" s="550" t="str">
        <f t="shared" si="27"/>
        <v>Calves</v>
      </c>
      <c r="D337" s="22">
        <v>0</v>
      </c>
      <c r="E337" s="511"/>
      <c r="F337" s="512"/>
      <c r="G337" s="509">
        <f t="shared" si="28"/>
        <v>0</v>
      </c>
      <c r="H337" s="28"/>
      <c r="I337" s="22">
        <v>0</v>
      </c>
      <c r="J337" s="549">
        <f t="shared" si="29"/>
        <v>0</v>
      </c>
      <c r="K337" s="28"/>
      <c r="L337" s="28"/>
      <c r="M337" s="28"/>
      <c r="N337" s="28"/>
      <c r="O337" s="28"/>
    </row>
    <row r="338" spans="1:15" ht="15.75">
      <c r="A338" s="426"/>
      <c r="B338" s="25" t="s">
        <v>127</v>
      </c>
      <c r="C338" s="550" t="str">
        <f t="shared" si="27"/>
        <v>Calves</v>
      </c>
      <c r="D338" s="22">
        <v>0</v>
      </c>
      <c r="E338" s="511"/>
      <c r="F338" s="512"/>
      <c r="G338" s="509">
        <f t="shared" si="28"/>
        <v>0</v>
      </c>
      <c r="H338" s="28"/>
      <c r="I338" s="22">
        <v>0</v>
      </c>
      <c r="J338" s="549">
        <f t="shared" si="29"/>
        <v>0</v>
      </c>
      <c r="K338" s="28"/>
      <c r="L338" s="28"/>
      <c r="M338" s="28"/>
      <c r="N338" s="28"/>
      <c r="O338" s="28"/>
    </row>
    <row r="339" spans="1:15" ht="15.75">
      <c r="A339" s="426"/>
      <c r="B339" s="25" t="s">
        <v>127</v>
      </c>
      <c r="C339" s="550" t="str">
        <f t="shared" si="27"/>
        <v>Calves</v>
      </c>
      <c r="D339" s="22">
        <v>0</v>
      </c>
      <c r="E339" s="511"/>
      <c r="F339" s="512"/>
      <c r="G339" s="509">
        <f t="shared" si="28"/>
        <v>0</v>
      </c>
      <c r="H339" s="28"/>
      <c r="I339" s="22">
        <v>0</v>
      </c>
      <c r="J339" s="549">
        <f t="shared" si="29"/>
        <v>0</v>
      </c>
      <c r="K339" s="28"/>
      <c r="L339" s="28"/>
      <c r="M339" s="28"/>
      <c r="N339" s="28"/>
      <c r="O339" s="28"/>
    </row>
    <row r="340" spans="1:15" ht="15.75">
      <c r="A340" s="426"/>
      <c r="B340" s="25" t="s">
        <v>127</v>
      </c>
      <c r="C340" s="550" t="str">
        <f t="shared" si="27"/>
        <v>Calves</v>
      </c>
      <c r="D340" s="22">
        <v>0</v>
      </c>
      <c r="E340" s="511"/>
      <c r="F340" s="512"/>
      <c r="G340" s="509">
        <f t="shared" si="28"/>
        <v>0</v>
      </c>
      <c r="H340" s="28"/>
      <c r="I340" s="22">
        <v>0</v>
      </c>
      <c r="J340" s="549">
        <f t="shared" si="29"/>
        <v>0</v>
      </c>
      <c r="K340" s="28"/>
      <c r="L340" s="28"/>
      <c r="M340" s="28"/>
      <c r="N340" s="28"/>
      <c r="O340" s="28"/>
    </row>
    <row r="341" spans="1:15" ht="15.75">
      <c r="A341" s="426"/>
      <c r="B341" s="25" t="s">
        <v>127</v>
      </c>
      <c r="C341" s="550" t="str">
        <f t="shared" si="27"/>
        <v>Calves</v>
      </c>
      <c r="D341" s="22">
        <v>0</v>
      </c>
      <c r="E341" s="511"/>
      <c r="F341" s="512"/>
      <c r="G341" s="509">
        <f t="shared" si="28"/>
        <v>0</v>
      </c>
      <c r="H341" s="28"/>
      <c r="I341" s="22">
        <v>0</v>
      </c>
      <c r="J341" s="549">
        <f t="shared" si="29"/>
        <v>0</v>
      </c>
      <c r="K341" s="28"/>
      <c r="L341" s="28"/>
      <c r="M341" s="28"/>
      <c r="N341" s="28"/>
      <c r="O341" s="28"/>
    </row>
    <row r="342" spans="1:15" ht="15.75">
      <c r="A342" s="426"/>
      <c r="B342" s="25" t="s">
        <v>127</v>
      </c>
      <c r="C342" s="550" t="str">
        <f t="shared" si="27"/>
        <v>Calves</v>
      </c>
      <c r="D342" s="22">
        <v>0</v>
      </c>
      <c r="E342" s="511"/>
      <c r="F342" s="512"/>
      <c r="G342" s="509">
        <f t="shared" si="28"/>
        <v>0</v>
      </c>
      <c r="H342" s="28"/>
      <c r="I342" s="22">
        <v>0</v>
      </c>
      <c r="J342" s="549">
        <f t="shared" si="29"/>
        <v>0</v>
      </c>
      <c r="K342" s="28"/>
      <c r="L342" s="28"/>
      <c r="M342" s="28"/>
      <c r="N342" s="28"/>
      <c r="O342" s="28"/>
    </row>
    <row r="343" spans="1:15" ht="15.75">
      <c r="A343" s="426"/>
      <c r="B343" s="25" t="s">
        <v>127</v>
      </c>
      <c r="C343" s="550" t="str">
        <f t="shared" si="27"/>
        <v>Calves</v>
      </c>
      <c r="D343" s="22">
        <v>0</v>
      </c>
      <c r="E343" s="511"/>
      <c r="F343" s="512"/>
      <c r="G343" s="509">
        <f t="shared" si="28"/>
        <v>0</v>
      </c>
      <c r="H343" s="28"/>
      <c r="I343" s="22">
        <v>0</v>
      </c>
      <c r="J343" s="549">
        <f t="shared" si="29"/>
        <v>0</v>
      </c>
      <c r="K343" s="28"/>
      <c r="L343" s="28"/>
      <c r="M343" s="28"/>
      <c r="N343" s="28"/>
      <c r="O343" s="28"/>
    </row>
    <row r="344" spans="1:15" ht="16.5" thickBot="1">
      <c r="A344" s="426"/>
      <c r="B344" s="27" t="s">
        <v>127</v>
      </c>
      <c r="C344" s="564" t="str">
        <f t="shared" si="27"/>
        <v>Calves</v>
      </c>
      <c r="D344" s="23">
        <v>0</v>
      </c>
      <c r="E344" s="513"/>
      <c r="F344" s="514"/>
      <c r="G344" s="554">
        <f t="shared" si="28"/>
        <v>0</v>
      </c>
      <c r="H344" s="28"/>
      <c r="I344" s="22">
        <v>0</v>
      </c>
      <c r="J344" s="555">
        <f t="shared" si="29"/>
        <v>0</v>
      </c>
      <c r="K344" s="28"/>
      <c r="L344" s="28"/>
      <c r="M344" s="28"/>
      <c r="N344" s="28"/>
      <c r="O344" s="28"/>
    </row>
    <row r="345" spans="1:15" ht="16.5" thickTop="1">
      <c r="A345" s="426"/>
      <c r="B345" s="50"/>
      <c r="C345" s="74"/>
      <c r="D345" s="42"/>
      <c r="E345" s="560"/>
      <c r="F345" s="559" t="s">
        <v>128</v>
      </c>
      <c r="G345" s="294">
        <f>SUM(G325:G344)</f>
        <v>123</v>
      </c>
      <c r="H345" s="28"/>
      <c r="I345" s="470" t="s">
        <v>129</v>
      </c>
      <c r="J345" s="549">
        <f>SUM(J325:J344)</f>
        <v>186.95999999999998</v>
      </c>
      <c r="K345" s="28"/>
      <c r="L345" s="28"/>
      <c r="M345" s="28"/>
      <c r="N345" s="28"/>
      <c r="O345" s="28"/>
    </row>
    <row r="346" spans="1:15" ht="15.75">
      <c r="A346" s="426"/>
      <c r="B346" s="28"/>
      <c r="C346" s="54"/>
      <c r="D346" s="28"/>
      <c r="E346" s="28"/>
      <c r="F346" s="563"/>
      <c r="G346" s="509"/>
      <c r="H346" s="28"/>
      <c r="I346" s="470"/>
      <c r="J346" s="549"/>
      <c r="K346" s="28"/>
      <c r="L346" s="28"/>
      <c r="M346" s="28"/>
      <c r="N346" s="28"/>
      <c r="O346" s="28"/>
    </row>
    <row r="347" spans="1:15" ht="15.75">
      <c r="A347" s="426"/>
      <c r="B347" s="28"/>
      <c r="C347" s="54" t="s">
        <v>123</v>
      </c>
      <c r="D347" s="426"/>
      <c r="E347" s="647" t="s">
        <v>573</v>
      </c>
      <c r="F347" s="647"/>
      <c r="G347" s="34"/>
      <c r="H347" s="28"/>
      <c r="I347" s="34"/>
      <c r="J347" s="34" t="s">
        <v>101</v>
      </c>
      <c r="K347" s="28"/>
      <c r="L347" s="28"/>
      <c r="M347" s="28"/>
      <c r="N347" s="28"/>
      <c r="O347" s="28"/>
    </row>
    <row r="348" spans="1:15" ht="15.75">
      <c r="A348" s="426"/>
      <c r="B348" s="28" t="s">
        <v>109</v>
      </c>
      <c r="C348" s="54" t="s">
        <v>124</v>
      </c>
      <c r="D348" s="426"/>
      <c r="E348" s="75" t="s">
        <v>105</v>
      </c>
      <c r="F348" s="75" t="s">
        <v>106</v>
      </c>
      <c r="G348" s="34" t="s">
        <v>107</v>
      </c>
      <c r="H348" s="28"/>
      <c r="I348" s="34" t="s">
        <v>108</v>
      </c>
      <c r="J348" s="34" t="s">
        <v>125</v>
      </c>
      <c r="K348" s="28"/>
      <c r="L348" s="28"/>
      <c r="M348" s="28"/>
      <c r="N348" s="28"/>
      <c r="O348" s="28"/>
    </row>
    <row r="349" spans="1:15" ht="15.75">
      <c r="A349" s="426"/>
      <c r="B349" s="24" t="s">
        <v>127</v>
      </c>
      <c r="C349" s="548" t="str">
        <f>$B$23</f>
        <v>Deer</v>
      </c>
      <c r="D349" s="28"/>
      <c r="E349" s="561">
        <v>37044</v>
      </c>
      <c r="F349" s="562">
        <v>37053</v>
      </c>
      <c r="G349" s="509">
        <f aca="true" t="shared" si="30" ref="G349:G367">F349-E349</f>
        <v>9</v>
      </c>
      <c r="H349" s="28"/>
      <c r="I349" s="20">
        <v>0</v>
      </c>
      <c r="J349" s="549">
        <f aca="true" t="shared" si="31" ref="J349:J369">G349/30*I349*$D$23</f>
        <v>0</v>
      </c>
      <c r="K349" s="28"/>
      <c r="L349" s="28"/>
      <c r="M349" s="28"/>
      <c r="N349" s="28"/>
      <c r="O349" s="28"/>
    </row>
    <row r="350" spans="1:15" ht="15.75">
      <c r="A350" s="426"/>
      <c r="B350" s="25" t="s">
        <v>127</v>
      </c>
      <c r="C350" s="550" t="str">
        <f aca="true" t="shared" si="32" ref="C350:C369">$B$23</f>
        <v>Deer</v>
      </c>
      <c r="D350" s="28"/>
      <c r="E350" s="511"/>
      <c r="F350" s="512"/>
      <c r="G350" s="509">
        <f t="shared" si="30"/>
        <v>0</v>
      </c>
      <c r="H350" s="28"/>
      <c r="I350" s="22">
        <v>0</v>
      </c>
      <c r="J350" s="549">
        <f t="shared" si="31"/>
        <v>0</v>
      </c>
      <c r="K350" s="28"/>
      <c r="L350" s="28"/>
      <c r="M350" s="28"/>
      <c r="N350" s="28"/>
      <c r="O350" s="28"/>
    </row>
    <row r="351" spans="1:15" ht="15.75">
      <c r="A351" s="426"/>
      <c r="B351" s="25" t="s">
        <v>127</v>
      </c>
      <c r="C351" s="550" t="str">
        <f t="shared" si="32"/>
        <v>Deer</v>
      </c>
      <c r="D351" s="28"/>
      <c r="E351" s="511"/>
      <c r="F351" s="512"/>
      <c r="G351" s="509">
        <f t="shared" si="30"/>
        <v>0</v>
      </c>
      <c r="H351" s="28"/>
      <c r="I351" s="22">
        <v>0</v>
      </c>
      <c r="J351" s="549">
        <f t="shared" si="31"/>
        <v>0</v>
      </c>
      <c r="K351" s="28"/>
      <c r="L351" s="28"/>
      <c r="M351" s="28"/>
      <c r="N351" s="28"/>
      <c r="O351" s="28"/>
    </row>
    <row r="352" spans="1:15" ht="15.75">
      <c r="A352" s="426"/>
      <c r="B352" s="25" t="s">
        <v>127</v>
      </c>
      <c r="C352" s="550" t="str">
        <f t="shared" si="32"/>
        <v>Deer</v>
      </c>
      <c r="D352" s="28"/>
      <c r="E352" s="511"/>
      <c r="F352" s="512"/>
      <c r="G352" s="509">
        <f t="shared" si="30"/>
        <v>0</v>
      </c>
      <c r="H352" s="28"/>
      <c r="I352" s="22">
        <v>0</v>
      </c>
      <c r="J352" s="549">
        <f t="shared" si="31"/>
        <v>0</v>
      </c>
      <c r="K352" s="28"/>
      <c r="L352" s="28"/>
      <c r="M352" s="28"/>
      <c r="N352" s="28"/>
      <c r="O352" s="28"/>
    </row>
    <row r="353" spans="1:15" ht="15.75">
      <c r="A353" s="426"/>
      <c r="B353" s="25" t="s">
        <v>127</v>
      </c>
      <c r="C353" s="550" t="str">
        <f t="shared" si="32"/>
        <v>Deer</v>
      </c>
      <c r="D353" s="28"/>
      <c r="E353" s="511"/>
      <c r="F353" s="512"/>
      <c r="G353" s="509">
        <f t="shared" si="30"/>
        <v>0</v>
      </c>
      <c r="H353" s="28"/>
      <c r="I353" s="22">
        <v>0</v>
      </c>
      <c r="J353" s="549">
        <f t="shared" si="31"/>
        <v>0</v>
      </c>
      <c r="K353" s="28"/>
      <c r="L353" s="28"/>
      <c r="M353" s="28"/>
      <c r="N353" s="28"/>
      <c r="O353" s="28"/>
    </row>
    <row r="354" spans="1:15" ht="15.75">
      <c r="A354" s="426"/>
      <c r="B354" s="25" t="s">
        <v>127</v>
      </c>
      <c r="C354" s="550" t="str">
        <f t="shared" si="32"/>
        <v>Deer</v>
      </c>
      <c r="D354" s="28"/>
      <c r="E354" s="511"/>
      <c r="F354" s="512"/>
      <c r="G354" s="509">
        <f t="shared" si="30"/>
        <v>0</v>
      </c>
      <c r="H354" s="28"/>
      <c r="I354" s="22">
        <v>0</v>
      </c>
      <c r="J354" s="549">
        <f t="shared" si="31"/>
        <v>0</v>
      </c>
      <c r="K354" s="28"/>
      <c r="L354" s="28"/>
      <c r="M354" s="28"/>
      <c r="N354" s="28"/>
      <c r="O354" s="28"/>
    </row>
    <row r="355" spans="1:15" ht="15.75">
      <c r="A355" s="426"/>
      <c r="B355" s="25" t="s">
        <v>127</v>
      </c>
      <c r="C355" s="550" t="str">
        <f t="shared" si="32"/>
        <v>Deer</v>
      </c>
      <c r="D355" s="28"/>
      <c r="E355" s="511"/>
      <c r="F355" s="512"/>
      <c r="G355" s="509">
        <f t="shared" si="30"/>
        <v>0</v>
      </c>
      <c r="H355" s="28"/>
      <c r="I355" s="22">
        <v>0</v>
      </c>
      <c r="J355" s="549">
        <f t="shared" si="31"/>
        <v>0</v>
      </c>
      <c r="K355" s="28"/>
      <c r="L355" s="28"/>
      <c r="M355" s="28"/>
      <c r="N355" s="28"/>
      <c r="O355" s="28"/>
    </row>
    <row r="356" spans="1:15" ht="15.75">
      <c r="A356" s="426"/>
      <c r="B356" s="25" t="s">
        <v>127</v>
      </c>
      <c r="C356" s="550" t="str">
        <f t="shared" si="32"/>
        <v>Deer</v>
      </c>
      <c r="D356" s="28"/>
      <c r="E356" s="511"/>
      <c r="F356" s="512"/>
      <c r="G356" s="509">
        <f t="shared" si="30"/>
        <v>0</v>
      </c>
      <c r="H356" s="28"/>
      <c r="I356" s="22">
        <v>0</v>
      </c>
      <c r="J356" s="549">
        <f t="shared" si="31"/>
        <v>0</v>
      </c>
      <c r="K356" s="28"/>
      <c r="L356" s="28"/>
      <c r="M356" s="28"/>
      <c r="N356" s="28"/>
      <c r="O356" s="28"/>
    </row>
    <row r="357" spans="1:15" ht="15.75">
      <c r="A357" s="426"/>
      <c r="B357" s="25" t="s">
        <v>127</v>
      </c>
      <c r="C357" s="550" t="str">
        <f t="shared" si="32"/>
        <v>Deer</v>
      </c>
      <c r="D357" s="28"/>
      <c r="E357" s="511"/>
      <c r="F357" s="512"/>
      <c r="G357" s="509">
        <f t="shared" si="30"/>
        <v>0</v>
      </c>
      <c r="H357" s="28"/>
      <c r="I357" s="22">
        <v>0</v>
      </c>
      <c r="J357" s="549">
        <f t="shared" si="31"/>
        <v>0</v>
      </c>
      <c r="K357" s="28"/>
      <c r="L357" s="28"/>
      <c r="M357" s="28"/>
      <c r="N357" s="28"/>
      <c r="O357" s="28"/>
    </row>
    <row r="358" spans="1:15" ht="15.75">
      <c r="A358" s="426"/>
      <c r="B358" s="25" t="s">
        <v>127</v>
      </c>
      <c r="C358" s="550" t="str">
        <f t="shared" si="32"/>
        <v>Deer</v>
      </c>
      <c r="D358" s="28"/>
      <c r="E358" s="511"/>
      <c r="F358" s="512"/>
      <c r="G358" s="509">
        <f t="shared" si="30"/>
        <v>0</v>
      </c>
      <c r="H358" s="28"/>
      <c r="I358" s="22">
        <v>0</v>
      </c>
      <c r="J358" s="549">
        <f t="shared" si="31"/>
        <v>0</v>
      </c>
      <c r="K358" s="28"/>
      <c r="L358" s="28"/>
      <c r="M358" s="28"/>
      <c r="N358" s="28"/>
      <c r="O358" s="28"/>
    </row>
    <row r="359" spans="1:15" ht="15.75">
      <c r="A359" s="426"/>
      <c r="B359" s="25" t="s">
        <v>127</v>
      </c>
      <c r="C359" s="550" t="str">
        <f t="shared" si="32"/>
        <v>Deer</v>
      </c>
      <c r="D359" s="28"/>
      <c r="E359" s="511"/>
      <c r="F359" s="512"/>
      <c r="G359" s="509">
        <f t="shared" si="30"/>
        <v>0</v>
      </c>
      <c r="H359" s="28"/>
      <c r="I359" s="22">
        <v>0</v>
      </c>
      <c r="J359" s="549">
        <f t="shared" si="31"/>
        <v>0</v>
      </c>
      <c r="K359" s="28"/>
      <c r="L359" s="28"/>
      <c r="M359" s="28"/>
      <c r="N359" s="28"/>
      <c r="O359" s="28"/>
    </row>
    <row r="360" spans="1:15" ht="15.75">
      <c r="A360" s="426"/>
      <c r="B360" s="25" t="s">
        <v>127</v>
      </c>
      <c r="C360" s="550" t="str">
        <f t="shared" si="32"/>
        <v>Deer</v>
      </c>
      <c r="D360" s="28"/>
      <c r="E360" s="511"/>
      <c r="F360" s="512"/>
      <c r="G360" s="509">
        <f t="shared" si="30"/>
        <v>0</v>
      </c>
      <c r="H360" s="28"/>
      <c r="I360" s="22">
        <v>0</v>
      </c>
      <c r="J360" s="549">
        <f t="shared" si="31"/>
        <v>0</v>
      </c>
      <c r="K360" s="28"/>
      <c r="L360" s="28"/>
      <c r="M360" s="28"/>
      <c r="N360" s="28"/>
      <c r="O360" s="28"/>
    </row>
    <row r="361" spans="1:15" ht="15.75">
      <c r="A361" s="426"/>
      <c r="B361" s="25" t="s">
        <v>127</v>
      </c>
      <c r="C361" s="550" t="str">
        <f t="shared" si="32"/>
        <v>Deer</v>
      </c>
      <c r="D361" s="28"/>
      <c r="E361" s="511"/>
      <c r="F361" s="512"/>
      <c r="G361" s="509">
        <f t="shared" si="30"/>
        <v>0</v>
      </c>
      <c r="H361" s="28"/>
      <c r="I361" s="22">
        <v>0</v>
      </c>
      <c r="J361" s="549">
        <f t="shared" si="31"/>
        <v>0</v>
      </c>
      <c r="K361" s="28"/>
      <c r="L361" s="28"/>
      <c r="M361" s="28"/>
      <c r="N361" s="28"/>
      <c r="O361" s="28"/>
    </row>
    <row r="362" spans="1:15" ht="15.75">
      <c r="A362" s="426"/>
      <c r="B362" s="25" t="s">
        <v>127</v>
      </c>
      <c r="C362" s="550" t="str">
        <f t="shared" si="32"/>
        <v>Deer</v>
      </c>
      <c r="D362" s="28"/>
      <c r="E362" s="511"/>
      <c r="F362" s="512"/>
      <c r="G362" s="509">
        <f t="shared" si="30"/>
        <v>0</v>
      </c>
      <c r="H362" s="28"/>
      <c r="I362" s="22">
        <v>0</v>
      </c>
      <c r="J362" s="549">
        <f t="shared" si="31"/>
        <v>0</v>
      </c>
      <c r="K362" s="28"/>
      <c r="L362" s="28"/>
      <c r="M362" s="28"/>
      <c r="N362" s="28"/>
      <c r="O362" s="28"/>
    </row>
    <row r="363" spans="1:15" ht="15.75">
      <c r="A363" s="426"/>
      <c r="B363" s="25" t="s">
        <v>127</v>
      </c>
      <c r="C363" s="550" t="str">
        <f t="shared" si="32"/>
        <v>Deer</v>
      </c>
      <c r="D363" s="28"/>
      <c r="E363" s="511"/>
      <c r="F363" s="512"/>
      <c r="G363" s="509">
        <f t="shared" si="30"/>
        <v>0</v>
      </c>
      <c r="H363" s="28"/>
      <c r="I363" s="22">
        <v>0</v>
      </c>
      <c r="J363" s="549">
        <f t="shared" si="31"/>
        <v>0</v>
      </c>
      <c r="K363" s="28"/>
      <c r="L363" s="28"/>
      <c r="M363" s="28"/>
      <c r="N363" s="28"/>
      <c r="O363" s="28"/>
    </row>
    <row r="364" spans="1:15" ht="15.75">
      <c r="A364" s="426"/>
      <c r="B364" s="25" t="s">
        <v>127</v>
      </c>
      <c r="C364" s="550" t="str">
        <f t="shared" si="32"/>
        <v>Deer</v>
      </c>
      <c r="D364" s="28"/>
      <c r="E364" s="511"/>
      <c r="F364" s="512"/>
      <c r="G364" s="509">
        <f t="shared" si="30"/>
        <v>0</v>
      </c>
      <c r="H364" s="28"/>
      <c r="I364" s="22">
        <v>0</v>
      </c>
      <c r="J364" s="549">
        <f t="shared" si="31"/>
        <v>0</v>
      </c>
      <c r="K364" s="28"/>
      <c r="L364" s="28"/>
      <c r="M364" s="28"/>
      <c r="N364" s="28"/>
      <c r="O364" s="28"/>
    </row>
    <row r="365" spans="1:15" ht="15.75">
      <c r="A365" s="426"/>
      <c r="B365" s="25" t="s">
        <v>127</v>
      </c>
      <c r="C365" s="550" t="str">
        <f t="shared" si="32"/>
        <v>Deer</v>
      </c>
      <c r="D365" s="28"/>
      <c r="E365" s="511"/>
      <c r="F365" s="512"/>
      <c r="G365" s="509">
        <f t="shared" si="30"/>
        <v>0</v>
      </c>
      <c r="H365" s="28"/>
      <c r="I365" s="22">
        <v>0</v>
      </c>
      <c r="J365" s="549">
        <f t="shared" si="31"/>
        <v>0</v>
      </c>
      <c r="K365" s="28"/>
      <c r="L365" s="28"/>
      <c r="M365" s="28"/>
      <c r="N365" s="28"/>
      <c r="O365" s="28"/>
    </row>
    <row r="366" spans="1:15" ht="15.75">
      <c r="A366" s="426"/>
      <c r="B366" s="25" t="s">
        <v>127</v>
      </c>
      <c r="C366" s="550" t="str">
        <f t="shared" si="32"/>
        <v>Deer</v>
      </c>
      <c r="D366" s="28"/>
      <c r="E366" s="511"/>
      <c r="F366" s="512"/>
      <c r="G366" s="509">
        <f t="shared" si="30"/>
        <v>0</v>
      </c>
      <c r="H366" s="28"/>
      <c r="I366" s="22">
        <v>0</v>
      </c>
      <c r="J366" s="549">
        <f t="shared" si="31"/>
        <v>0</v>
      </c>
      <c r="K366" s="28"/>
      <c r="L366" s="28"/>
      <c r="M366" s="28"/>
      <c r="N366" s="28"/>
      <c r="O366" s="28"/>
    </row>
    <row r="367" spans="1:15" ht="15.75">
      <c r="A367" s="426"/>
      <c r="B367" s="25" t="s">
        <v>127</v>
      </c>
      <c r="C367" s="550" t="str">
        <f t="shared" si="32"/>
        <v>Deer</v>
      </c>
      <c r="D367" s="28"/>
      <c r="E367" s="511"/>
      <c r="F367" s="512"/>
      <c r="G367" s="509">
        <f t="shared" si="30"/>
        <v>0</v>
      </c>
      <c r="H367" s="28"/>
      <c r="I367" s="22">
        <v>0</v>
      </c>
      <c r="J367" s="549">
        <f t="shared" si="31"/>
        <v>0</v>
      </c>
      <c r="K367" s="28"/>
      <c r="L367" s="28"/>
      <c r="M367" s="28"/>
      <c r="N367" s="28"/>
      <c r="O367" s="28"/>
    </row>
    <row r="368" spans="1:15" ht="15.75">
      <c r="A368" s="426"/>
      <c r="B368" s="25" t="s">
        <v>127</v>
      </c>
      <c r="C368" s="550" t="str">
        <f t="shared" si="32"/>
        <v>Deer</v>
      </c>
      <c r="D368" s="28"/>
      <c r="E368" s="511"/>
      <c r="F368" s="512"/>
      <c r="G368" s="509">
        <f>F368-E368</f>
        <v>0</v>
      </c>
      <c r="H368" s="28"/>
      <c r="I368" s="22">
        <v>0</v>
      </c>
      <c r="J368" s="549">
        <f t="shared" si="31"/>
        <v>0</v>
      </c>
      <c r="K368" s="28"/>
      <c r="L368" s="28"/>
      <c r="M368" s="28"/>
      <c r="N368" s="28"/>
      <c r="O368" s="28"/>
    </row>
    <row r="369" spans="1:15" ht="16.5" thickBot="1">
      <c r="A369" s="426"/>
      <c r="B369" s="27" t="s">
        <v>127</v>
      </c>
      <c r="C369" s="564" t="str">
        <f t="shared" si="32"/>
        <v>Deer</v>
      </c>
      <c r="D369" s="28"/>
      <c r="E369" s="552"/>
      <c r="F369" s="553"/>
      <c r="G369" s="554">
        <f>F369-E369</f>
        <v>0</v>
      </c>
      <c r="H369" s="28"/>
      <c r="I369" s="23">
        <v>0</v>
      </c>
      <c r="J369" s="555">
        <f t="shared" si="31"/>
        <v>0</v>
      </c>
      <c r="K369" s="28"/>
      <c r="L369" s="28"/>
      <c r="M369" s="28"/>
      <c r="N369" s="28"/>
      <c r="O369" s="28"/>
    </row>
    <row r="370" spans="1:15" ht="16.5" thickTop="1">
      <c r="A370" s="426"/>
      <c r="B370" s="556"/>
      <c r="C370" s="557"/>
      <c r="D370" s="28"/>
      <c r="E370" s="558"/>
      <c r="F370" s="559" t="s">
        <v>128</v>
      </c>
      <c r="G370" s="509">
        <f>SUM(G349:G369)</f>
        <v>9</v>
      </c>
      <c r="H370" s="28"/>
      <c r="I370" s="470" t="s">
        <v>129</v>
      </c>
      <c r="J370" s="549">
        <f>SUM(J349:J369)</f>
        <v>0</v>
      </c>
      <c r="K370" s="28"/>
      <c r="L370" s="28"/>
      <c r="M370" s="28"/>
      <c r="N370" s="28"/>
      <c r="O370" s="28"/>
    </row>
    <row r="371" spans="1:15" ht="15.75">
      <c r="A371" s="426"/>
      <c r="B371" s="28"/>
      <c r="C371" s="54"/>
      <c r="D371" s="28"/>
      <c r="E371" s="28"/>
      <c r="F371" s="563"/>
      <c r="G371" s="509"/>
      <c r="H371" s="28"/>
      <c r="I371" s="470"/>
      <c r="J371" s="549"/>
      <c r="K371" s="28"/>
      <c r="L371" s="28"/>
      <c r="M371" s="28"/>
      <c r="N371" s="28"/>
      <c r="O371" s="28"/>
    </row>
    <row r="372" spans="1:15" ht="15.75">
      <c r="A372" s="426"/>
      <c r="B372" s="28"/>
      <c r="C372" s="54" t="s">
        <v>123</v>
      </c>
      <c r="D372" s="28"/>
      <c r="E372" s="647" t="s">
        <v>573</v>
      </c>
      <c r="F372" s="647"/>
      <c r="G372" s="34"/>
      <c r="H372" s="28"/>
      <c r="I372" s="34"/>
      <c r="J372" s="34" t="s">
        <v>101</v>
      </c>
      <c r="K372" s="28"/>
      <c r="L372" s="28"/>
      <c r="M372" s="28"/>
      <c r="N372" s="28"/>
      <c r="O372" s="28"/>
    </row>
    <row r="373" spans="1:15" ht="15.75">
      <c r="A373" s="426"/>
      <c r="B373" s="28" t="s">
        <v>109</v>
      </c>
      <c r="C373" s="54" t="s">
        <v>124</v>
      </c>
      <c r="D373" s="28"/>
      <c r="E373" s="75" t="s">
        <v>105</v>
      </c>
      <c r="F373" s="75" t="s">
        <v>106</v>
      </c>
      <c r="G373" s="34" t="s">
        <v>107</v>
      </c>
      <c r="H373" s="28"/>
      <c r="I373" s="34" t="s">
        <v>108</v>
      </c>
      <c r="J373" s="34" t="s">
        <v>125</v>
      </c>
      <c r="K373" s="28"/>
      <c r="L373" s="28"/>
      <c r="M373" s="28"/>
      <c r="N373" s="28"/>
      <c r="O373" s="28"/>
    </row>
    <row r="374" spans="1:15" ht="15.75">
      <c r="A374" s="426"/>
      <c r="B374" s="24" t="s">
        <v>127</v>
      </c>
      <c r="C374" s="548" t="str">
        <f aca="true" t="shared" si="33" ref="C374:C394">$B$24</f>
        <v>Elk</v>
      </c>
      <c r="D374" s="28"/>
      <c r="E374" s="561"/>
      <c r="F374" s="562"/>
      <c r="G374" s="509">
        <f>F374-E374</f>
        <v>0</v>
      </c>
      <c r="H374" s="28"/>
      <c r="I374" s="20">
        <v>0</v>
      </c>
      <c r="J374" s="549">
        <f aca="true" t="shared" si="34" ref="J374:J394">G374/30*I374*$D$24</f>
        <v>0</v>
      </c>
      <c r="K374" s="28"/>
      <c r="L374" s="28"/>
      <c r="M374" s="28"/>
      <c r="N374" s="28"/>
      <c r="O374" s="28"/>
    </row>
    <row r="375" spans="1:15" ht="15.75">
      <c r="A375" s="426"/>
      <c r="B375" s="25" t="s">
        <v>127</v>
      </c>
      <c r="C375" s="550" t="str">
        <f t="shared" si="33"/>
        <v>Elk</v>
      </c>
      <c r="D375" s="28"/>
      <c r="E375" s="511"/>
      <c r="F375" s="512"/>
      <c r="G375" s="509">
        <f>F375-E375</f>
        <v>0</v>
      </c>
      <c r="H375" s="28"/>
      <c r="I375" s="22">
        <v>0</v>
      </c>
      <c r="J375" s="549">
        <f t="shared" si="34"/>
        <v>0</v>
      </c>
      <c r="K375" s="28"/>
      <c r="L375" s="28"/>
      <c r="M375" s="28"/>
      <c r="N375" s="28"/>
      <c r="O375" s="28"/>
    </row>
    <row r="376" spans="1:15" ht="15.75">
      <c r="A376" s="426"/>
      <c r="B376" s="25" t="s">
        <v>127</v>
      </c>
      <c r="C376" s="550" t="str">
        <f t="shared" si="33"/>
        <v>Elk</v>
      </c>
      <c r="D376" s="28"/>
      <c r="E376" s="511"/>
      <c r="F376" s="512"/>
      <c r="G376" s="509">
        <f>F376-E376</f>
        <v>0</v>
      </c>
      <c r="H376" s="28"/>
      <c r="I376" s="22">
        <v>0</v>
      </c>
      <c r="J376" s="549">
        <f t="shared" si="34"/>
        <v>0</v>
      </c>
      <c r="K376" s="28"/>
      <c r="L376" s="28"/>
      <c r="M376" s="28"/>
      <c r="N376" s="28"/>
      <c r="O376" s="28"/>
    </row>
    <row r="377" spans="1:15" ht="15.75">
      <c r="A377" s="426"/>
      <c r="B377" s="25" t="s">
        <v>127</v>
      </c>
      <c r="C377" s="550" t="str">
        <f t="shared" si="33"/>
        <v>Elk</v>
      </c>
      <c r="D377" s="28"/>
      <c r="E377" s="511"/>
      <c r="F377" s="512"/>
      <c r="G377" s="509">
        <f>F377-E377</f>
        <v>0</v>
      </c>
      <c r="H377" s="28"/>
      <c r="I377" s="22">
        <v>0</v>
      </c>
      <c r="J377" s="549">
        <f t="shared" si="34"/>
        <v>0</v>
      </c>
      <c r="K377" s="28"/>
      <c r="L377" s="28"/>
      <c r="M377" s="28"/>
      <c r="N377" s="28"/>
      <c r="O377" s="28"/>
    </row>
    <row r="378" spans="1:15" ht="15.75">
      <c r="A378" s="426"/>
      <c r="B378" s="25" t="s">
        <v>127</v>
      </c>
      <c r="C378" s="550" t="str">
        <f t="shared" si="33"/>
        <v>Elk</v>
      </c>
      <c r="D378" s="28"/>
      <c r="E378" s="511"/>
      <c r="F378" s="512"/>
      <c r="G378" s="509">
        <f>F378-E378</f>
        <v>0</v>
      </c>
      <c r="H378" s="28"/>
      <c r="I378" s="22">
        <v>0</v>
      </c>
      <c r="J378" s="549">
        <f t="shared" si="34"/>
        <v>0</v>
      </c>
      <c r="K378" s="28"/>
      <c r="L378" s="28"/>
      <c r="M378" s="28"/>
      <c r="N378" s="28"/>
      <c r="O378" s="28"/>
    </row>
    <row r="379" spans="1:15" ht="15.75">
      <c r="A379" s="426"/>
      <c r="B379" s="25" t="s">
        <v>127</v>
      </c>
      <c r="C379" s="550" t="str">
        <f t="shared" si="33"/>
        <v>Elk</v>
      </c>
      <c r="D379" s="28"/>
      <c r="E379" s="511"/>
      <c r="F379" s="512"/>
      <c r="G379" s="509">
        <f aca="true" t="shared" si="35" ref="G379:G392">F379-E379</f>
        <v>0</v>
      </c>
      <c r="H379" s="28"/>
      <c r="I379" s="22">
        <v>0</v>
      </c>
      <c r="J379" s="549">
        <f t="shared" si="34"/>
        <v>0</v>
      </c>
      <c r="K379" s="28"/>
      <c r="L379" s="28"/>
      <c r="M379" s="28"/>
      <c r="N379" s="28"/>
      <c r="O379" s="28"/>
    </row>
    <row r="380" spans="1:15" ht="15.75">
      <c r="A380" s="426"/>
      <c r="B380" s="25" t="s">
        <v>127</v>
      </c>
      <c r="C380" s="550" t="str">
        <f t="shared" si="33"/>
        <v>Elk</v>
      </c>
      <c r="D380" s="28"/>
      <c r="E380" s="511"/>
      <c r="F380" s="512"/>
      <c r="G380" s="509">
        <f t="shared" si="35"/>
        <v>0</v>
      </c>
      <c r="H380" s="28"/>
      <c r="I380" s="22">
        <v>0</v>
      </c>
      <c r="J380" s="549">
        <f t="shared" si="34"/>
        <v>0</v>
      </c>
      <c r="K380" s="28"/>
      <c r="L380" s="28"/>
      <c r="M380" s="28"/>
      <c r="N380" s="28"/>
      <c r="O380" s="28"/>
    </row>
    <row r="381" spans="1:15" ht="15.75">
      <c r="A381" s="426"/>
      <c r="B381" s="25" t="s">
        <v>127</v>
      </c>
      <c r="C381" s="550" t="str">
        <f t="shared" si="33"/>
        <v>Elk</v>
      </c>
      <c r="D381" s="28"/>
      <c r="E381" s="511"/>
      <c r="F381" s="512"/>
      <c r="G381" s="509">
        <f t="shared" si="35"/>
        <v>0</v>
      </c>
      <c r="H381" s="28"/>
      <c r="I381" s="22">
        <v>0</v>
      </c>
      <c r="J381" s="549">
        <f t="shared" si="34"/>
        <v>0</v>
      </c>
      <c r="K381" s="28"/>
      <c r="L381" s="28"/>
      <c r="M381" s="28"/>
      <c r="N381" s="28"/>
      <c r="O381" s="28"/>
    </row>
    <row r="382" spans="1:15" ht="15.75">
      <c r="A382" s="426"/>
      <c r="B382" s="25" t="s">
        <v>127</v>
      </c>
      <c r="C382" s="550" t="str">
        <f t="shared" si="33"/>
        <v>Elk</v>
      </c>
      <c r="D382" s="28"/>
      <c r="E382" s="511"/>
      <c r="F382" s="512"/>
      <c r="G382" s="509">
        <f t="shared" si="35"/>
        <v>0</v>
      </c>
      <c r="H382" s="28"/>
      <c r="I382" s="22">
        <v>0</v>
      </c>
      <c r="J382" s="549">
        <f t="shared" si="34"/>
        <v>0</v>
      </c>
      <c r="K382" s="28"/>
      <c r="L382" s="28"/>
      <c r="M382" s="28"/>
      <c r="N382" s="28"/>
      <c r="O382" s="28"/>
    </row>
    <row r="383" spans="1:15" ht="15.75">
      <c r="A383" s="426"/>
      <c r="B383" s="25" t="s">
        <v>127</v>
      </c>
      <c r="C383" s="550" t="str">
        <f t="shared" si="33"/>
        <v>Elk</v>
      </c>
      <c r="D383" s="28"/>
      <c r="E383" s="511"/>
      <c r="F383" s="512"/>
      <c r="G383" s="509">
        <f t="shared" si="35"/>
        <v>0</v>
      </c>
      <c r="H383" s="28"/>
      <c r="I383" s="22">
        <v>0</v>
      </c>
      <c r="J383" s="549">
        <f t="shared" si="34"/>
        <v>0</v>
      </c>
      <c r="K383" s="28"/>
      <c r="L383" s="28"/>
      <c r="M383" s="28"/>
      <c r="N383" s="28"/>
      <c r="O383" s="28"/>
    </row>
    <row r="384" spans="1:15" ht="15.75">
      <c r="A384" s="426"/>
      <c r="B384" s="25" t="s">
        <v>127</v>
      </c>
      <c r="C384" s="550" t="str">
        <f t="shared" si="33"/>
        <v>Elk</v>
      </c>
      <c r="D384" s="28"/>
      <c r="E384" s="511"/>
      <c r="F384" s="512"/>
      <c r="G384" s="509">
        <f t="shared" si="35"/>
        <v>0</v>
      </c>
      <c r="H384" s="28"/>
      <c r="I384" s="22">
        <v>0</v>
      </c>
      <c r="J384" s="549">
        <f t="shared" si="34"/>
        <v>0</v>
      </c>
      <c r="K384" s="28"/>
      <c r="L384" s="28"/>
      <c r="M384" s="28"/>
      <c r="N384" s="28"/>
      <c r="O384" s="28"/>
    </row>
    <row r="385" spans="1:15" ht="15.75">
      <c r="A385" s="426"/>
      <c r="B385" s="25" t="s">
        <v>127</v>
      </c>
      <c r="C385" s="550" t="str">
        <f t="shared" si="33"/>
        <v>Elk</v>
      </c>
      <c r="D385" s="28"/>
      <c r="E385" s="511"/>
      <c r="F385" s="512"/>
      <c r="G385" s="509">
        <f t="shared" si="35"/>
        <v>0</v>
      </c>
      <c r="H385" s="28"/>
      <c r="I385" s="22">
        <v>0</v>
      </c>
      <c r="J385" s="549">
        <f t="shared" si="34"/>
        <v>0</v>
      </c>
      <c r="K385" s="28"/>
      <c r="L385" s="28"/>
      <c r="M385" s="28"/>
      <c r="N385" s="28"/>
      <c r="O385" s="28"/>
    </row>
    <row r="386" spans="1:15" ht="15.75">
      <c r="A386" s="426"/>
      <c r="B386" s="25" t="s">
        <v>127</v>
      </c>
      <c r="C386" s="550" t="str">
        <f t="shared" si="33"/>
        <v>Elk</v>
      </c>
      <c r="D386" s="28"/>
      <c r="E386" s="511"/>
      <c r="F386" s="512"/>
      <c r="G386" s="509">
        <f t="shared" si="35"/>
        <v>0</v>
      </c>
      <c r="H386" s="28"/>
      <c r="I386" s="22">
        <v>0</v>
      </c>
      <c r="J386" s="549">
        <f t="shared" si="34"/>
        <v>0</v>
      </c>
      <c r="K386" s="28"/>
      <c r="L386" s="28"/>
      <c r="M386" s="28"/>
      <c r="N386" s="28"/>
      <c r="O386" s="28"/>
    </row>
    <row r="387" spans="1:15" ht="15.75">
      <c r="A387" s="426"/>
      <c r="B387" s="25" t="s">
        <v>127</v>
      </c>
      <c r="C387" s="550" t="str">
        <f t="shared" si="33"/>
        <v>Elk</v>
      </c>
      <c r="D387" s="28"/>
      <c r="E387" s="511"/>
      <c r="F387" s="512"/>
      <c r="G387" s="509">
        <f t="shared" si="35"/>
        <v>0</v>
      </c>
      <c r="H387" s="28"/>
      <c r="I387" s="22">
        <v>0</v>
      </c>
      <c r="J387" s="549">
        <f t="shared" si="34"/>
        <v>0</v>
      </c>
      <c r="K387" s="28"/>
      <c r="L387" s="28"/>
      <c r="M387" s="28"/>
      <c r="N387" s="28"/>
      <c r="O387" s="28"/>
    </row>
    <row r="388" spans="1:15" ht="15.75">
      <c r="A388" s="426"/>
      <c r="B388" s="25" t="s">
        <v>127</v>
      </c>
      <c r="C388" s="550" t="str">
        <f t="shared" si="33"/>
        <v>Elk</v>
      </c>
      <c r="D388" s="28"/>
      <c r="E388" s="511"/>
      <c r="F388" s="512"/>
      <c r="G388" s="509">
        <f t="shared" si="35"/>
        <v>0</v>
      </c>
      <c r="H388" s="28"/>
      <c r="I388" s="22">
        <v>0</v>
      </c>
      <c r="J388" s="549">
        <f t="shared" si="34"/>
        <v>0</v>
      </c>
      <c r="K388" s="28"/>
      <c r="L388" s="28"/>
      <c r="M388" s="28"/>
      <c r="N388" s="28"/>
      <c r="O388" s="28"/>
    </row>
    <row r="389" spans="1:15" ht="15.75">
      <c r="A389" s="426"/>
      <c r="B389" s="25" t="s">
        <v>127</v>
      </c>
      <c r="C389" s="550" t="str">
        <f t="shared" si="33"/>
        <v>Elk</v>
      </c>
      <c r="D389" s="28"/>
      <c r="E389" s="511"/>
      <c r="F389" s="512"/>
      <c r="G389" s="509">
        <f t="shared" si="35"/>
        <v>0</v>
      </c>
      <c r="H389" s="28"/>
      <c r="I389" s="22">
        <v>0</v>
      </c>
      <c r="J389" s="549">
        <f t="shared" si="34"/>
        <v>0</v>
      </c>
      <c r="K389" s="28"/>
      <c r="L389" s="28"/>
      <c r="M389" s="28"/>
      <c r="N389" s="28"/>
      <c r="O389" s="28"/>
    </row>
    <row r="390" spans="1:15" ht="15.75">
      <c r="A390" s="426"/>
      <c r="B390" s="25" t="s">
        <v>127</v>
      </c>
      <c r="C390" s="550" t="str">
        <f t="shared" si="33"/>
        <v>Elk</v>
      </c>
      <c r="D390" s="28"/>
      <c r="E390" s="511"/>
      <c r="F390" s="512"/>
      <c r="G390" s="509">
        <f t="shared" si="35"/>
        <v>0</v>
      </c>
      <c r="H390" s="28"/>
      <c r="I390" s="22">
        <v>0</v>
      </c>
      <c r="J390" s="549">
        <f t="shared" si="34"/>
        <v>0</v>
      </c>
      <c r="K390" s="28"/>
      <c r="L390" s="28"/>
      <c r="M390" s="28"/>
      <c r="N390" s="28"/>
      <c r="O390" s="28"/>
    </row>
    <row r="391" spans="1:15" ht="15.75">
      <c r="A391" s="426"/>
      <c r="B391" s="25" t="s">
        <v>127</v>
      </c>
      <c r="C391" s="550" t="str">
        <f t="shared" si="33"/>
        <v>Elk</v>
      </c>
      <c r="D391" s="28"/>
      <c r="E391" s="511"/>
      <c r="F391" s="512"/>
      <c r="G391" s="509">
        <f t="shared" si="35"/>
        <v>0</v>
      </c>
      <c r="H391" s="28"/>
      <c r="I391" s="22">
        <v>0</v>
      </c>
      <c r="J391" s="549">
        <f t="shared" si="34"/>
        <v>0</v>
      </c>
      <c r="K391" s="28"/>
      <c r="L391" s="28"/>
      <c r="M391" s="28"/>
      <c r="N391" s="28"/>
      <c r="O391" s="28"/>
    </row>
    <row r="392" spans="1:15" ht="15.75">
      <c r="A392" s="426"/>
      <c r="B392" s="25" t="s">
        <v>127</v>
      </c>
      <c r="C392" s="550" t="str">
        <f t="shared" si="33"/>
        <v>Elk</v>
      </c>
      <c r="D392" s="28"/>
      <c r="E392" s="511"/>
      <c r="F392" s="512"/>
      <c r="G392" s="509">
        <f t="shared" si="35"/>
        <v>0</v>
      </c>
      <c r="H392" s="28"/>
      <c r="I392" s="22">
        <v>0</v>
      </c>
      <c r="J392" s="549">
        <f t="shared" si="34"/>
        <v>0</v>
      </c>
      <c r="K392" s="28"/>
      <c r="L392" s="28"/>
      <c r="M392" s="28"/>
      <c r="N392" s="28"/>
      <c r="O392" s="28"/>
    </row>
    <row r="393" spans="1:15" ht="15.75">
      <c r="A393" s="426"/>
      <c r="B393" s="25" t="s">
        <v>127</v>
      </c>
      <c r="C393" s="550" t="str">
        <f t="shared" si="33"/>
        <v>Elk</v>
      </c>
      <c r="D393" s="28"/>
      <c r="E393" s="511"/>
      <c r="F393" s="512"/>
      <c r="G393" s="509">
        <f>F393-E393</f>
        <v>0</v>
      </c>
      <c r="H393" s="28"/>
      <c r="I393" s="22">
        <v>0</v>
      </c>
      <c r="J393" s="549">
        <f t="shared" si="34"/>
        <v>0</v>
      </c>
      <c r="K393" s="28"/>
      <c r="L393" s="28"/>
      <c r="M393" s="28"/>
      <c r="N393" s="28"/>
      <c r="O393" s="28"/>
    </row>
    <row r="394" spans="1:15" ht="16.5" thickBot="1">
      <c r="A394" s="426"/>
      <c r="B394" s="27" t="s">
        <v>127</v>
      </c>
      <c r="C394" s="564" t="str">
        <f t="shared" si="33"/>
        <v>Elk</v>
      </c>
      <c r="D394" s="28"/>
      <c r="E394" s="513"/>
      <c r="F394" s="514"/>
      <c r="G394" s="554">
        <f>F394-E394</f>
        <v>0</v>
      </c>
      <c r="H394" s="28"/>
      <c r="I394" s="23">
        <v>0</v>
      </c>
      <c r="J394" s="555">
        <f t="shared" si="34"/>
        <v>0</v>
      </c>
      <c r="K394" s="28"/>
      <c r="L394" s="28"/>
      <c r="M394" s="28"/>
      <c r="N394" s="28"/>
      <c r="O394" s="28"/>
    </row>
    <row r="395" spans="1:15" ht="16.5" thickTop="1">
      <c r="A395" s="426"/>
      <c r="B395" s="28"/>
      <c r="C395" s="28"/>
      <c r="D395" s="28"/>
      <c r="E395" s="28"/>
      <c r="F395" s="559" t="s">
        <v>128</v>
      </c>
      <c r="G395" s="509">
        <f>SUM(G374:G394)</f>
        <v>0</v>
      </c>
      <c r="H395" s="28"/>
      <c r="I395" s="470" t="s">
        <v>129</v>
      </c>
      <c r="J395" s="549">
        <f>SUM(J374:J394)</f>
        <v>0</v>
      </c>
      <c r="K395" s="28"/>
      <c r="L395" s="28"/>
      <c r="M395" s="28"/>
      <c r="N395" s="28"/>
      <c r="O395" s="28"/>
    </row>
    <row r="396" spans="1:15" ht="15.75">
      <c r="A396" s="426"/>
      <c r="B396" s="28"/>
      <c r="C396" s="28"/>
      <c r="D396" s="28"/>
      <c r="E396" s="28"/>
      <c r="F396" s="563"/>
      <c r="G396" s="509"/>
      <c r="H396" s="28"/>
      <c r="I396" s="470"/>
      <c r="J396" s="549"/>
      <c r="K396" s="28"/>
      <c r="L396" s="28"/>
      <c r="M396" s="28"/>
      <c r="N396" s="28"/>
      <c r="O396" s="28"/>
    </row>
    <row r="397" spans="1:15" ht="15.75">
      <c r="A397" s="426"/>
      <c r="B397" s="28"/>
      <c r="C397" s="28"/>
      <c r="D397" s="28"/>
      <c r="E397" s="28"/>
      <c r="F397" s="563"/>
      <c r="G397" s="509"/>
      <c r="H397" s="28"/>
      <c r="I397" s="470"/>
      <c r="J397" s="549"/>
      <c r="K397" s="28"/>
      <c r="L397" s="28"/>
      <c r="M397" s="28"/>
      <c r="N397" s="28"/>
      <c r="O397" s="28"/>
    </row>
    <row r="398" spans="1:15" ht="15.75">
      <c r="A398" s="426"/>
      <c r="B398" s="28"/>
      <c r="C398" s="28"/>
      <c r="D398" s="28"/>
      <c r="E398" s="28" t="s">
        <v>574</v>
      </c>
      <c r="F398" s="28"/>
      <c r="G398" s="28"/>
      <c r="H398" s="28"/>
      <c r="I398" s="28"/>
      <c r="J398" s="566">
        <f>G117</f>
        <v>2040.1799999999998</v>
      </c>
      <c r="K398" s="28"/>
      <c r="L398" s="28"/>
      <c r="M398" s="28"/>
      <c r="N398" s="28"/>
      <c r="O398" s="28"/>
    </row>
    <row r="399" spans="1:15" ht="16.5" thickBot="1">
      <c r="A399" s="426"/>
      <c r="B399" s="28"/>
      <c r="C399" s="28"/>
      <c r="D399" s="28"/>
      <c r="E399" s="28" t="s">
        <v>130</v>
      </c>
      <c r="F399" s="28"/>
      <c r="G399" s="28"/>
      <c r="H399" s="28"/>
      <c r="I399" s="28"/>
      <c r="J399" s="567">
        <f>J144+J169+J194+J219+J244+J269+J294+J319+J345+J370+J395</f>
        <v>853.96</v>
      </c>
      <c r="K399" s="28"/>
      <c r="L399" s="28"/>
      <c r="M399" s="28"/>
      <c r="N399" s="28"/>
      <c r="O399" s="28"/>
    </row>
    <row r="400" spans="1:15" ht="16.5" thickTop="1">
      <c r="A400" s="426"/>
      <c r="B400" s="28"/>
      <c r="C400" s="28"/>
      <c r="D400" s="28"/>
      <c r="E400" s="28" t="s">
        <v>132</v>
      </c>
      <c r="F400" s="28"/>
      <c r="G400" s="28"/>
      <c r="H400" s="28"/>
      <c r="I400" s="28"/>
      <c r="J400" s="566">
        <f>J398-J399</f>
        <v>1186.2199999999998</v>
      </c>
      <c r="K400" s="28"/>
      <c r="L400" s="28"/>
      <c r="M400" s="28"/>
      <c r="N400" s="28"/>
      <c r="O400" s="28"/>
    </row>
    <row r="401" spans="1:15" ht="15.75">
      <c r="A401" s="426"/>
      <c r="B401" s="28"/>
      <c r="C401" s="28"/>
      <c r="D401" s="28"/>
      <c r="E401" s="28"/>
      <c r="F401" s="28"/>
      <c r="G401" s="28"/>
      <c r="H401" s="28"/>
      <c r="I401" s="28"/>
      <c r="J401" s="28"/>
      <c r="K401" s="28"/>
      <c r="L401" s="28"/>
      <c r="M401" s="28"/>
      <c r="N401" s="28"/>
      <c r="O401" s="28"/>
    </row>
    <row r="402" spans="1:15" ht="15.75">
      <c r="A402" s="426"/>
      <c r="B402" s="28"/>
      <c r="C402" s="28" t="s">
        <v>575</v>
      </c>
      <c r="D402" s="28"/>
      <c r="E402" s="28"/>
      <c r="F402" s="28"/>
      <c r="G402" s="324">
        <f>J370+J395</f>
        <v>0</v>
      </c>
      <c r="H402" s="28"/>
      <c r="I402" s="28"/>
      <c r="J402" s="28"/>
      <c r="K402" s="28"/>
      <c r="L402" s="28"/>
      <c r="M402" s="28"/>
      <c r="N402" s="28"/>
      <c r="O402" s="28"/>
    </row>
    <row r="403" spans="1:15" ht="15.75">
      <c r="A403" s="426"/>
      <c r="B403" s="28"/>
      <c r="C403" s="28" t="s">
        <v>576</v>
      </c>
      <c r="D403" s="28"/>
      <c r="E403" s="28"/>
      <c r="F403" s="28"/>
      <c r="G403" s="566">
        <f>J399-G402</f>
        <v>853.96</v>
      </c>
      <c r="H403" s="28"/>
      <c r="I403" s="28"/>
      <c r="J403" s="28"/>
      <c r="K403" s="28"/>
      <c r="L403" s="28"/>
      <c r="M403" s="28"/>
      <c r="N403" s="28"/>
      <c r="O403" s="28"/>
    </row>
    <row r="404" spans="1:15" ht="15.75">
      <c r="A404" s="426"/>
      <c r="B404" s="28"/>
      <c r="C404" s="28"/>
      <c r="D404" s="28"/>
      <c r="E404" s="28"/>
      <c r="F404" s="28"/>
      <c r="G404" s="28"/>
      <c r="H404" s="28"/>
      <c r="I404" s="28"/>
      <c r="J404" s="28"/>
      <c r="K404" s="28"/>
      <c r="L404" s="28"/>
      <c r="M404" s="28"/>
      <c r="N404" s="28"/>
      <c r="O404" s="28"/>
    </row>
    <row r="405" spans="1:15" ht="15.75">
      <c r="A405" s="426"/>
      <c r="B405" s="28"/>
      <c r="C405" s="28"/>
      <c r="D405" s="28"/>
      <c r="E405" s="28"/>
      <c r="F405" s="28"/>
      <c r="G405" s="28"/>
      <c r="H405" s="28"/>
      <c r="I405" s="28"/>
      <c r="J405" s="28"/>
      <c r="K405" s="28"/>
      <c r="L405" s="28"/>
      <c r="M405" s="28"/>
      <c r="N405" s="28"/>
      <c r="O405" s="28"/>
    </row>
    <row r="406" spans="1:15" ht="15.75">
      <c r="A406" s="426"/>
      <c r="B406" s="28"/>
      <c r="C406" s="28"/>
      <c r="D406" s="28"/>
      <c r="E406" s="28"/>
      <c r="F406" s="28"/>
      <c r="G406" s="28"/>
      <c r="H406" s="28"/>
      <c r="I406" s="28"/>
      <c r="J406" s="28"/>
      <c r="K406" s="28"/>
      <c r="L406" s="28"/>
      <c r="M406" s="28"/>
      <c r="N406" s="28"/>
      <c r="O406" s="28"/>
    </row>
    <row r="407" spans="1:15" ht="15.75">
      <c r="A407" s="426"/>
      <c r="B407" s="426"/>
      <c r="C407" s="426"/>
      <c r="D407" s="426"/>
      <c r="E407" s="426"/>
      <c r="F407" s="426"/>
      <c r="G407" s="426"/>
      <c r="H407" s="426"/>
      <c r="I407" s="426"/>
      <c r="J407" s="426"/>
      <c r="K407" s="426"/>
      <c r="L407" s="426"/>
      <c r="M407" s="426"/>
      <c r="N407" s="426"/>
      <c r="O407" s="426"/>
    </row>
    <row r="410" spans="1:12" ht="15.75">
      <c r="A410" s="95"/>
      <c r="B410" s="95"/>
      <c r="C410" s="95"/>
      <c r="D410" s="95"/>
      <c r="E410" s="95"/>
      <c r="F410" s="95"/>
      <c r="G410" s="95"/>
      <c r="H410" s="95"/>
      <c r="I410" s="95"/>
      <c r="J410" s="95"/>
      <c r="K410" s="95"/>
      <c r="L410" s="95"/>
    </row>
    <row r="411" spans="1:12" ht="15.75">
      <c r="A411" s="95"/>
      <c r="B411" s="95"/>
      <c r="C411" s="568" t="s">
        <v>577</v>
      </c>
      <c r="D411" s="95"/>
      <c r="E411" s="95"/>
      <c r="F411" s="95"/>
      <c r="G411" s="95"/>
      <c r="H411" s="95"/>
      <c r="I411" s="95"/>
      <c r="J411" s="95"/>
      <c r="K411" s="95"/>
      <c r="L411" s="95"/>
    </row>
    <row r="412" spans="1:12" ht="15.75">
      <c r="A412" s="95"/>
      <c r="B412" s="95"/>
      <c r="C412" s="568" t="s">
        <v>578</v>
      </c>
      <c r="D412" s="95"/>
      <c r="E412" s="95"/>
      <c r="F412" s="95"/>
      <c r="G412" s="95"/>
      <c r="H412" s="95"/>
      <c r="I412" s="95"/>
      <c r="J412" s="95"/>
      <c r="K412" s="95"/>
      <c r="L412" s="95"/>
    </row>
    <row r="413" spans="1:12" ht="15.75" customHeight="1">
      <c r="A413" s="95"/>
      <c r="B413" s="95"/>
      <c r="C413" s="582" t="s">
        <v>579</v>
      </c>
      <c r="D413" s="583"/>
      <c r="E413" s="583"/>
      <c r="F413" s="583"/>
      <c r="G413" s="583"/>
      <c r="H413" s="583"/>
      <c r="I413" s="583"/>
      <c r="J413" s="584"/>
      <c r="K413" s="95"/>
      <c r="L413" s="95"/>
    </row>
    <row r="414" spans="1:12" ht="15.75">
      <c r="A414" s="95"/>
      <c r="C414" s="585"/>
      <c r="D414" s="586"/>
      <c r="E414" s="586"/>
      <c r="F414" s="586"/>
      <c r="G414" s="586"/>
      <c r="H414" s="586"/>
      <c r="I414" s="586"/>
      <c r="J414" s="587"/>
      <c r="K414" s="95"/>
      <c r="L414" s="95"/>
    </row>
    <row r="415" spans="1:12" ht="15.75">
      <c r="A415" s="95"/>
      <c r="I415" s="1" t="s">
        <v>580</v>
      </c>
      <c r="K415" s="95"/>
      <c r="L415" s="95"/>
    </row>
    <row r="416" spans="1:12" ht="15.75">
      <c r="A416" s="95"/>
      <c r="C416" s="569" t="s">
        <v>581</v>
      </c>
      <c r="I416" s="570" t="s">
        <v>582</v>
      </c>
      <c r="K416" s="95"/>
      <c r="L416" s="95"/>
    </row>
    <row r="417" spans="1:12" ht="15.75">
      <c r="A417" s="95"/>
      <c r="B417" s="569" t="s">
        <v>583</v>
      </c>
      <c r="C417" s="569"/>
      <c r="I417" s="571" t="s">
        <v>584</v>
      </c>
      <c r="K417" s="95"/>
      <c r="L417" s="95"/>
    </row>
    <row r="418" spans="1:12" ht="15.75">
      <c r="A418" s="95"/>
      <c r="C418" t="s">
        <v>585</v>
      </c>
      <c r="I418" s="14">
        <v>1</v>
      </c>
      <c r="K418" s="95"/>
      <c r="L418" s="95"/>
    </row>
    <row r="419" spans="1:12" ht="15.75">
      <c r="A419" s="95"/>
      <c r="C419" t="s">
        <v>586</v>
      </c>
      <c r="I419" s="14">
        <v>1.3</v>
      </c>
      <c r="K419" s="95"/>
      <c r="L419" s="95"/>
    </row>
    <row r="420" spans="1:12" ht="15.75">
      <c r="A420" s="95"/>
      <c r="C420" t="s">
        <v>587</v>
      </c>
      <c r="I420" s="14">
        <v>0.8</v>
      </c>
      <c r="K420" s="95"/>
      <c r="L420" s="95"/>
    </row>
    <row r="421" spans="1:12" ht="15.75">
      <c r="A421" s="95"/>
      <c r="C421" t="s">
        <v>588</v>
      </c>
      <c r="I421" s="14">
        <v>0.6</v>
      </c>
      <c r="K421" s="95"/>
      <c r="L421" s="95"/>
    </row>
    <row r="422" spans="1:12" ht="15.75">
      <c r="A422" s="95"/>
      <c r="B422" s="569" t="s">
        <v>589</v>
      </c>
      <c r="I422" s="14"/>
      <c r="K422" s="95"/>
      <c r="L422" s="95"/>
    </row>
    <row r="423" spans="1:12" ht="15.75">
      <c r="A423" s="95"/>
      <c r="C423" t="s">
        <v>590</v>
      </c>
      <c r="I423" s="14">
        <v>1.3</v>
      </c>
      <c r="K423" s="95"/>
      <c r="L423" s="95"/>
    </row>
    <row r="424" spans="1:12" ht="15.75">
      <c r="A424" s="95"/>
      <c r="C424" t="s">
        <v>591</v>
      </c>
      <c r="I424" s="14">
        <v>1</v>
      </c>
      <c r="K424" s="95"/>
      <c r="L424" s="95"/>
    </row>
    <row r="425" spans="1:12" ht="15.75">
      <c r="A425" s="95"/>
      <c r="C425" t="s">
        <v>592</v>
      </c>
      <c r="I425" s="14">
        <v>0.75</v>
      </c>
      <c r="K425" s="95"/>
      <c r="L425" s="95"/>
    </row>
    <row r="426" spans="1:12" ht="15.75">
      <c r="A426" s="95"/>
      <c r="B426" s="569" t="s">
        <v>593</v>
      </c>
      <c r="I426" s="14"/>
      <c r="K426" s="95"/>
      <c r="L426" s="95"/>
    </row>
    <row r="427" spans="1:12" ht="15.75">
      <c r="A427" s="95"/>
      <c r="C427" t="s">
        <v>594</v>
      </c>
      <c r="I427" s="14">
        <v>1</v>
      </c>
      <c r="K427" s="95"/>
      <c r="L427" s="95"/>
    </row>
    <row r="428" spans="1:12" ht="15.75">
      <c r="A428" s="95"/>
      <c r="C428" t="s">
        <v>595</v>
      </c>
      <c r="I428" s="14">
        <v>1.3</v>
      </c>
      <c r="K428" s="95"/>
      <c r="L428" s="95"/>
    </row>
    <row r="429" spans="1:12" ht="15.75">
      <c r="A429" s="95"/>
      <c r="C429" t="s">
        <v>596</v>
      </c>
      <c r="I429" s="14">
        <v>0.8</v>
      </c>
      <c r="K429" s="95"/>
      <c r="L429" s="95"/>
    </row>
    <row r="430" spans="1:12" ht="15.75">
      <c r="A430" s="95"/>
      <c r="C430" t="s">
        <v>597</v>
      </c>
      <c r="I430" s="14">
        <v>0.6</v>
      </c>
      <c r="K430" s="95"/>
      <c r="L430" s="95"/>
    </row>
    <row r="431" spans="1:12" ht="15.75">
      <c r="A431" s="95"/>
      <c r="B431" s="569" t="s">
        <v>598</v>
      </c>
      <c r="I431" s="14"/>
      <c r="K431" s="95"/>
      <c r="L431" s="95"/>
    </row>
    <row r="432" spans="1:12" ht="15.75">
      <c r="A432" s="95"/>
      <c r="C432" t="s">
        <v>599</v>
      </c>
      <c r="I432" s="14">
        <v>0.4</v>
      </c>
      <c r="K432" s="95"/>
      <c r="L432" s="95"/>
    </row>
    <row r="433" spans="1:12" ht="15.75">
      <c r="A433" s="95"/>
      <c r="C433" t="s">
        <v>600</v>
      </c>
      <c r="I433" s="14">
        <v>0.5</v>
      </c>
      <c r="K433" s="95"/>
      <c r="L433" s="95"/>
    </row>
    <row r="434" spans="1:12" ht="15.75">
      <c r="A434" s="95"/>
      <c r="C434" t="s">
        <v>601</v>
      </c>
      <c r="I434" s="14">
        <v>0.2</v>
      </c>
      <c r="K434" s="95"/>
      <c r="L434" s="95"/>
    </row>
    <row r="435" spans="1:12" ht="15.75">
      <c r="A435" s="95"/>
      <c r="B435" s="569" t="s">
        <v>602</v>
      </c>
      <c r="I435" s="14"/>
      <c r="K435" s="95"/>
      <c r="L435" s="95"/>
    </row>
    <row r="436" spans="1:12" ht="15.75">
      <c r="A436" s="95"/>
      <c r="C436" t="s">
        <v>603</v>
      </c>
      <c r="I436" s="14">
        <v>1</v>
      </c>
      <c r="K436" s="95"/>
      <c r="L436" s="95"/>
    </row>
    <row r="437" spans="1:12" ht="15.75">
      <c r="A437" s="95"/>
      <c r="C437" t="s">
        <v>604</v>
      </c>
      <c r="I437" s="14">
        <v>1</v>
      </c>
      <c r="K437" s="95"/>
      <c r="L437" s="95"/>
    </row>
    <row r="438" spans="1:12" ht="15.75">
      <c r="A438" s="95"/>
      <c r="C438" t="s">
        <v>605</v>
      </c>
      <c r="I438" s="14">
        <v>1</v>
      </c>
      <c r="K438" s="95"/>
      <c r="L438" s="95"/>
    </row>
    <row r="439" spans="1:12" ht="15.75">
      <c r="A439" s="95"/>
      <c r="B439" s="569" t="s">
        <v>606</v>
      </c>
      <c r="I439" s="14"/>
      <c r="K439" s="95"/>
      <c r="L439" s="95"/>
    </row>
    <row r="440" spans="1:12" ht="15.75">
      <c r="A440" s="95"/>
      <c r="C440" t="s">
        <v>607</v>
      </c>
      <c r="I440" s="14">
        <v>1</v>
      </c>
      <c r="K440" s="95"/>
      <c r="L440" s="95"/>
    </row>
    <row r="441" spans="1:12" ht="15.75">
      <c r="A441" s="95"/>
      <c r="C441" t="s">
        <v>608</v>
      </c>
      <c r="I441" s="14">
        <v>1</v>
      </c>
      <c r="K441" s="95"/>
      <c r="L441" s="95"/>
    </row>
    <row r="442" spans="1:12" ht="15.75">
      <c r="A442" s="95"/>
      <c r="C442" t="s">
        <v>609</v>
      </c>
      <c r="I442" s="14">
        <v>1</v>
      </c>
      <c r="K442" s="95"/>
      <c r="L442" s="95"/>
    </row>
    <row r="443" spans="1:12" ht="15.75">
      <c r="A443" s="95"/>
      <c r="I443" s="1"/>
      <c r="K443" s="95"/>
      <c r="L443" s="95"/>
    </row>
    <row r="444" spans="1:12" ht="15.75">
      <c r="A444" s="95"/>
      <c r="B444" s="95"/>
      <c r="C444" s="95"/>
      <c r="D444" s="95"/>
      <c r="E444" s="95"/>
      <c r="F444" s="95"/>
      <c r="G444" s="95"/>
      <c r="H444" s="95"/>
      <c r="I444" s="95"/>
      <c r="J444" s="95"/>
      <c r="K444" s="95"/>
      <c r="L444" s="95"/>
    </row>
    <row r="445" spans="1:12" ht="15.75" customHeight="1">
      <c r="A445" s="95"/>
      <c r="B445" s="588" t="s">
        <v>610</v>
      </c>
      <c r="C445" s="589"/>
      <c r="D445" s="589"/>
      <c r="E445" s="589"/>
      <c r="F445" s="589"/>
      <c r="G445" s="589"/>
      <c r="H445" s="589"/>
      <c r="I445" s="589"/>
      <c r="J445" s="590"/>
      <c r="K445" s="95"/>
      <c r="L445" s="95"/>
    </row>
    <row r="446" spans="1:12" ht="15.75">
      <c r="A446" s="95"/>
      <c r="B446" s="2"/>
      <c r="C446" s="2"/>
      <c r="D446" s="2"/>
      <c r="E446" s="2"/>
      <c r="F446" s="2"/>
      <c r="G446" s="95"/>
      <c r="H446" s="95"/>
      <c r="I446" s="95"/>
      <c r="J446" s="95"/>
      <c r="K446" s="95"/>
      <c r="L446" s="95"/>
    </row>
    <row r="447" spans="1:12" ht="15.75">
      <c r="A447" s="95"/>
      <c r="B447" s="572" t="s">
        <v>611</v>
      </c>
      <c r="C447" s="572"/>
      <c r="D447" s="572"/>
      <c r="E447" s="2"/>
      <c r="F447" s="2"/>
      <c r="G447" s="95"/>
      <c r="H447" s="95"/>
      <c r="I447" s="95"/>
      <c r="J447" s="95"/>
      <c r="K447" s="95"/>
      <c r="L447" s="95"/>
    </row>
    <row r="448" spans="1:12" ht="15.75">
      <c r="A448" s="95"/>
      <c r="B448" s="572" t="s">
        <v>612</v>
      </c>
      <c r="C448" s="572"/>
      <c r="D448" s="572"/>
      <c r="E448" s="2"/>
      <c r="F448" s="2"/>
      <c r="G448" s="95"/>
      <c r="H448" s="95"/>
      <c r="I448" s="95"/>
      <c r="J448" s="95"/>
      <c r="K448" s="95"/>
      <c r="L448" s="95"/>
    </row>
    <row r="449" spans="1:12" ht="15.75">
      <c r="A449" s="95"/>
      <c r="B449" s="573" t="s">
        <v>613</v>
      </c>
      <c r="C449" s="573"/>
      <c r="D449" s="573"/>
      <c r="E449" s="105"/>
      <c r="F449" s="105"/>
      <c r="G449" s="95"/>
      <c r="H449" s="95"/>
      <c r="I449" s="95"/>
      <c r="J449" s="95"/>
      <c r="K449" s="95"/>
      <c r="L449" s="95"/>
    </row>
    <row r="450" spans="1:12" ht="60">
      <c r="A450" s="95"/>
      <c r="B450" s="574" t="s">
        <v>614</v>
      </c>
      <c r="C450" s="95"/>
      <c r="D450" s="95"/>
      <c r="E450" s="2"/>
      <c r="F450" s="2"/>
      <c r="G450" s="95"/>
      <c r="H450" s="575" t="s">
        <v>615</v>
      </c>
      <c r="I450" s="576" t="s">
        <v>616</v>
      </c>
      <c r="J450" s="95"/>
      <c r="K450" s="95"/>
      <c r="L450" s="95"/>
    </row>
    <row r="451" spans="1:12" ht="15.75">
      <c r="A451" s="95"/>
      <c r="B451" s="2" t="s">
        <v>617</v>
      </c>
      <c r="C451" s="95"/>
      <c r="D451" s="95"/>
      <c r="E451" s="2"/>
      <c r="F451" s="2"/>
      <c r="G451" s="95"/>
      <c r="H451" s="578">
        <v>1</v>
      </c>
      <c r="I451" s="579">
        <v>1</v>
      </c>
      <c r="J451" s="95"/>
      <c r="K451" s="95"/>
      <c r="L451" s="95"/>
    </row>
    <row r="452" spans="1:12" ht="15.75">
      <c r="A452" s="95"/>
      <c r="B452" s="2" t="s">
        <v>618</v>
      </c>
      <c r="C452" s="95"/>
      <c r="D452" s="95"/>
      <c r="E452" s="2"/>
      <c r="F452" s="2"/>
      <c r="G452" s="95"/>
      <c r="H452" s="578"/>
      <c r="I452" s="579"/>
      <c r="J452" s="95"/>
      <c r="K452" s="95"/>
      <c r="L452" s="95"/>
    </row>
    <row r="453" spans="1:12" ht="15.75">
      <c r="A453" s="95"/>
      <c r="B453" s="577" t="s">
        <v>619</v>
      </c>
      <c r="C453" s="95"/>
      <c r="D453" s="95"/>
      <c r="E453" s="2"/>
      <c r="F453" s="2"/>
      <c r="G453" s="95"/>
      <c r="H453" s="578">
        <v>0.9</v>
      </c>
      <c r="I453" s="579">
        <v>1.1</v>
      </c>
      <c r="J453" s="95"/>
      <c r="K453" s="95"/>
      <c r="L453" s="95"/>
    </row>
    <row r="454" spans="1:12" ht="15.75">
      <c r="A454" s="95"/>
      <c r="B454" s="577" t="s">
        <v>620</v>
      </c>
      <c r="C454" s="95"/>
      <c r="D454" s="95"/>
      <c r="E454" s="2"/>
      <c r="F454" s="2"/>
      <c r="G454" s="95"/>
      <c r="H454" s="578">
        <v>0.3</v>
      </c>
      <c r="I454" s="579">
        <v>3.3</v>
      </c>
      <c r="J454" s="95"/>
      <c r="K454" s="95"/>
      <c r="L454" s="95"/>
    </row>
    <row r="455" spans="1:12" ht="15.75">
      <c r="A455" s="95"/>
      <c r="B455" s="577" t="s">
        <v>621</v>
      </c>
      <c r="C455" s="95"/>
      <c r="D455" s="95"/>
      <c r="E455" s="2"/>
      <c r="F455" s="2"/>
      <c r="G455" s="95"/>
      <c r="H455" s="578">
        <v>1</v>
      </c>
      <c r="I455" s="579">
        <v>1</v>
      </c>
      <c r="J455" s="95"/>
      <c r="K455" s="95"/>
      <c r="L455" s="95"/>
    </row>
    <row r="456" spans="1:12" ht="15.75">
      <c r="A456" s="95"/>
      <c r="B456" s="577" t="s">
        <v>622</v>
      </c>
      <c r="C456" s="95"/>
      <c r="D456" s="95"/>
      <c r="E456" s="2"/>
      <c r="F456" s="2"/>
      <c r="G456" s="95"/>
      <c r="H456" s="578">
        <v>0.75</v>
      </c>
      <c r="I456" s="579">
        <v>1.4</v>
      </c>
      <c r="J456" s="95"/>
      <c r="K456" s="95"/>
      <c r="L456" s="95"/>
    </row>
    <row r="457" spans="1:12" ht="15.75">
      <c r="A457" s="95"/>
      <c r="B457" s="577" t="s">
        <v>623</v>
      </c>
      <c r="C457" s="95"/>
      <c r="D457" s="95"/>
      <c r="E457" s="2"/>
      <c r="F457" s="2"/>
      <c r="G457" s="95"/>
      <c r="H457" s="578">
        <v>0.5</v>
      </c>
      <c r="I457" s="579">
        <v>2</v>
      </c>
      <c r="J457" s="95"/>
      <c r="K457" s="95"/>
      <c r="L457" s="95"/>
    </row>
    <row r="458" spans="1:12" ht="15.75">
      <c r="A458" s="95"/>
      <c r="B458" s="577" t="s">
        <v>624</v>
      </c>
      <c r="C458" s="95"/>
      <c r="D458" s="95"/>
      <c r="E458" s="2"/>
      <c r="F458" s="2"/>
      <c r="G458" s="95"/>
      <c r="H458" s="578">
        <v>1.2</v>
      </c>
      <c r="I458" s="579">
        <v>0.8</v>
      </c>
      <c r="J458" s="95"/>
      <c r="K458" s="95"/>
      <c r="L458" s="95"/>
    </row>
    <row r="459" spans="1:12" ht="15.75">
      <c r="A459" s="95"/>
      <c r="B459" s="577" t="s">
        <v>625</v>
      </c>
      <c r="C459" s="95"/>
      <c r="D459" s="95"/>
      <c r="E459" s="2"/>
      <c r="F459" s="2"/>
      <c r="G459" s="95"/>
      <c r="H459" s="578">
        <v>1.5</v>
      </c>
      <c r="I459" s="579">
        <v>0.6</v>
      </c>
      <c r="J459" s="95"/>
      <c r="K459" s="95"/>
      <c r="L459" s="95"/>
    </row>
    <row r="460" spans="1:12" ht="15.75">
      <c r="A460" s="95"/>
      <c r="B460" s="577" t="s">
        <v>626</v>
      </c>
      <c r="C460" s="95"/>
      <c r="D460" s="95"/>
      <c r="E460" s="2"/>
      <c r="F460" s="2"/>
      <c r="G460" s="95"/>
      <c r="H460" s="578">
        <v>0.75</v>
      </c>
      <c r="I460" s="579">
        <v>1.3</v>
      </c>
      <c r="J460" s="95"/>
      <c r="K460" s="95"/>
      <c r="L460" s="95"/>
    </row>
    <row r="461" spans="1:12" ht="15.75">
      <c r="A461" s="95"/>
      <c r="B461" s="577" t="s">
        <v>627</v>
      </c>
      <c r="C461" s="95"/>
      <c r="D461" s="95"/>
      <c r="E461" s="2"/>
      <c r="F461" s="2"/>
      <c r="G461" s="95"/>
      <c r="H461" s="578">
        <v>1</v>
      </c>
      <c r="I461" s="579">
        <v>1</v>
      </c>
      <c r="J461" s="95"/>
      <c r="K461" s="95"/>
      <c r="L461" s="95"/>
    </row>
    <row r="462" spans="1:12" ht="15.75">
      <c r="A462" s="95"/>
      <c r="B462" s="577" t="s">
        <v>628</v>
      </c>
      <c r="C462" s="95"/>
      <c r="D462" s="95"/>
      <c r="E462" s="2"/>
      <c r="F462" s="2"/>
      <c r="G462" s="95"/>
      <c r="H462" s="578">
        <v>1.25</v>
      </c>
      <c r="I462" s="579">
        <v>0.8</v>
      </c>
      <c r="J462" s="95"/>
      <c r="K462" s="95"/>
      <c r="L462" s="95"/>
    </row>
    <row r="463" spans="1:12" ht="15.75">
      <c r="A463" s="95"/>
      <c r="B463" s="2" t="s">
        <v>648</v>
      </c>
      <c r="C463" s="95"/>
      <c r="D463" s="95"/>
      <c r="E463" s="2"/>
      <c r="F463" s="2"/>
      <c r="G463" s="95"/>
      <c r="H463" s="578">
        <v>0.2</v>
      </c>
      <c r="I463" s="579">
        <v>5</v>
      </c>
      <c r="J463" s="95"/>
      <c r="K463" s="95"/>
      <c r="L463" s="95"/>
    </row>
    <row r="464" spans="1:12" ht="15.75">
      <c r="A464" s="95"/>
      <c r="B464" s="577" t="s">
        <v>629</v>
      </c>
      <c r="C464" s="95"/>
      <c r="D464" s="95"/>
      <c r="E464" s="2"/>
      <c r="F464" s="2"/>
      <c r="G464" s="95"/>
      <c r="H464" s="578">
        <v>0.18</v>
      </c>
      <c r="I464" s="579">
        <v>5.5</v>
      </c>
      <c r="J464" s="95"/>
      <c r="K464" s="95"/>
      <c r="L464" s="95"/>
    </row>
    <row r="465" spans="1:12" ht="15.75">
      <c r="A465" s="95"/>
      <c r="B465" s="577" t="s">
        <v>630</v>
      </c>
      <c r="C465" s="95"/>
      <c r="D465" s="95"/>
      <c r="E465" s="2"/>
      <c r="F465" s="2"/>
      <c r="G465" s="95"/>
      <c r="H465" s="578">
        <v>0.06</v>
      </c>
      <c r="I465" s="579">
        <v>16.7</v>
      </c>
      <c r="J465" s="95"/>
      <c r="K465" s="95"/>
      <c r="L465" s="95"/>
    </row>
    <row r="466" spans="1:12" ht="15.75">
      <c r="A466" s="95"/>
      <c r="B466" s="577" t="s">
        <v>631</v>
      </c>
      <c r="C466" s="95"/>
      <c r="D466" s="95"/>
      <c r="E466" s="2"/>
      <c r="F466" s="2"/>
      <c r="G466" s="95"/>
      <c r="H466" s="578">
        <v>0.12</v>
      </c>
      <c r="I466" s="579">
        <v>8.3</v>
      </c>
      <c r="J466" s="95"/>
      <c r="K466" s="95"/>
      <c r="L466" s="95"/>
    </row>
    <row r="467" spans="1:12" ht="15.75">
      <c r="A467" s="95"/>
      <c r="B467" s="577" t="s">
        <v>632</v>
      </c>
      <c r="C467" s="95"/>
      <c r="D467" s="95"/>
      <c r="E467" s="2"/>
      <c r="F467" s="2"/>
      <c r="G467" s="95"/>
      <c r="H467" s="578">
        <v>0.15</v>
      </c>
      <c r="I467" s="579">
        <v>6.6</v>
      </c>
      <c r="J467" s="95"/>
      <c r="K467" s="95"/>
      <c r="L467" s="95"/>
    </row>
    <row r="468" spans="1:12" ht="15.75">
      <c r="A468" s="95"/>
      <c r="B468" s="577" t="s">
        <v>633</v>
      </c>
      <c r="C468" s="95"/>
      <c r="D468" s="95"/>
      <c r="E468" s="2"/>
      <c r="F468" s="2"/>
      <c r="G468" s="95"/>
      <c r="H468" s="578">
        <v>0.25</v>
      </c>
      <c r="I468" s="579">
        <v>4</v>
      </c>
      <c r="J468" s="95"/>
      <c r="K468" s="95"/>
      <c r="L468" s="95"/>
    </row>
    <row r="469" spans="1:12" ht="15.75">
      <c r="A469" s="95"/>
      <c r="B469" s="577" t="s">
        <v>634</v>
      </c>
      <c r="C469" s="95"/>
      <c r="D469" s="95"/>
      <c r="E469" s="2"/>
      <c r="F469" s="2"/>
      <c r="G469" s="95"/>
      <c r="H469" s="578">
        <v>0.15</v>
      </c>
      <c r="I469" s="579">
        <v>6.6</v>
      </c>
      <c r="J469" s="95"/>
      <c r="K469" s="95"/>
      <c r="L469" s="95"/>
    </row>
    <row r="470" spans="1:12" ht="15.75">
      <c r="A470" s="95"/>
      <c r="B470" s="577" t="s">
        <v>635</v>
      </c>
      <c r="C470" s="95"/>
      <c r="D470" s="95"/>
      <c r="E470" s="2"/>
      <c r="F470" s="2"/>
      <c r="G470" s="95"/>
      <c r="H470" s="578">
        <v>0.1</v>
      </c>
      <c r="I470" s="579">
        <v>10</v>
      </c>
      <c r="J470" s="95"/>
      <c r="K470" s="95"/>
      <c r="L470" s="95"/>
    </row>
    <row r="471" spans="1:12" ht="15.75">
      <c r="A471" s="95"/>
      <c r="B471" s="577" t="s">
        <v>636</v>
      </c>
      <c r="C471" s="95"/>
      <c r="D471" s="95"/>
      <c r="E471" s="2"/>
      <c r="F471" s="2"/>
      <c r="G471" s="95"/>
      <c r="H471" s="578">
        <v>0.15</v>
      </c>
      <c r="I471" s="579">
        <v>6.6</v>
      </c>
      <c r="J471" s="95"/>
      <c r="K471" s="95"/>
      <c r="L471" s="95"/>
    </row>
    <row r="472" spans="1:12" ht="15.75">
      <c r="A472" s="95"/>
      <c r="B472" s="577" t="s">
        <v>637</v>
      </c>
      <c r="C472" s="95"/>
      <c r="D472" s="95"/>
      <c r="E472" s="2"/>
      <c r="F472" s="2"/>
      <c r="G472" s="95"/>
      <c r="H472" s="578">
        <v>0.2</v>
      </c>
      <c r="I472" s="579">
        <v>5</v>
      </c>
      <c r="J472" s="95"/>
      <c r="K472" s="95"/>
      <c r="L472" s="95"/>
    </row>
    <row r="473" spans="1:12" ht="15.75">
      <c r="A473" s="95"/>
      <c r="B473" s="577" t="s">
        <v>638</v>
      </c>
      <c r="C473" s="95"/>
      <c r="D473" s="95"/>
      <c r="E473" s="2"/>
      <c r="F473" s="2"/>
      <c r="G473" s="95"/>
      <c r="H473" s="578">
        <v>0.2</v>
      </c>
      <c r="I473" s="579">
        <v>5</v>
      </c>
      <c r="J473" s="95"/>
      <c r="K473" s="95"/>
      <c r="L473" s="95"/>
    </row>
    <row r="474" spans="1:12" ht="15.75">
      <c r="A474" s="95"/>
      <c r="B474" s="577" t="s">
        <v>639</v>
      </c>
      <c r="C474" s="95"/>
      <c r="D474" s="95"/>
      <c r="E474" s="2"/>
      <c r="F474" s="2"/>
      <c r="G474" s="95"/>
      <c r="H474" s="578">
        <v>0.9</v>
      </c>
      <c r="I474" s="579">
        <v>1.1</v>
      </c>
      <c r="J474" s="95"/>
      <c r="K474" s="95"/>
      <c r="L474" s="95"/>
    </row>
    <row r="475" spans="1:12" ht="15.75">
      <c r="A475" s="95"/>
      <c r="B475" s="577" t="s">
        <v>640</v>
      </c>
      <c r="C475" s="95"/>
      <c r="D475" s="95"/>
      <c r="E475" s="2"/>
      <c r="F475" s="2"/>
      <c r="G475" s="95"/>
      <c r="H475" s="578">
        <v>1.5</v>
      </c>
      <c r="I475" s="578">
        <v>0.66</v>
      </c>
      <c r="J475" s="95"/>
      <c r="K475" s="95"/>
      <c r="L475" s="95"/>
    </row>
    <row r="476" spans="1:12" ht="15.75">
      <c r="A476" s="95"/>
      <c r="B476" s="577" t="s">
        <v>560</v>
      </c>
      <c r="C476" s="95"/>
      <c r="D476" s="95"/>
      <c r="E476" s="2"/>
      <c r="F476" s="2"/>
      <c r="G476" s="95"/>
      <c r="H476" s="578">
        <v>0.6</v>
      </c>
      <c r="I476" s="579">
        <v>1.7</v>
      </c>
      <c r="J476" s="95"/>
      <c r="K476" s="95"/>
      <c r="L476" s="95"/>
    </row>
    <row r="477" spans="1:12" ht="15.75">
      <c r="A477" s="95"/>
      <c r="B477" s="577" t="s">
        <v>641</v>
      </c>
      <c r="C477" s="95"/>
      <c r="D477" s="95"/>
      <c r="E477" s="2"/>
      <c r="F477" s="2"/>
      <c r="G477" s="95"/>
      <c r="H477" s="578">
        <v>1</v>
      </c>
      <c r="I477" s="579">
        <v>1</v>
      </c>
      <c r="J477" s="95"/>
      <c r="K477" s="95"/>
      <c r="L477" s="95"/>
    </row>
    <row r="478" spans="1:12" ht="15.75">
      <c r="A478" s="95"/>
      <c r="B478" s="577" t="s">
        <v>642</v>
      </c>
      <c r="C478" s="95"/>
      <c r="D478" s="95"/>
      <c r="E478" s="2"/>
      <c r="F478" s="2"/>
      <c r="G478" s="95"/>
      <c r="H478" s="578">
        <v>0.2</v>
      </c>
      <c r="I478" s="579">
        <v>5</v>
      </c>
      <c r="J478" s="95"/>
      <c r="K478" s="95"/>
      <c r="L478" s="95"/>
    </row>
    <row r="479" spans="1:12" ht="15.75">
      <c r="A479" s="95"/>
      <c r="B479" s="577" t="s">
        <v>643</v>
      </c>
      <c r="C479" s="95"/>
      <c r="D479" s="95"/>
      <c r="E479" s="2"/>
      <c r="F479" s="2"/>
      <c r="G479" s="95"/>
      <c r="H479" s="578">
        <v>0.15</v>
      </c>
      <c r="I479" s="579">
        <v>6.6</v>
      </c>
      <c r="J479" s="95"/>
      <c r="K479" s="95"/>
      <c r="L479" s="95"/>
    </row>
    <row r="480" spans="1:12" ht="15.75">
      <c r="A480" s="95"/>
      <c r="B480" s="577" t="s">
        <v>644</v>
      </c>
      <c r="C480" s="95"/>
      <c r="D480" s="95"/>
      <c r="E480" s="2"/>
      <c r="F480" s="2"/>
      <c r="G480" s="95"/>
      <c r="H480" s="580">
        <v>0.016</v>
      </c>
      <c r="I480" s="581">
        <v>62</v>
      </c>
      <c r="J480" s="95"/>
      <c r="K480" s="95"/>
      <c r="L480" s="95"/>
    </row>
    <row r="481" spans="1:12" ht="15.75">
      <c r="A481" s="95"/>
      <c r="B481" s="577" t="s">
        <v>645</v>
      </c>
      <c r="C481" s="95"/>
      <c r="D481" s="95"/>
      <c r="E481" s="2"/>
      <c r="F481" s="2"/>
      <c r="G481" s="95"/>
      <c r="H481" s="578">
        <v>0.02</v>
      </c>
      <c r="I481" s="581">
        <v>48</v>
      </c>
      <c r="J481" s="95"/>
      <c r="K481" s="95"/>
      <c r="L481" s="95"/>
    </row>
    <row r="482" spans="1:12" ht="15.75">
      <c r="A482" s="95"/>
      <c r="B482" s="577" t="s">
        <v>646</v>
      </c>
      <c r="C482" s="95"/>
      <c r="D482" s="95"/>
      <c r="E482" s="2"/>
      <c r="F482" s="2"/>
      <c r="G482" s="95"/>
      <c r="H482" s="580">
        <v>0.003</v>
      </c>
      <c r="I482" s="581">
        <v>385</v>
      </c>
      <c r="J482" s="95"/>
      <c r="K482" s="95"/>
      <c r="L482" s="95"/>
    </row>
    <row r="483" spans="1:12" ht="15.75">
      <c r="A483" s="95"/>
      <c r="B483" s="577" t="s">
        <v>647</v>
      </c>
      <c r="C483" s="95"/>
      <c r="D483" s="95"/>
      <c r="E483" s="2"/>
      <c r="F483" s="2"/>
      <c r="G483" s="95"/>
      <c r="H483" s="580">
        <v>0.004</v>
      </c>
      <c r="I483" s="581">
        <v>256</v>
      </c>
      <c r="J483" s="95"/>
      <c r="K483" s="95"/>
      <c r="L483" s="95"/>
    </row>
    <row r="484" spans="1:12" ht="15.75">
      <c r="A484" s="95"/>
      <c r="B484" s="95"/>
      <c r="C484" s="95"/>
      <c r="D484" s="95"/>
      <c r="E484" s="95"/>
      <c r="F484" s="95"/>
      <c r="G484" s="95"/>
      <c r="H484" s="95"/>
      <c r="I484" s="95"/>
      <c r="J484" s="95"/>
      <c r="K484" s="95"/>
      <c r="L484" s="95"/>
    </row>
    <row r="485" spans="1:12" ht="15.75">
      <c r="A485" s="95"/>
      <c r="B485" s="95"/>
      <c r="C485" s="95"/>
      <c r="D485" s="95"/>
      <c r="E485" s="95"/>
      <c r="F485" s="95"/>
      <c r="G485" s="95"/>
      <c r="H485" s="95"/>
      <c r="I485" s="95"/>
      <c r="J485" s="95"/>
      <c r="K485" s="95"/>
      <c r="L485" s="95"/>
    </row>
  </sheetData>
  <sheetProtection sheet="1" objects="1" scenarios="1" formatCells="0" formatColumns="0" formatRows="0"/>
  <mergeCells count="17">
    <mergeCell ref="E323:F323"/>
    <mergeCell ref="B121:J121"/>
    <mergeCell ref="E122:F122"/>
    <mergeCell ref="B10:L10"/>
    <mergeCell ref="C47:M47"/>
    <mergeCell ref="C48:G48"/>
    <mergeCell ref="I48:M48"/>
    <mergeCell ref="E347:F347"/>
    <mergeCell ref="E372:F372"/>
    <mergeCell ref="E146:F146"/>
    <mergeCell ref="E171:F171"/>
    <mergeCell ref="E196:F196"/>
    <mergeCell ref="E221:F221"/>
    <mergeCell ref="E246:F246"/>
    <mergeCell ref="E271:F271"/>
    <mergeCell ref="E296:F296"/>
    <mergeCell ref="B321:J321"/>
  </mergeCells>
  <conditionalFormatting sqref="J400">
    <cfRule type="cellIs" priority="1" dxfId="0" operator="lessThan" stopIfTrue="1">
      <formula>0</formula>
    </cfRule>
  </conditionalFormatting>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Duane Griffith</dc:creator>
  <cp:keywords/>
  <dc:description/>
  <cp:lastModifiedBy>Duane Griffith</cp:lastModifiedBy>
  <cp:lastPrinted>2008-01-22T17:13:40Z</cp:lastPrinted>
  <dcterms:created xsi:type="dcterms:W3CDTF">1998-04-15T20:12:53Z</dcterms:created>
  <dcterms:modified xsi:type="dcterms:W3CDTF">2008-01-25T13:35:10Z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