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5" yWindow="600" windowWidth="14835" windowHeight="7785" tabRatio="602" activeTab="1"/>
  </bookViews>
  <sheets>
    <sheet name="Instructions" sheetId="1" r:id="rId1"/>
    <sheet name="CowCalf" sheetId="2" r:id="rId2"/>
    <sheet name="Summary" sheetId="3" r:id="rId3"/>
    <sheet name="DepreciationTables" sheetId="4" r:id="rId4"/>
    <sheet name="Macros" sheetId="5" r:id="rId5"/>
  </sheets>
  <definedNames>
    <definedName name="_Order1" hidden="1">255</definedName>
    <definedName name="_Order2" hidden="1">255</definedName>
    <definedName name="PRINT_ALL">#REF!</definedName>
    <definedName name="_xlnm.Print_Area" localSheetId="1">'CowCalf'!$B$47:$E$71</definedName>
    <definedName name="_xlnm.Print_Area" localSheetId="4">'Macros'!$A$14:$D$65</definedName>
    <definedName name="Print_Area_MI" localSheetId="1">'CowCalf'!$B$47:$E$71</definedName>
    <definedName name="PRINT_COMPARE">#REF!</definedName>
    <definedName name="PRINT_COW_CALF">#REF!</definedName>
    <definedName name="PRINT_COW_LEASE">#REF!</definedName>
    <definedName name="PRINT_FEEDERS">#REF!</definedName>
    <definedName name="PRINT_STOCKERS">#REF!</definedName>
  </definedNames>
  <calcPr fullCalcOnLoad="1"/>
</workbook>
</file>

<file path=xl/comments2.xml><?xml version="1.0" encoding="utf-8"?>
<comments xmlns="http://schemas.openxmlformats.org/spreadsheetml/2006/main">
  <authors>
    <author>Duane Griffith</author>
    <author>griffith</author>
  </authors>
  <commentList>
    <comment ref="B79" authorId="0">
      <text>
        <r>
          <rPr>
            <b/>
            <sz val="10"/>
            <color indexed="8"/>
            <rFont val="Tahoma"/>
            <family val="2"/>
          </rPr>
          <t xml:space="preserve">Care must be taken when reporting feed costs.  You should report all purchased feed costs here.  For raised feed on your own land, or leased land report the cost of inputs necessary for the hay enterprise (fuel, oil, repairs, cash labor, twine and other supplies, water costs, etc.) in the appropriate places below.  This is also true of owned grazing or leased grazing land.  Leased costs for the land can be reported in the feed cost section ($ per acre, $ per ton, $ per aum) but additional costs necessary to put up should also be reported.  The expenses reported should also be prorated to adjust for the amount of feed actually utilized by the cow-calf enterprise.  For example, if you raise 400 ton of hay per year but only feed 300 ton and the excess production is sold as a cash crop, include only expenses for producing the 300 ton fed to the cow-calf enterprise.  
Summary:
1. Report all purchase fed and AUMs of grazing
2. Report the lease costs for any leased land involved in hay or grazing  AND
3. Report the expense associated with producing hay or maintaining grazing.
</t>
        </r>
        <r>
          <rPr>
            <b/>
            <sz val="10"/>
            <color indexed="10"/>
            <rFont val="Tahoma"/>
            <family val="2"/>
          </rPr>
          <t>Do Not Double Count Expenses!!!!!</t>
        </r>
        <r>
          <rPr>
            <sz val="10"/>
            <rFont val="Tahoma"/>
            <family val="2"/>
          </rPr>
          <t xml:space="preserve">
</t>
        </r>
      </text>
    </comment>
    <comment ref="B55" authorId="0">
      <text>
        <r>
          <rPr>
            <sz val="10"/>
            <rFont val="Tahoma"/>
            <family val="2"/>
          </rPr>
          <t xml:space="preserve">Bulls are typically purchased and depreciated over some period of time.  The revenue generated when they are sold is either a capital gain or a capital loss.  A capital gain is the revenue in excess of the bulls book value.  A capital loss means the book value was greater than the revenue generated.  This treatment of cull bull income is associated with an individual bull in a given year.  For budgeting purposes, assume all bulls are depreciated fully and the income generated when they are sold is capital gains.  The Farm Financial Standards Guidelines (FFSG) indicate that this income should be reported as capital gains but with other income that is reported as "ordinary," i.e. reported here.  Ordinary income is income generated under typical business operation.  
</t>
        </r>
      </text>
    </comment>
    <comment ref="B108" authorId="0">
      <text>
        <r>
          <rPr>
            <b/>
            <sz val="10"/>
            <color indexed="10"/>
            <rFont val="Tahoma"/>
            <family val="2"/>
          </rPr>
          <t xml:space="preserve">
Do Not Double Count Expenses!!!!!
</t>
        </r>
        <r>
          <rPr>
            <b/>
            <sz val="10"/>
            <rFont val="Tahoma"/>
            <family val="2"/>
          </rPr>
          <t xml:space="preserve">
</t>
        </r>
        <r>
          <rPr>
            <b/>
            <sz val="10"/>
            <color indexed="8"/>
            <rFont val="Tahoma"/>
            <family val="2"/>
          </rPr>
          <t>Please read the Help message next to feed costs above.</t>
        </r>
        <r>
          <rPr>
            <b/>
            <sz val="10"/>
            <color indexed="10"/>
            <rFont val="Tahoma"/>
            <family val="2"/>
          </rPr>
          <t xml:space="preserve">
</t>
        </r>
        <r>
          <rPr>
            <sz val="10"/>
            <rFont val="Tahoma"/>
            <family val="2"/>
          </rPr>
          <t xml:space="preserve">
</t>
        </r>
      </text>
    </comment>
    <comment ref="B115" authorId="0">
      <text>
        <r>
          <rPr>
            <b/>
            <sz val="10"/>
            <color indexed="10"/>
            <rFont val="Tahoma"/>
            <family val="2"/>
          </rPr>
          <t xml:space="preserve">
Do Not Double Count Expenses!!!!!
</t>
        </r>
        <r>
          <rPr>
            <b/>
            <sz val="10"/>
            <color indexed="8"/>
            <rFont val="Tahoma"/>
            <family val="2"/>
          </rPr>
          <t xml:space="preserve">
Please read the Help message next to feed costs above.
If you have included market costs of hay in your feed costs, do not include the fuel, oil, repairs, labor, materials, etc. for putting up hay in machinery costs.  
If you did not use the market value of hay in the feed section, enter haying costs here. </t>
        </r>
        <r>
          <rPr>
            <b/>
            <sz val="10"/>
            <color indexed="10"/>
            <rFont val="Tahoma"/>
            <family val="2"/>
          </rPr>
          <t xml:space="preserve">
</t>
        </r>
        <r>
          <rPr>
            <sz val="10"/>
            <rFont val="Tahoma"/>
            <family val="2"/>
          </rPr>
          <t xml:space="preserve">
</t>
        </r>
      </text>
    </comment>
    <comment ref="B151" authorId="0">
      <text>
        <r>
          <rPr>
            <b/>
            <sz val="10"/>
            <color indexed="8"/>
            <rFont val="Tahoma"/>
            <family val="2"/>
          </rPr>
          <t>Include the value of machinery, prorated if necessary, of all machinery and equipment used to feed and care for the livestock enterprise and the forage production enterprises, hay, grazing, straw, etc., necessary to feed the livestock.  
Include only the costs of machinery and equipment used in the cow-calf enterprise.  If necessary, prorate the values of the equipment used.  For example, if a tractor is worth $40,000 and is used only 30% of the time on the cow-calf enterprise, the "Dollars Invested" entered would not be $40,000 but $12,000.  The salvage value must also be prorated, if necessary.</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B174" authorId="0">
      <text>
        <r>
          <rPr>
            <b/>
            <sz val="10"/>
            <color indexed="10"/>
            <rFont val="Tahoma"/>
            <family val="2"/>
          </rPr>
          <t xml:space="preserve">
Do Not Double Count Expenses!!!!!
</t>
        </r>
        <r>
          <rPr>
            <b/>
            <sz val="10"/>
            <rFont val="Tahoma"/>
            <family val="2"/>
          </rPr>
          <t xml:space="preserve">
</t>
        </r>
        <r>
          <rPr>
            <b/>
            <sz val="10"/>
            <color indexed="8"/>
            <rFont val="Tahoma"/>
            <family val="2"/>
          </rPr>
          <t>Please read the Help message next to feed costs above.</t>
        </r>
        <r>
          <rPr>
            <b/>
            <sz val="10"/>
            <color indexed="10"/>
            <rFont val="Tahoma"/>
            <family val="2"/>
          </rPr>
          <t xml:space="preserve">
</t>
        </r>
        <r>
          <rPr>
            <sz val="10"/>
            <rFont val="Tahoma"/>
            <family val="2"/>
          </rPr>
          <t xml:space="preserve">
</t>
        </r>
      </text>
    </comment>
    <comment ref="B189" authorId="0">
      <text>
        <r>
          <rPr>
            <b/>
            <sz val="10"/>
            <color indexed="8"/>
            <rFont val="Tahoma"/>
            <family val="2"/>
          </rPr>
          <t xml:space="preserve">Purchased feed costs and the lease amount for leased hay or grazing land should be listed under Feed Costs (above).  The value of owned land used to grow forage, concentrate, or provide AUMs is entered here.   Prorate as necessary, i.e. if only a portion of the barley crop raised was used for feed, do not include all acres of barley, only that portion used to raise what was actually fed.  This is true of forage crops also.  </t>
        </r>
        <r>
          <rPr>
            <b/>
            <sz val="10"/>
            <rFont val="Tahoma"/>
            <family val="2"/>
          </rPr>
          <t xml:space="preserve">
</t>
        </r>
        <r>
          <rPr>
            <b/>
            <sz val="10"/>
            <color indexed="10"/>
            <rFont val="Tahoma"/>
            <family val="2"/>
          </rPr>
          <t xml:space="preserve">
Do Not Double Count Expenses!!!!!
</t>
        </r>
        <r>
          <rPr>
            <b/>
            <sz val="10"/>
            <color indexed="8"/>
            <rFont val="Tahoma"/>
            <family val="2"/>
          </rPr>
          <t xml:space="preserve">
Please read the Help message next to feed costs above.</t>
        </r>
        <r>
          <rPr>
            <b/>
            <sz val="10"/>
            <color indexed="10"/>
            <rFont val="Tahoma"/>
            <family val="2"/>
          </rPr>
          <t xml:space="preserve">
</t>
        </r>
        <r>
          <rPr>
            <sz val="10"/>
            <rFont val="Tahoma"/>
            <family val="2"/>
          </rPr>
          <t xml:space="preserve">
</t>
        </r>
      </text>
    </comment>
    <comment ref="B209" authorId="0">
      <text>
        <r>
          <rPr>
            <b/>
            <sz val="10"/>
            <color indexed="8"/>
            <rFont val="Tahoma"/>
            <family val="2"/>
          </rPr>
          <t xml:space="preserve">Depreciation of the cow herd </t>
        </r>
        <r>
          <rPr>
            <b/>
            <sz val="10"/>
            <color indexed="10"/>
            <rFont val="Tahoma"/>
            <family val="2"/>
          </rPr>
          <t xml:space="preserve">for lease calculations and for cost of production estimates should not be entered </t>
        </r>
        <r>
          <rPr>
            <b/>
            <sz val="10"/>
            <rFont val="Tahoma"/>
            <family val="2"/>
          </rPr>
          <t xml:space="preserve">if replacement heifers are provided by holding back heifer calves at weaning.  </t>
        </r>
        <r>
          <rPr>
            <b/>
            <sz val="10"/>
            <color indexed="8"/>
            <rFont val="Tahoma"/>
            <family val="2"/>
          </rPr>
          <t xml:space="preserve">While an individual cow may be depreciating, (wearing out) over some period of time, the cow herd does not wear out if normal replacement practices are carried out.  If replacement is through holding weaned heifer calves from the annual calf crop, no depreciation should be included.  Including a depreciation expense will double count the costs already included in the template above (feed, vet &amp; med, labor, etc, etc.) for heifer development costs.  
</t>
        </r>
        <r>
          <rPr>
            <b/>
            <sz val="10"/>
            <color indexed="8"/>
            <rFont val="Tahoma"/>
            <family val="2"/>
          </rPr>
          <t xml:space="preserve">If replacements are purchased each year from outside the cow herd, then a replacement allowance or deprecation expense can be included.  This replacement allowance can be approximated by using standard economic depreciation calculations (straight line depreciation).  Straight line depreciation is the beginning value minus ending value divided by years of useful life. 
</t>
        </r>
        <r>
          <rPr>
            <sz val="10"/>
            <color indexed="8"/>
            <rFont val="Tahoma"/>
            <family val="2"/>
          </rPr>
          <t xml:space="preserve">
</t>
        </r>
      </text>
    </comment>
    <comment ref="B62" authorId="0">
      <text>
        <r>
          <rPr>
            <sz val="10"/>
            <rFont val="Tahoma"/>
            <family val="2"/>
          </rPr>
          <t xml:space="preserve">If replacement heifers are kept from the calf crop, enter zeros in this row.  </t>
        </r>
      </text>
    </comment>
    <comment ref="I66" authorId="0">
      <text>
        <r>
          <rPr>
            <b/>
            <sz val="8"/>
            <rFont val="Tahoma"/>
            <family val="0"/>
          </rPr>
          <t xml:space="preserve">Adjusted for death loss
</t>
        </r>
        <r>
          <rPr>
            <sz val="8"/>
            <rFont val="Tahoma"/>
            <family val="0"/>
          </rPr>
          <t xml:space="preserve">
</t>
        </r>
      </text>
    </comment>
    <comment ref="G165" authorId="0">
      <text>
        <r>
          <rPr>
            <b/>
            <sz val="10"/>
            <color indexed="8"/>
            <rFont val="Tahoma"/>
            <family val="2"/>
          </rPr>
          <t>The interest or opportunity costs charged here is calculated using the average value of the asset listed.  The formula is:
  (Dollars invested + Salvage value)/2 X real interest rate
Real interest rate is the stated (nominal rate) minus the inflation rate.</t>
        </r>
        <r>
          <rPr>
            <sz val="10"/>
            <color indexed="8"/>
            <rFont val="Tahoma"/>
            <family val="2"/>
          </rPr>
          <t xml:space="preserve">
</t>
        </r>
      </text>
    </comment>
    <comment ref="G182" authorId="0">
      <text>
        <r>
          <rPr>
            <b/>
            <sz val="10"/>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G201" authorId="0">
      <text>
        <r>
          <rPr>
            <b/>
            <sz val="10"/>
            <color indexed="8"/>
            <rFont val="Tahoma"/>
            <family val="2"/>
          </rPr>
          <t xml:space="preserve">The interest or opportunity costs charged here is calculated using the average value of the asset listed.  The formula is:
  (Dollars invested + Salvage value)/2 X real interest rate
Real interest rate is the stated (nominal rate) minus the inflation rate.
</t>
        </r>
      </text>
    </comment>
    <comment ref="G214" authorId="0">
      <text>
        <r>
          <rPr>
            <b/>
            <sz val="10"/>
            <rFont val="Tahoma"/>
            <family val="2"/>
          </rPr>
          <t xml:space="preserve">The interest or opportunity costs charged here is calculated using the average value of the asset listed.  The formula is:
          Total Beginning Value X real interest rate
Real interest rate is the stated (nominal rate) minus the inflation rate.
</t>
        </r>
        <r>
          <rPr>
            <sz val="10"/>
            <rFont val="Tahoma"/>
            <family val="2"/>
          </rPr>
          <t xml:space="preserve">
</t>
        </r>
      </text>
    </comment>
    <comment ref="H223" authorId="0">
      <text>
        <r>
          <rPr>
            <b/>
            <sz val="10"/>
            <rFont val="Tahoma"/>
            <family val="2"/>
          </rPr>
          <t xml:space="preserve">Includes death loss expense and excludes value of replacement heifers kept.
The three basic factors of production are land, labor, and capital.  Since land and other capital items have been cost out in this analysis, this number is the return to unpaid labor and management for the enterprise.  </t>
        </r>
        <r>
          <rPr>
            <sz val="10"/>
            <rFont val="Tahoma"/>
            <family val="2"/>
          </rPr>
          <t xml:space="preserve">
</t>
        </r>
      </text>
    </comment>
    <comment ref="H224" authorId="0">
      <text>
        <r>
          <rPr>
            <b/>
            <sz val="10"/>
            <rFont val="Tahoma"/>
            <family val="2"/>
          </rPr>
          <t xml:space="preserve">Includes death loss expense and the value of replacement heifers kept.
The three basic factors of production are land, labor, and capital.  Since land and other capital items have been cost out in this analysis, this number is the return to unpaid labor and management for the enterprise.  </t>
        </r>
      </text>
    </comment>
    <comment ref="C184" authorId="0">
      <text>
        <r>
          <rPr>
            <b/>
            <sz val="10"/>
            <rFont val="Tahoma"/>
            <family val="2"/>
          </rPr>
          <t xml:space="preserve">Include the insurance for the buildings and improvements and also for other blanket insurance coverage, (liability, etc.) for the entire operation. </t>
        </r>
        <r>
          <rPr>
            <sz val="10"/>
            <rFont val="Tahoma"/>
            <family val="2"/>
          </rPr>
          <t xml:space="preserve">
</t>
        </r>
      </text>
    </comment>
    <comment ref="N30" authorId="0">
      <text>
        <r>
          <rPr>
            <sz val="10"/>
            <rFont val="Tahoma"/>
            <family val="2"/>
          </rPr>
          <t xml:space="preserve">The template assumes purchased replacements will be in the herd at calving time and produce a calf during the year. Feed costs for purchased replacements are charged for a full year.  
Note: If purchased replacements are </t>
        </r>
        <r>
          <rPr>
            <sz val="10"/>
            <color indexed="10"/>
            <rFont val="Tahoma"/>
            <family val="2"/>
          </rPr>
          <t>short term (older) cows</t>
        </r>
        <r>
          <rPr>
            <sz val="10"/>
            <rFont val="Tahoma"/>
            <family val="2"/>
          </rPr>
          <t xml:space="preserve"> that you intend to keep for just a few years, </t>
        </r>
        <r>
          <rPr>
            <sz val="10"/>
            <color indexed="10"/>
            <rFont val="Tahoma"/>
            <family val="2"/>
          </rPr>
          <t>you must adjust your cull rate in future years</t>
        </r>
        <r>
          <rPr>
            <sz val="10"/>
            <rFont val="Tahoma"/>
            <family val="2"/>
          </rPr>
          <t xml:space="preserve"> as these cows are sold off as cull animals. The program assumes a calf in produced before the cull animal is sold in a given year. You should also adjust the depreciation on short term cows so that their entire depreciable value is taken during the time the cows will be owned by you.  This can be done by taking additional first year deprecation (section 179) on these animals.  See the deprecation section in column AI, row 55.
</t>
        </r>
      </text>
    </comment>
    <comment ref="N45" authorId="1">
      <text>
        <r>
          <rPr>
            <sz val="10"/>
            <rFont val="Tahoma"/>
            <family val="2"/>
          </rPr>
          <t xml:space="preserve">While the option to adjust capital replacement costs is provided here, the user should exercise </t>
        </r>
        <r>
          <rPr>
            <sz val="10"/>
            <color indexed="10"/>
            <rFont val="Tahoma"/>
            <family val="2"/>
          </rPr>
          <t>CAUTION</t>
        </r>
        <r>
          <rPr>
            <sz val="10"/>
            <rFont val="Tahoma"/>
            <family val="2"/>
          </rPr>
          <t xml:space="preserve"> in using this adjustment factor.  Capital costs are the fixed costs associated with ownership, depreciation, taxes, opportunity costs (referred to as interest) and insurance.  These costs may grow over time as equipment is replaced, usually at a higher price.  Depreciation, taxes, insurance and opportunity costs may increase with higher priced equipment.  
However, as capital assets are replaced, more efficient assets may offset other costs included elsewhere in this spreadsheet.  An example would be bigger equipment reducing the need for hired labor.  This template is not designed to handle that type of interaction.  
</t>
        </r>
        <r>
          <rPr>
            <sz val="10"/>
            <color indexed="10"/>
            <rFont val="Tahoma"/>
            <family val="2"/>
          </rPr>
          <t xml:space="preserve">Use CAUTION </t>
        </r>
        <r>
          <rPr>
            <sz val="10"/>
            <rFont val="Tahoma"/>
            <family val="2"/>
          </rPr>
          <t>if you enter a value for a replacement capital cost adjustment.  
Financial costs (principal and interest) of purchased cows are not adjusted by this factor.</t>
        </r>
      </text>
    </comment>
    <comment ref="M14" authorId="1">
      <text>
        <r>
          <rPr>
            <sz val="10"/>
            <rFont val="Tahoma"/>
            <family val="2"/>
          </rPr>
          <t xml:space="preserve">The discount rate is the rate of return on investment that you would make you indifferent between receiving a dollar today or some amount of money one year from today.  
Example: You have a discount rate of 5%.  This means you are just as happy receiving a dollar today or $1.05 one year from today.  This implies you are happy with or have the opportunity to earn a 5% rate of return on a dollar invested today. 
The discount rate should be what you can reasonably expect as a rate of return, not what you "want."
The discount rate entered here has a big impact on the "Net Present Value of Cash Flows" shown below.  
</t>
        </r>
      </text>
    </comment>
    <comment ref="N243" authorId="1">
      <text>
        <r>
          <rPr>
            <b/>
            <sz val="10"/>
            <rFont val="Tahoma"/>
            <family val="2"/>
          </rPr>
          <t xml:space="preserve"> If the results displayed on this line are negative, and usually a large negative number, you most likely included a per acre value for your grazing and hay land.  Including land value is an accurate method to get and economic cost of production, but this template charges an opportunity cost on the land value.  Opportunity costs are charges that reflect the cost of holding an investment in land and giving up the opportunity to have those  dollars earn a rate of return in an alternative investment.  The calculation made on this line does not reflect the net cash flow for the operation. The opportunity costs is only a proxy cost for the lost opportunity if the money were invested elsewhere, i.e. if you are going to invest the money in livestock production, you should make this enterprise pay for the lost opportunity to invest the money elsewhere. 
You can delete the land values entered and get a better picture of possible cash flows, but these will only be accurate if you are debt free. </t>
        </r>
        <r>
          <rPr>
            <sz val="10"/>
            <rFont val="Tahoma"/>
            <family val="2"/>
          </rPr>
          <t xml:space="preserve">
</t>
        </r>
      </text>
    </comment>
    <comment ref="AL23" authorId="0">
      <text>
        <r>
          <rPr>
            <sz val="10"/>
            <rFont val="Tahoma"/>
            <family val="2"/>
          </rPr>
          <t xml:space="preserve">Principal and interest calculations are based on information entered in other parts of this spreadsheet.  However, you are allowed to enter the term of the finance period in the table below.   Only annual payments are allowed so the term should be entered in years .  Each row in the table below corresponds to a year in the 15 year analysis period and you can enter a different finance period for each year, if desired. Loan calculation results will be displayed in the correct time frame over the 15 year analysis period. </t>
        </r>
      </text>
    </comment>
    <comment ref="AL94" authorId="0">
      <text>
        <r>
          <rPr>
            <sz val="10"/>
            <rFont val="Tahoma"/>
            <family val="2"/>
          </rPr>
          <t xml:space="preserve">Principal and interest calculations are based on information entered in other parts of this spreadsheet.  However, you are allowed to enter the term of the finance period in the table below.   Only annual payments are allowed so the term should be entered in years .  Each row in the table below corresponds to a year in the 15 year analysis period and you can enter a different finance period for each year, if desired. Loan calculation results will be displayed in the correct time frame over the 15 year analysis period. </t>
        </r>
      </text>
    </comment>
    <comment ref="N29" authorId="1">
      <text>
        <r>
          <rPr>
            <sz val="10"/>
            <rFont val="Tahoma"/>
            <family val="2"/>
          </rPr>
          <t xml:space="preserve">Replacement heifers kept from the current years calf crop are not counted in the breeding livestock herd until one full heifer development year has passed.  Example: A heifer calf kept in the fall of 2005 does not show up as a breeding animal until January 1 of 2007.  
Purchased replacements are treated differently. See their comment below. </t>
        </r>
      </text>
    </comment>
    <comment ref="AI65" authorId="1">
      <text>
        <r>
          <rPr>
            <sz val="10"/>
            <rFont val="Tahoma"/>
            <family val="2"/>
          </rPr>
          <t xml:space="preserve">For additional information on the percentages entered for each year of a particular deprecation schedule, see the DepreciationTables tab of this spreadsheet. You can select either a 3, 5, or 7 year schedule for deprecation and enter those percentages below.  You can not mix 3, 5, and 7 year schedules between the 15 years for analysis included in this spreadsheet.  If you enter percentages used by the IRS to calculate a 5 year schedule, everything will be depreciated on a 5 year schedule for each of the 15 years.
IRS guideliens indicate depreciation on breeding livestock is normally taken over </t>
        </r>
        <r>
          <rPr>
            <sz val="10"/>
            <color indexed="10"/>
            <rFont val="Tahoma"/>
            <family val="2"/>
          </rPr>
          <t xml:space="preserve">5 years. </t>
        </r>
      </text>
    </comment>
    <comment ref="AI136" authorId="1">
      <text>
        <r>
          <rPr>
            <sz val="10"/>
            <rFont val="Tahoma"/>
            <family val="2"/>
          </rPr>
          <t>For additional information on the percentages entered for each year of a particular deprecation schedule, see the DepreciationTables tab of this spreadsheet. You can select either a 3, 5, or 7 year schedule for deprecation and enter those percentages below.  You can not mix 3, 5, and 7 year schedules between the 15 years for analysis included in this spreadsheet.  If you enter percentages used by the IRS to calculate a 5 year schedule, everything will be depreciated on a 5 year schedule for each of the 15 years.
IRS guideliens indicate depreciation on breeding livestock is normally taken over</t>
        </r>
        <r>
          <rPr>
            <sz val="10"/>
            <color indexed="10"/>
            <rFont val="Tahoma"/>
            <family val="2"/>
          </rPr>
          <t xml:space="preserve"> 5 years. </t>
        </r>
      </text>
    </comment>
    <comment ref="M17" authorId="1">
      <text>
        <r>
          <rPr>
            <sz val="10"/>
            <rFont val="Tahoma"/>
            <family val="2"/>
          </rPr>
          <t>The base year in this spreadsheet is the year prior to the first year you start to make herd adjustments decisions.</t>
        </r>
      </text>
    </comment>
    <comment ref="N20" authorId="1">
      <text>
        <r>
          <rPr>
            <sz val="10"/>
            <rFont val="Tahoma"/>
            <family val="2"/>
          </rPr>
          <t>Enter the percent of total purchase price you expect to finance by borrowing through term loans.</t>
        </r>
      </text>
    </comment>
    <comment ref="N42" authorId="1">
      <text>
        <r>
          <rPr>
            <sz val="10"/>
            <rFont val="Tahoma"/>
            <family val="2"/>
          </rPr>
          <t xml:space="preserve">The percentages entered should all be relative to the base year.  For example, if you expect price in year 1 to be 110% of year 0, enter 110.  If the price in year 2 will be 112% of the base year, enter 112.  If the price is expected to fall below the base year price at some point in time, enter a percent less than 100.  For example, if you expect the prices in year 7 of the analysis to be 92% of the base year prices, enter a 92 in year 7.  </t>
        </r>
      </text>
    </comment>
    <comment ref="B36" authorId="0">
      <text>
        <r>
          <rPr>
            <b/>
            <sz val="10"/>
            <rFont val="Tahoma"/>
            <family val="2"/>
          </rPr>
          <t>If replacements are purchased, you should also enter the annual purchase cost (dollars of principal) for the replacements in the capital asset purchase section below.  Do not enter any interest costs there.  Interest costs for capital asset purchases are entered in the Increased Expenses section below.</t>
        </r>
      </text>
    </comment>
    <comment ref="N54" authorId="1">
      <text>
        <r>
          <rPr>
            <sz val="10"/>
            <rFont val="Tahoma"/>
            <family val="2"/>
          </rPr>
          <t xml:space="preserve">Cull bull revenue includes income from selling the normal amount of cull bulls each year plus income from selling extra bulls that are no longer needed if the breeding cow herd is reduced.  Note that breeding cow sales are not included in cull cow income but are tracked separately below. </t>
        </r>
      </text>
    </comment>
    <comment ref="N26" authorId="1">
      <text>
        <r>
          <rPr>
            <sz val="10"/>
            <rFont val="Tahoma"/>
            <family val="2"/>
          </rPr>
          <t xml:space="preserve">During the normal operation of a ranch, there are some number of cull cows due to health, pregnancy or other problems that occur annually.  These animals will typically be of less value than a cow that is still of breeding age and relatively healthy.  For this analysis, make sure these two types of animals are seperated.  
</t>
        </r>
        <r>
          <rPr>
            <b/>
            <sz val="10"/>
            <color indexed="16"/>
            <rFont val="Tahoma"/>
            <family val="2"/>
          </rPr>
          <t>Enter only the number of cows (not bulls) being sold that you consider to be sound breeding cows.</t>
        </r>
        <r>
          <rPr>
            <sz val="10"/>
            <rFont val="Tahoma"/>
            <family val="2"/>
          </rPr>
          <t xml:space="preserve">  
Cull cows are entered by filling in a percentage for the normal culling rate on the line directly below.  That percentage entry calculates the number of cull cows that would normally be sold in a year and includes the revenue under the label of cull cow revenue below.    
</t>
        </r>
      </text>
    </comment>
    <comment ref="N56" authorId="1">
      <text>
        <r>
          <rPr>
            <sz val="10"/>
            <rFont val="Tahoma"/>
            <family val="2"/>
          </rPr>
          <t xml:space="preserve">Total other income includes income from the normal operation of the business as shown in the Income section starting in cell B50 to the left.  It also includes income that would typically be generated if livestock number are reduced. This would include cash sales of hay production and leased AUMs that are no longer needed due to a reduced number of livestock.  </t>
        </r>
      </text>
    </comment>
    <comment ref="J30" authorId="1">
      <text>
        <r>
          <rPr>
            <sz val="10"/>
            <rFont val="Tahoma"/>
            <family val="2"/>
          </rPr>
          <t xml:space="preserve">
This analysis does not handle selling cows and buying cows in the same year.  You are allowed to enter that type of scenario, but the results will not be correct. </t>
        </r>
      </text>
    </comment>
    <comment ref="B17" authorId="1">
      <text>
        <r>
          <rPr>
            <sz val="10"/>
            <rFont val="Tahoma"/>
            <family val="2"/>
          </rPr>
          <t xml:space="preserve">
</t>
        </r>
        <r>
          <rPr>
            <b/>
            <sz val="10"/>
            <rFont val="Tahoma"/>
            <family val="2"/>
          </rPr>
          <t>Summary of Steps:</t>
        </r>
        <r>
          <rPr>
            <sz val="10"/>
            <rFont val="Tahoma"/>
            <family val="2"/>
          </rPr>
          <t xml:space="preserve">
1- Fill in the data in columns A - G, rows 14 - 240 to establish a budget for the "current" operation.                                                    
2- Fill in the required information in rows 8 - 35 in columns M - AD for the livestock herd expansion or contraction strategy.                                                                                                                                      
3- Fill in the required information for loan calculations and depreciation for both purchased replacements and  bulls in columns AI through AT in rows 22 through 155.                      
4- Check your input to make sure it reflects your current situation and plan for herd size.
5- Run different scenarios as desired, i.e. hold  additional heifer calves for replacements versus purchasing replacements, purchasing short term cows versus young breeding stock, etc.
                                                                                                          </t>
        </r>
      </text>
    </comment>
    <comment ref="J28" authorId="1">
      <text>
        <r>
          <rPr>
            <sz val="10"/>
            <rFont val="Tahoma"/>
            <family val="2"/>
          </rPr>
          <t xml:space="preserve">This number is calculated using the expected culling rate for a given year and the beginning inventory of cows plus 1st calf heifers, at the beginning of the breeding season.  
Note that this block of information regarding cow numbers by year does not go from the beginning to the end of a calendar year, it goes from the beginning of one breeding season to the beginning of the next breeding season.  
</t>
        </r>
      </text>
    </comment>
    <comment ref="J29" authorId="1">
      <text>
        <r>
          <rPr>
            <sz val="10"/>
            <rFont val="Tahoma"/>
            <family val="2"/>
          </rPr>
          <t xml:space="preserve">Enter the number of raised heifer calves that are kept each year to maintain breeding herd numbers. The beginning inventory is the number of animals that will calve this year including older cows (3+ yrs old) and 1st calf heifers (coming 2 year olds).  </t>
        </r>
      </text>
    </comment>
    <comment ref="O230" authorId="1">
      <text>
        <r>
          <rPr>
            <sz val="10"/>
            <rFont val="Tahoma"/>
            <family val="2"/>
          </rPr>
          <t xml:space="preserve">This analysis assumes that the cash is available from retained earnings or other sources to cover any unfinanced portion money borrowed to purchased mature cows, bred heifers, or bulls during a herd expansion.  </t>
        </r>
      </text>
    </comment>
    <comment ref="B16" authorId="1">
      <text>
        <r>
          <rPr>
            <sz val="10"/>
            <rFont val="Tahoma"/>
            <family val="2"/>
          </rPr>
          <t xml:space="preserve">Mouse over any box like this or any cell with a red triangle in the upper right corner to get additional help or explanation for a particular input required or output displayed.  
</t>
        </r>
      </text>
    </comment>
    <comment ref="B73" authorId="1">
      <text>
        <r>
          <rPr>
            <sz val="10"/>
            <rFont val="Tahoma"/>
            <family val="2"/>
          </rPr>
          <t xml:space="preserve">This is the rate of interest that you would like to receive on your investment in this enterprise.  For example, if you invested money into a stock, bond or mutual fund and wish to receive (be happy with) a 5% rate of return on your investment, enter 5% here.  If you would be happy with a 3% rate of return, enter a 3% here.  
This number is use to calculate a charge to the cow calf enterprise on the dollar value invested in this enterprise. 
</t>
        </r>
      </text>
    </comment>
    <comment ref="B72" authorId="1">
      <text>
        <r>
          <rPr>
            <sz val="10"/>
            <rFont val="Tahoma"/>
            <family val="2"/>
          </rPr>
          <t xml:space="preserve">Changing this one number will change all of the operating cost entered, either up or down.  Entering a 75% will reduce the listed operating costs by 25%.
You should use this number only after you have entered the best information you have about your operating expenses.  
</t>
        </r>
      </text>
    </comment>
  </commentList>
</comments>
</file>

<file path=xl/sharedStrings.xml><?xml version="1.0" encoding="utf-8"?>
<sst xmlns="http://schemas.openxmlformats.org/spreadsheetml/2006/main" count="775" uniqueCount="461">
  <si>
    <t>Total amount to finance</t>
  </si>
  <si>
    <t>Payment Period</t>
  </si>
  <si>
    <t>Your combined State and Federal Marginal Tax Rate</t>
  </si>
  <si>
    <t>Principal payments per period</t>
  </si>
  <si>
    <t>Tax Adjusted Discount Factor</t>
  </si>
  <si>
    <t>Amount</t>
  </si>
  <si>
    <t>Year 11</t>
  </si>
  <si>
    <t>Year 12</t>
  </si>
  <si>
    <t>Year 13</t>
  </si>
  <si>
    <t>Year 14</t>
  </si>
  <si>
    <t>Year 15</t>
  </si>
  <si>
    <t>Percent Depreciation Expense by Year</t>
  </si>
  <si>
    <t>Depreciation Period (Year)</t>
  </si>
  <si>
    <t>Depreciable</t>
  </si>
  <si>
    <t>Price Adjustment Pattern (Enter as a Percent of Base Year Prices)</t>
  </si>
  <si>
    <t>Total Other Income</t>
  </si>
  <si>
    <t>Insurance -- Include in insurance cost under buildings and improvements</t>
  </si>
  <si>
    <t>Total Interest on Operating Costs</t>
  </si>
  <si>
    <t>Total Depreciation by year for purchase replacement Heifers&gt;&gt;</t>
  </si>
  <si>
    <t>Value of Avg Cow in Breeding Herd</t>
  </si>
  <si>
    <t>Price</t>
  </si>
  <si>
    <t>Pounds</t>
  </si>
  <si>
    <t>Value Per</t>
  </si>
  <si>
    <t>Quantity</t>
  </si>
  <si>
    <t>Weight</t>
  </si>
  <si>
    <t>Per Pound</t>
  </si>
  <si>
    <t>Produced</t>
  </si>
  <si>
    <t>Head</t>
  </si>
  <si>
    <t>Total Value</t>
  </si>
  <si>
    <t>Steer Calves</t>
  </si>
  <si>
    <t xml:space="preserve"> </t>
  </si>
  <si>
    <t>Heifer Calves</t>
  </si>
  <si>
    <t>Cash</t>
  </si>
  <si>
    <t>Revenue</t>
  </si>
  <si>
    <t>Cull Bull Sales</t>
  </si>
  <si>
    <t>Per Cow</t>
  </si>
  <si>
    <t>Totals</t>
  </si>
  <si>
    <t>Total Pounds Produced From Calves</t>
  </si>
  <si>
    <t>$ from Calves</t>
  </si>
  <si>
    <t>Base Value</t>
  </si>
  <si>
    <t xml:space="preserve">Replacement Heifers </t>
  </si>
  <si>
    <t>Per Head</t>
  </si>
  <si>
    <r>
      <t>Purchased</t>
    </r>
    <r>
      <rPr>
        <b/>
        <sz val="10"/>
        <rFont val="Times New Roman"/>
        <family val="1"/>
      </rPr>
      <t xml:space="preserve"> Replacement Heifers</t>
    </r>
  </si>
  <si>
    <t>Total</t>
  </si>
  <si>
    <r>
      <t>Non-Cash Adjustments</t>
    </r>
    <r>
      <rPr>
        <b/>
        <sz val="12"/>
        <rFont val="Times New Roman"/>
        <family val="1"/>
      </rPr>
      <t xml:space="preserve"> to the "Cash" Value of Production </t>
    </r>
  </si>
  <si>
    <t>Cow</t>
  </si>
  <si>
    <t xml:space="preserve"> +</t>
  </si>
  <si>
    <t xml:space="preserve"> -</t>
  </si>
  <si>
    <t>+</t>
  </si>
  <si>
    <t xml:space="preserve"> =</t>
  </si>
  <si>
    <t>Value</t>
  </si>
  <si>
    <t>Feed Costs (Raised and Purchased)</t>
  </si>
  <si>
    <t>Units</t>
  </si>
  <si>
    <t>Hay</t>
  </si>
  <si>
    <t>Ton</t>
  </si>
  <si>
    <t>AUM</t>
  </si>
  <si>
    <t>Other</t>
  </si>
  <si>
    <t>Livestock Hauling (Not Related to Marketing)</t>
  </si>
  <si>
    <t>Hired Labor</t>
  </si>
  <si>
    <t>Utilities</t>
  </si>
  <si>
    <t>Supplies</t>
  </si>
  <si>
    <t>Interest on Operating Costs</t>
  </si>
  <si>
    <t xml:space="preserve">Sum of Operating Costs x Months Borrowed </t>
  </si>
  <si>
    <t>x Interest Rate Per Month</t>
  </si>
  <si>
    <t>Avg. Number of Months Money Borrowed</t>
  </si>
  <si>
    <t xml:space="preserve">Total Operating Costs </t>
  </si>
  <si>
    <t>Dollars</t>
  </si>
  <si>
    <t>Useful</t>
  </si>
  <si>
    <t>Salvage</t>
  </si>
  <si>
    <t>Calculated</t>
  </si>
  <si>
    <t>Depreciation</t>
  </si>
  <si>
    <t>Invested</t>
  </si>
  <si>
    <t>Life Yrs</t>
  </si>
  <si>
    <t>Interest (Opportunity Cost Using Real Rate of Int.)</t>
  </si>
  <si>
    <t>Personal Prop. Taxes on Mach &amp; Equip Used for Lvstk</t>
  </si>
  <si>
    <t>Personal Property Taxes and Buildings &amp; Imprv.</t>
  </si>
  <si>
    <t>Parcel Description</t>
  </si>
  <si>
    <t>No. Acres</t>
  </si>
  <si>
    <t>Value/Acre</t>
  </si>
  <si>
    <t>Real Estate Taxes</t>
  </si>
  <si>
    <t>Livestock Breeding Herd</t>
  </si>
  <si>
    <t>Bulls</t>
  </si>
  <si>
    <t>Breeding cows</t>
  </si>
  <si>
    <t>Personal Property Taxes</t>
  </si>
  <si>
    <t>Total Ownership Costs</t>
  </si>
  <si>
    <t>Total Costs (Operating Plus Ownership)</t>
  </si>
  <si>
    <t>Total Revenue (Calf &amp; Non-Calf, Cash and Non-Cash)</t>
  </si>
  <si>
    <t>Help</t>
  </si>
  <si>
    <r>
      <t>Raised</t>
    </r>
    <r>
      <rPr>
        <b/>
        <sz val="10"/>
        <rFont val="Times New Roman"/>
        <family val="1"/>
      </rPr>
      <t xml:space="preserve"> Replacements </t>
    </r>
  </si>
  <si>
    <t xml:space="preserve">Check for updates to this software at the following web site </t>
  </si>
  <si>
    <t>Farm Management Specialist at Montana State University</t>
  </si>
  <si>
    <t>Net Market</t>
  </si>
  <si>
    <r>
      <t>Machinery and Equipment</t>
    </r>
    <r>
      <rPr>
        <b/>
        <sz val="12"/>
        <rFont val="Times New Roman"/>
        <family val="1"/>
      </rPr>
      <t xml:space="preserve"> used for Livestock</t>
    </r>
  </si>
  <si>
    <r>
      <t>Buildings and Improvements</t>
    </r>
    <r>
      <rPr>
        <b/>
        <sz val="12"/>
        <rFont val="Times New Roman"/>
        <family val="1"/>
      </rPr>
      <t xml:space="preserve"> Used for Livestock</t>
    </r>
  </si>
  <si>
    <r>
      <t xml:space="preserve">Owned Land </t>
    </r>
    <r>
      <rPr>
        <b/>
        <sz val="12"/>
        <rFont val="Times New Roman"/>
        <family val="1"/>
      </rPr>
      <t>Used for Livestock Operations</t>
    </r>
  </si>
  <si>
    <t>Death Loss of Replacement Heifers</t>
  </si>
  <si>
    <t>Death Loss Replacement Heifers</t>
  </si>
  <si>
    <t>Death Loss Breeding Cows</t>
  </si>
  <si>
    <t>Other Depreciable Breeding Stock</t>
  </si>
  <si>
    <t>Other Income (Semen, etc….)</t>
  </si>
  <si>
    <t>Cull</t>
  </si>
  <si>
    <t>Depreciation--Replacement Allowance</t>
  </si>
  <si>
    <t xml:space="preserve">       Total Interest Cost (Using Nominal Interest Rate)</t>
  </si>
  <si>
    <t>cwt</t>
  </si>
  <si>
    <t>2 ton truck</t>
  </si>
  <si>
    <t>Manure Spreader</t>
  </si>
  <si>
    <t>Horse Trailer</t>
  </si>
  <si>
    <t>Lvstk handling Equipment</t>
  </si>
  <si>
    <t>Calving Barn</t>
  </si>
  <si>
    <t>Machine Shed</t>
  </si>
  <si>
    <t>Shop</t>
  </si>
  <si>
    <t>Granary</t>
  </si>
  <si>
    <t>Calf Shelters</t>
  </si>
  <si>
    <t>Windmill pasture</t>
  </si>
  <si>
    <t>Weaning Pasture</t>
  </si>
  <si>
    <t>Chevy Pickup</t>
  </si>
  <si>
    <t>Another Truck</t>
  </si>
  <si>
    <t>Dodge Pickup</t>
  </si>
  <si>
    <t>shed</t>
  </si>
  <si>
    <t>Home Pasture</t>
  </si>
  <si>
    <t>Dad's Place</t>
  </si>
  <si>
    <t xml:space="preserve">North 40 </t>
  </si>
  <si>
    <t>Tower Pasture</t>
  </si>
  <si>
    <t>Gramps Place</t>
  </si>
  <si>
    <t>http://www.montana.edu/extensionecon/farmmgt/software.html</t>
  </si>
  <si>
    <t>Year 1</t>
  </si>
  <si>
    <t>Year 2</t>
  </si>
  <si>
    <t>Year 3</t>
  </si>
  <si>
    <t>Year 4</t>
  </si>
  <si>
    <t>Year 5</t>
  </si>
  <si>
    <t>Year 6</t>
  </si>
  <si>
    <t>Year 7</t>
  </si>
  <si>
    <t>Year 8</t>
  </si>
  <si>
    <t>Year 9</t>
  </si>
  <si>
    <t>Year 10</t>
  </si>
  <si>
    <t>Base Year = Yr 0</t>
  </si>
  <si>
    <t>Replacement Heifers Needed At Expected Cull Rate</t>
  </si>
  <si>
    <t>Cull Cow Sales, After Death Loss</t>
  </si>
  <si>
    <t>Replacement Heifers in Development Program</t>
  </si>
  <si>
    <t>Breeding Cows &amp; 1st Calf Hfrs</t>
  </si>
  <si>
    <t>Per Unit</t>
  </si>
  <si>
    <t>LBS</t>
  </si>
  <si>
    <t>Protein Supplement</t>
  </si>
  <si>
    <t>Cost Per</t>
  </si>
  <si>
    <t>Animal</t>
  </si>
  <si>
    <t>AUMs of Grazing</t>
  </si>
  <si>
    <t>Vet and Medicine:</t>
  </si>
  <si>
    <t>Cows &amp; 1st Calf Heifers</t>
  </si>
  <si>
    <t>Replacements Heifers</t>
  </si>
  <si>
    <t>Dues, Subscriptions, Legal, Check Off, etc.</t>
  </si>
  <si>
    <t>Repairs and Maintenance for:</t>
  </si>
  <si>
    <t>Marketing Costs:</t>
  </si>
  <si>
    <t>Machinery &amp; Vehicles</t>
  </si>
  <si>
    <t>Fuel, Oil, Lub</t>
  </si>
  <si>
    <t>Repairs</t>
  </si>
  <si>
    <t>Fences</t>
  </si>
  <si>
    <t>Corrals</t>
  </si>
  <si>
    <t>Buildings</t>
  </si>
  <si>
    <t>Water Facilities</t>
  </si>
  <si>
    <r>
      <t xml:space="preserve">Operating Costs For Livestock </t>
    </r>
    <r>
      <rPr>
        <b/>
        <sz val="12"/>
        <color indexed="16"/>
        <rFont val="Times New Roman"/>
        <family val="1"/>
      </rPr>
      <t>Care, Handling, Haying</t>
    </r>
  </si>
  <si>
    <t>Salt  &amp; Mineral</t>
  </si>
  <si>
    <t>Feed Cost Per Bull</t>
  </si>
  <si>
    <t>Feed Cost Per Breeding Cow</t>
  </si>
  <si>
    <t>Feed Cost Per Replacement Heifer</t>
  </si>
  <si>
    <t>Per Brdg Cow</t>
  </si>
  <si>
    <t>Green Tractor #1</t>
  </si>
  <si>
    <t>Bulls on hand January 1st</t>
  </si>
  <si>
    <t>Bulls Purchased During the year</t>
  </si>
  <si>
    <t>Excess Rep. Hfrs That will be sold</t>
  </si>
  <si>
    <t>Weighted Average Sale Price of Steers and Heifers</t>
  </si>
  <si>
    <t>Weighted Average Sales Weight of Steers and Heifers</t>
  </si>
  <si>
    <t>Weighted Average Sales Weight of Steers and Heifers based on cows at the beginning of the breeding season</t>
  </si>
  <si>
    <t>Base Year</t>
  </si>
  <si>
    <t>Type of Animal</t>
  </si>
  <si>
    <t xml:space="preserve">Cost Per </t>
  </si>
  <si>
    <t>Breeding Cow</t>
  </si>
  <si>
    <t>Cows * 1st Calf</t>
  </si>
  <si>
    <t>Subtotal: Operating Costs For Livestock Care, Handling, Haying</t>
  </si>
  <si>
    <t xml:space="preserve">  Interest (Opportunity Cost), Personal Property Tax and Insurance</t>
  </si>
  <si>
    <t xml:space="preserve">  Machinery, Equip., Vehicles for Lvstk</t>
  </si>
  <si>
    <t xml:space="preserve">  Total Depreciation on Purchased livestock</t>
  </si>
  <si>
    <t xml:space="preserve">  Interest (Opportunity Cost), Personal Property Tax </t>
  </si>
  <si>
    <t>No Depreciation Allowed on bare land</t>
  </si>
  <si>
    <t>Total Steer Revenue</t>
  </si>
  <si>
    <t>Total Heifer Revenue</t>
  </si>
  <si>
    <t>Total Cull Cow Revenue</t>
  </si>
  <si>
    <t>Total Cull Replacement Revenue</t>
  </si>
  <si>
    <t>Total Cull Bull Revenue</t>
  </si>
  <si>
    <t>Total Revenue From Calf Sales</t>
  </si>
  <si>
    <t>Total Feed Cost for Breeding Cows</t>
  </si>
  <si>
    <t>Total Feed Cost for Replacement Heifers</t>
  </si>
  <si>
    <t>Total Feed Cost for Bulls</t>
  </si>
  <si>
    <t>Subtotal: Care, Handling, Haying Cost</t>
  </si>
  <si>
    <t>Total Ownership costs</t>
  </si>
  <si>
    <t>Machinery and Equipment</t>
  </si>
  <si>
    <t>Buildings and Improvements</t>
  </si>
  <si>
    <t>Owned Land</t>
  </si>
  <si>
    <t>Total Cost Operating + Ownership</t>
  </si>
  <si>
    <t xml:space="preserve">TOTAL </t>
  </si>
  <si>
    <t>INTEREST</t>
  </si>
  <si>
    <t>YEARS</t>
  </si>
  <si>
    <t>AMOUNT</t>
  </si>
  <si>
    <t>PAYMENT</t>
  </si>
  <si>
    <t>Interest</t>
  </si>
  <si>
    <t>INITIAL</t>
  </si>
  <si>
    <t>TOTAL</t>
  </si>
  <si>
    <t xml:space="preserve">LOAN </t>
  </si>
  <si>
    <t xml:space="preserve"> LOAN</t>
  </si>
  <si>
    <t>PMTS/</t>
  </si>
  <si>
    <t xml:space="preserve">CASH </t>
  </si>
  <si>
    <t>RATE</t>
  </si>
  <si>
    <t xml:space="preserve">YEAR </t>
  </si>
  <si>
    <t>OUTLAY</t>
  </si>
  <si>
    <t xml:space="preserve">PAID </t>
  </si>
  <si>
    <t>Loan</t>
  </si>
  <si>
    <t>Purpose</t>
  </si>
  <si>
    <t>Annual</t>
  </si>
  <si>
    <t>Year</t>
  </si>
  <si>
    <t xml:space="preserve">Payment </t>
  </si>
  <si>
    <t>Periods</t>
  </si>
  <si>
    <t>Bulls Financed in Year 1</t>
  </si>
  <si>
    <t>Bulls Financed in Year 2</t>
  </si>
  <si>
    <t>Bulls Financed in Year 3</t>
  </si>
  <si>
    <t>Bulls Financed in Year 4</t>
  </si>
  <si>
    <t>Bulls Financed in Year 5</t>
  </si>
  <si>
    <t>Bulls Financed in Year 6</t>
  </si>
  <si>
    <t>Bulls Financed in Year 7</t>
  </si>
  <si>
    <t>Bulls Financed in Year 8</t>
  </si>
  <si>
    <t>Bulls Financed in Year 9</t>
  </si>
  <si>
    <t>Bulls Financed in Year 10</t>
  </si>
  <si>
    <t>Bulls Financed in Year 11</t>
  </si>
  <si>
    <t>Bulls Financed in Year 12</t>
  </si>
  <si>
    <t>Bulls Financed in Year 13</t>
  </si>
  <si>
    <t>Bulls Financed in Year 14</t>
  </si>
  <si>
    <t>Bulls Financed in Year 15</t>
  </si>
  <si>
    <t>Estimated average purchase price per head for Bulls</t>
  </si>
  <si>
    <t>Bull Loans</t>
  </si>
  <si>
    <t>% Financed</t>
  </si>
  <si>
    <t>Analysis</t>
  </si>
  <si>
    <t>Depreciation Schedule (Additional Bulls necessary for herd expansion)</t>
  </si>
  <si>
    <t>Cash Interest on Purchased Replacements  &amp; Bulls</t>
  </si>
  <si>
    <t>Replacement Breeding Stock Loans</t>
  </si>
  <si>
    <t>Depreciation Schedule (Replacement Breeding Livestock)</t>
  </si>
  <si>
    <t>Cash from operation for % of Heifers not financed</t>
  </si>
  <si>
    <t>Cash from operation for % of Bulls not financed</t>
  </si>
  <si>
    <t>Discount Factor for analysis year</t>
  </si>
  <si>
    <t>Total All Inflation Adjusted Revenue</t>
  </si>
  <si>
    <t>Net Returns Above Cash Operating Expense</t>
  </si>
  <si>
    <t>Total Cash Operating Exp., Inflation Adj.</t>
  </si>
  <si>
    <r>
      <t>Returns Above Total Costs (</t>
    </r>
    <r>
      <rPr>
        <b/>
        <sz val="10"/>
        <color indexed="10"/>
        <rFont val="Times New Roman"/>
        <family val="1"/>
      </rPr>
      <t>Includes</t>
    </r>
    <r>
      <rPr>
        <b/>
        <sz val="10"/>
        <rFont val="Times New Roman"/>
        <family val="1"/>
      </rPr>
      <t xml:space="preserve"> the Value of Rep. Heifer (a Non-Cash Value); Includes Death Loss)</t>
    </r>
  </si>
  <si>
    <r>
      <t>Returns Above Total Costs (</t>
    </r>
    <r>
      <rPr>
        <b/>
        <sz val="10"/>
        <color indexed="10"/>
        <rFont val="Times New Roman"/>
        <family val="1"/>
      </rPr>
      <t>Excludes</t>
    </r>
    <r>
      <rPr>
        <b/>
        <sz val="10"/>
        <rFont val="Times New Roman"/>
        <family val="1"/>
      </rPr>
      <t xml:space="preserve"> the Value of Rep. Heifer (a Non-Cash Value); Includes Death Loss)</t>
    </r>
  </si>
  <si>
    <t>Total Cash Operating Costs Per Head</t>
  </si>
  <si>
    <t>Net Returns/Head Above Operating Expense</t>
  </si>
  <si>
    <t xml:space="preserve">Each year of this summary uses inflation adjusted income and expense estimates.  The inflation adjustments are made based on data you entered earlier in this spreadsheet. </t>
  </si>
  <si>
    <r>
      <t xml:space="preserve">Additional Cash Outflows that are </t>
    </r>
    <r>
      <rPr>
        <b/>
        <sz val="10"/>
        <color indexed="10"/>
        <rFont val="Times New Roman"/>
        <family val="1"/>
      </rPr>
      <t>not included anywhere in the analysis above</t>
    </r>
    <r>
      <rPr>
        <b/>
        <sz val="10"/>
        <rFont val="Times New Roman"/>
        <family val="1"/>
      </rPr>
      <t>.  Principal payments and cash used to by capital assets, like breeding livestock, are not considered "expenses."</t>
    </r>
  </si>
  <si>
    <t>Net Returns Above Operating Expenses + added cash outflows</t>
  </si>
  <si>
    <r>
      <t xml:space="preserve">Selected values from each year of this analysis are discounted to the present using the discount factor calculated above.  Discounting converts the value of dollars in the future to current dollars, i.e. </t>
    </r>
    <r>
      <rPr>
        <b/>
        <sz val="10"/>
        <color indexed="10"/>
        <rFont val="Times New Roman"/>
        <family val="1"/>
      </rPr>
      <t>Net Present Value (NPV)</t>
    </r>
  </si>
  <si>
    <t xml:space="preserve">NPV of Cash Operating Exp. </t>
  </si>
  <si>
    <t>NPV of Net Returns Above Cash Operating</t>
  </si>
  <si>
    <r>
      <t xml:space="preserve">Cumulative NPV </t>
    </r>
    <r>
      <rPr>
        <u val="single"/>
        <sz val="9"/>
        <rFont val="Times New Roman"/>
        <family val="1"/>
      </rPr>
      <t>Net Returns</t>
    </r>
    <r>
      <rPr>
        <sz val="9"/>
        <rFont val="Times New Roman"/>
        <family val="1"/>
      </rPr>
      <t xml:space="preserve"> above Operating Exp.</t>
    </r>
  </si>
  <si>
    <t>Repairs and Maintenance:</t>
  </si>
  <si>
    <t>Machinery &amp; Vehicles:</t>
  </si>
  <si>
    <r>
      <t>Help</t>
    </r>
    <r>
      <rPr>
        <b/>
        <sz val="11"/>
        <color indexed="10"/>
        <rFont val="Times New Roman"/>
        <family val="1"/>
      </rPr>
      <t xml:space="preserve"> Read This</t>
    </r>
  </si>
  <si>
    <r>
      <t>Cumulative NPV</t>
    </r>
    <r>
      <rPr>
        <sz val="9"/>
        <rFont val="Times New Roman"/>
        <family val="1"/>
      </rPr>
      <t xml:space="preserve"> of Revenue</t>
    </r>
  </si>
  <si>
    <t>Written by Duane Griffith, July 2004</t>
  </si>
  <si>
    <t>Discount Rate Used to adjust to Net Present Value (NPV)</t>
  </si>
  <si>
    <t>Transfer of Raised Rep. Heifer. To Breeding</t>
  </si>
  <si>
    <t>NPV of Revenue</t>
  </si>
  <si>
    <t xml:space="preserve">NPV of Operating + Ownership + Added Cash Outflows </t>
  </si>
  <si>
    <t>Net Returns Above Operating + Ownership + added cash outflows</t>
  </si>
  <si>
    <r>
      <t xml:space="preserve">NPV </t>
    </r>
    <r>
      <rPr>
        <u val="single"/>
        <sz val="9"/>
        <rFont val="Times New Roman"/>
        <family val="1"/>
      </rPr>
      <t>Net Returns</t>
    </r>
    <r>
      <rPr>
        <sz val="9"/>
        <rFont val="Times New Roman"/>
        <family val="1"/>
      </rPr>
      <t xml:space="preserve"> above Operating + Ownership Exp. + Added Cash Outflows</t>
    </r>
  </si>
  <si>
    <r>
      <t xml:space="preserve">Cumulative NPV </t>
    </r>
    <r>
      <rPr>
        <u val="single"/>
        <sz val="9"/>
        <rFont val="Times New Roman"/>
        <family val="1"/>
      </rPr>
      <t>Net Returns</t>
    </r>
    <r>
      <rPr>
        <sz val="9"/>
        <rFont val="Times New Roman"/>
        <family val="1"/>
      </rPr>
      <t xml:space="preserve"> above Operating + Ownership + Added Cash Outflows</t>
    </r>
  </si>
  <si>
    <t>Net Returns Above Operating + Ownership Expenses</t>
  </si>
  <si>
    <t>Net Returns/Head Above Operating + Ownership Expenses</t>
  </si>
  <si>
    <t>Interest, Personal Property Tax and Insurance</t>
  </si>
  <si>
    <t>Depreciation on Buildings and Improvements</t>
  </si>
  <si>
    <t>Depreciation: Purchased Livestock, Base Year</t>
  </si>
  <si>
    <t>Machinery, Equipment and Vehicle Depreciation</t>
  </si>
  <si>
    <t>Cash Principal on Purchased Replacements, if any</t>
  </si>
  <si>
    <t>Steer Calves Available to Sell</t>
  </si>
  <si>
    <t>Heifer Calves Available to Sell</t>
  </si>
  <si>
    <t>Click Button Below to Print</t>
  </si>
  <si>
    <t>Expected Interest Rate for Short Term Breeding Livestock Loans</t>
  </si>
  <si>
    <t>Total Returns Per Head</t>
  </si>
  <si>
    <t>Principal and Interest Calculations for Purchased Bred Heifers, are based on the information entered in other parts of this spreadsheet.  However, the year of the loan can be varied to meet your needs.</t>
  </si>
  <si>
    <t>Principal and Interest Calculations for Purchased Bulls, are shown starting in the year of purchase and for the number of years entered for the finance period.</t>
  </si>
  <si>
    <t>Section 179</t>
  </si>
  <si>
    <t>First Year</t>
  </si>
  <si>
    <t xml:space="preserve">Additional </t>
  </si>
  <si>
    <t xml:space="preserve">Any additional </t>
  </si>
  <si>
    <t>Allowed Under</t>
  </si>
  <si>
    <t>Current Rules</t>
  </si>
  <si>
    <t>Depreciable amount</t>
  </si>
  <si>
    <t xml:space="preserve">After Section 179 </t>
  </si>
  <si>
    <t>and Addition</t>
  </si>
  <si>
    <t>Depreciation Allowed</t>
  </si>
  <si>
    <t>Rep. Bred Lvstk Financed in yr 1</t>
  </si>
  <si>
    <t>Rep. Bred Lvstk Financed in yr 15</t>
  </si>
  <si>
    <t>Rep. Bred Lvstk Financed in yr 2</t>
  </si>
  <si>
    <t>Rep. Bred Lvstk Financed in yr 3</t>
  </si>
  <si>
    <t>Rep. Bred Lvstk Financed in yr 4</t>
  </si>
  <si>
    <t>Rep. Bred Lvstk Financed in yr 5</t>
  </si>
  <si>
    <t>Rep. Bred Lvstk Financed in yr 6</t>
  </si>
  <si>
    <t>Rep. Bred Lvstk Financed in yr 7</t>
  </si>
  <si>
    <t>Rep. Bred Lvstk Financed in yr 8</t>
  </si>
  <si>
    <t>Rep. Bred Lvstk Financed in yr 9</t>
  </si>
  <si>
    <t>Rep. Bred Lvstk Financed in yr 10</t>
  </si>
  <si>
    <t>Rep. Bred Lvstk Financed in yr 11</t>
  </si>
  <si>
    <t>Rep. Bred Lvstk Financed in yr 12</t>
  </si>
  <si>
    <t>Rep. Bred Lvstk Financed in yr 13</t>
  </si>
  <si>
    <t>Rep. Bred Lvstk Financed in yr 14</t>
  </si>
  <si>
    <t>Check Sum</t>
  </si>
  <si>
    <r>
      <t>Operating</t>
    </r>
    <r>
      <rPr>
        <b/>
        <sz val="12"/>
        <rFont val="Times New Roman"/>
        <family val="1"/>
      </rPr>
      <t xml:space="preserve"> Costs for a Cow-calf Enterprise</t>
    </r>
  </si>
  <si>
    <t>Deprecation schedules for capital assets can vary termendously by individual and the type of capital asset</t>
  </si>
  <si>
    <t>being depreciated.  To help with entering deprecation precentages on the CowCalf tab of this spreadsheet,</t>
  </si>
  <si>
    <t xml:space="preserve">some common tables for different time periods are listed below.  Please ask your tax accountant for more </t>
  </si>
  <si>
    <t xml:space="preserve">detailed information, if desired.  </t>
  </si>
  <si>
    <t>Common depreciation tables the IRS provides to calculate depreciation for capital assets.</t>
  </si>
  <si>
    <t>Tables are taken from IRS publication 946, for the  2003 tax year.  Check for updates to these schedules</t>
  </si>
  <si>
    <t>Estimated avg. purchase price per head for purchased replacements</t>
  </si>
  <si>
    <r>
      <t xml:space="preserve"> </t>
    </r>
    <r>
      <rPr>
        <b/>
        <sz val="7.9"/>
        <color indexed="8"/>
        <rFont val="Arial"/>
        <family val="0"/>
      </rPr>
      <t xml:space="preserve">Year </t>
    </r>
    <r>
      <rPr>
        <sz val="10"/>
        <rFont val="Helv"/>
        <family val="0"/>
      </rPr>
      <t xml:space="preserve"> </t>
    </r>
  </si>
  <si>
    <r>
      <t xml:space="preserve"> </t>
    </r>
    <r>
      <rPr>
        <b/>
        <sz val="11"/>
        <color indexed="8"/>
        <rFont val="Arial"/>
        <family val="0"/>
      </rPr>
      <t xml:space="preserve">Recovery periods in years </t>
    </r>
    <r>
      <rPr>
        <sz val="11"/>
        <rFont val="Helv"/>
        <family val="0"/>
      </rPr>
      <t xml:space="preserve"> </t>
    </r>
  </si>
  <si>
    <t>Mid-Quarter Convention</t>
  </si>
  <si>
    <t xml:space="preserve"> Year  </t>
  </si>
  <si>
    <r>
      <t xml:space="preserve">Can be used for property </t>
    </r>
    <r>
      <rPr>
        <sz val="10"/>
        <color indexed="10"/>
        <rFont val="Helv"/>
        <family val="0"/>
      </rPr>
      <t>placed in service during any month of the year.</t>
    </r>
  </si>
  <si>
    <r>
      <t xml:space="preserve">Property </t>
    </r>
    <r>
      <rPr>
        <sz val="10"/>
        <color indexed="10"/>
        <rFont val="Helv"/>
        <family val="0"/>
      </rPr>
      <t>Placed in Service in First Quarter</t>
    </r>
  </si>
  <si>
    <r>
      <t xml:space="preserve">Property </t>
    </r>
    <r>
      <rPr>
        <sz val="10"/>
        <color indexed="10"/>
        <rFont val="Helv"/>
        <family val="0"/>
      </rPr>
      <t>Placed in Service in Second Quarter</t>
    </r>
  </si>
  <si>
    <r>
      <t xml:space="preserve">Property </t>
    </r>
    <r>
      <rPr>
        <sz val="10"/>
        <color indexed="10"/>
        <rFont val="Helv"/>
        <family val="0"/>
      </rPr>
      <t>Placed in Service in Third Quarter</t>
    </r>
  </si>
  <si>
    <r>
      <t xml:space="preserve">Property </t>
    </r>
    <r>
      <rPr>
        <sz val="10"/>
        <color indexed="10"/>
        <rFont val="Helv"/>
        <family val="0"/>
      </rPr>
      <t>Placed in Service in Fourth Quarter</t>
    </r>
  </si>
  <si>
    <t>Table A-14. MACRS, GDS 150% Declining Balance Method, Half-Year Convention</t>
  </si>
  <si>
    <t>Table A-15. MACRS, GDS 150% Declining Balance Method</t>
  </si>
  <si>
    <t>Table A-16. MACRS, GDS 150% Declining Balance Method</t>
  </si>
  <si>
    <t>Table A-17. MACRS, GDS 150% Declining Balance Method</t>
  </si>
  <si>
    <t>Table A-18. MACRS, GDS 150% Declining Balance Method</t>
  </si>
  <si>
    <t>at the IRS web site http://www.irs.gov  or with your tax accountant. Numbers in the table are the</t>
  </si>
  <si>
    <t xml:space="preserve">percent taken on the original depreciable balance, after section 179 and other special first year depreciation,  </t>
  </si>
  <si>
    <t xml:space="preserve">for a given year. </t>
  </si>
  <si>
    <t>Base Budget For Cow Calf Operation</t>
  </si>
  <si>
    <t>Calendar Year</t>
  </si>
  <si>
    <t>Production Information</t>
  </si>
  <si>
    <t>Pregnancy percentage</t>
  </si>
  <si>
    <t xml:space="preserve">Number Pregnant After Breeding Season in </t>
  </si>
  <si>
    <t>= January 1 on hand</t>
  </si>
  <si>
    <t>Number Open, culled and sold before winter feeding period</t>
  </si>
  <si>
    <t>Calving Percentage based January 1 cow numbers</t>
  </si>
  <si>
    <t xml:space="preserve">Number cows that calved based on January 1 cows in </t>
  </si>
  <si>
    <t xml:space="preserve">Cull cows sold after calving &amp; before next breeding cycle in </t>
  </si>
  <si>
    <t>Total Cull Cows sold after breeding and/or calving</t>
  </si>
  <si>
    <t>Percent calf loss at calving time</t>
  </si>
  <si>
    <t xml:space="preserve">Number of live calves born in </t>
  </si>
  <si>
    <t>Weaning Percentage based on live calves born</t>
  </si>
  <si>
    <t>Number of Calves Weaned in</t>
  </si>
  <si>
    <t>Replacements Needed</t>
  </si>
  <si>
    <t>Average Cull Rate based on beginning breeding inventory</t>
  </si>
  <si>
    <t>Replacements are Purchased or Raised (P or R)</t>
  </si>
  <si>
    <t>R</t>
  </si>
  <si>
    <t>Replacements Heifers Kept</t>
  </si>
  <si>
    <t>Average No. Cows per Bull, Adjust for No. animals A.I.</t>
  </si>
  <si>
    <t>Number bulls at beginning of Breeding Season</t>
  </si>
  <si>
    <t>Average Purchase Price of Bulls</t>
  </si>
  <si>
    <t>Average Life of Bull, in Years</t>
  </si>
  <si>
    <t>Number bulls on January 1st</t>
  </si>
  <si>
    <t>Breeding Herd Size Beginning of Breeding Season - Include all cows and 1st calf heifers</t>
  </si>
  <si>
    <t>Average Cull Rate based on January 1st breeding inventory</t>
  </si>
  <si>
    <t>Avgerage Percent Death Loss Replacement Hfrs.</t>
  </si>
  <si>
    <t>Avgerage Percent Death Loss Breeding Cows</t>
  </si>
  <si>
    <t>Expected Cull Rate Based on Breeding Stock @ Beginning of Breeding Season</t>
  </si>
  <si>
    <t>Cull Cow Sales, Adjusted for Death Loss</t>
  </si>
  <si>
    <t>Cull Replacement Heifer Sales, Adjusted for Death Loss</t>
  </si>
  <si>
    <t>Raised Weaned Heifers Kept for Replacements/Expansion</t>
  </si>
  <si>
    <r>
      <t xml:space="preserve">Purchased </t>
    </r>
    <r>
      <rPr>
        <b/>
        <sz val="12"/>
        <rFont val="Times New Roman"/>
        <family val="1"/>
      </rPr>
      <t>Bred</t>
    </r>
    <r>
      <rPr>
        <sz val="12"/>
        <rFont val="Times New Roman"/>
        <family val="1"/>
      </rPr>
      <t xml:space="preserve"> Hfrs for Replacement/Expansion</t>
    </r>
  </si>
  <si>
    <t>Subtotal: Feed Costs, Cows + Hfrs in Development</t>
  </si>
  <si>
    <t>Cows &amp; Weaned Hfrs in Development</t>
  </si>
  <si>
    <t>Subtotal of Feed Costs Per Breeding Cow (Cows + Weaned Heifers in Development Program)</t>
  </si>
  <si>
    <r>
      <t>Inventory-Beginning Breeding Season:</t>
    </r>
    <r>
      <rPr>
        <sz val="12"/>
        <rFont val="Times New Roman"/>
        <family val="1"/>
      </rPr>
      <t>Cows &amp; 1st Calf Hfrs</t>
    </r>
  </si>
  <si>
    <t>Current Year Principal From Breeding Livestock Sales</t>
  </si>
  <si>
    <r>
      <t xml:space="preserve">Accumulated principal from breeding livestock sales, </t>
    </r>
    <r>
      <rPr>
        <sz val="10"/>
        <color indexed="10"/>
        <rFont val="Times New Roman"/>
        <family val="1"/>
      </rPr>
      <t>adjusted for purchases</t>
    </r>
  </si>
  <si>
    <t>Sales Principal Used for Breeding Herd Rebuilding/replacements (excludes bulls)</t>
  </si>
  <si>
    <t>Income generated from alternative activities if some or all of the livestock are sold</t>
  </si>
  <si>
    <t>Total Interest Income From Current year Liquidations</t>
  </si>
  <si>
    <r>
      <t xml:space="preserve">Dollar value of investement in </t>
    </r>
    <r>
      <rPr>
        <sz val="10"/>
        <color indexed="10"/>
        <rFont val="Times New Roman"/>
        <family val="1"/>
      </rPr>
      <t>bulls</t>
    </r>
    <r>
      <rPr>
        <sz val="10"/>
        <rFont val="Times New Roman"/>
        <family val="1"/>
      </rPr>
      <t xml:space="preserve"> by year</t>
    </r>
  </si>
  <si>
    <r>
      <t xml:space="preserve">Dollar value of investement in </t>
    </r>
    <r>
      <rPr>
        <sz val="10"/>
        <color indexed="10"/>
        <rFont val="Times New Roman"/>
        <family val="1"/>
      </rPr>
      <t xml:space="preserve">cows </t>
    </r>
    <r>
      <rPr>
        <sz val="10"/>
        <rFont val="Times New Roman"/>
        <family val="1"/>
      </rPr>
      <t>by year</t>
    </r>
  </si>
  <si>
    <t>Total Ownership Costs Per Head (or just total if no cows)</t>
  </si>
  <si>
    <t>Interest, Personal Property Tax</t>
  </si>
  <si>
    <t>Change in Number of Bulls Relative to the Base Year</t>
  </si>
  <si>
    <t>Depreciation: Purchased Bulls, Cows &amp; Hfrs in plan</t>
  </si>
  <si>
    <t xml:space="preserve">                                                  Inflation Adjustment Factors for: Cash Operating Expenses and Capital Replacement such as the purchase price of bulls </t>
  </si>
  <si>
    <t>Total Quantity/Hd.</t>
  </si>
  <si>
    <t>Total Tons Hay Fed</t>
  </si>
  <si>
    <r>
      <t xml:space="preserve">Average Annual Percentage increase in </t>
    </r>
    <r>
      <rPr>
        <sz val="10"/>
        <color indexed="10"/>
        <rFont val="Times New Roman"/>
        <family val="1"/>
      </rPr>
      <t>Cash Operating Costs</t>
    </r>
  </si>
  <si>
    <r>
      <t xml:space="preserve">Average Annual Percentage increase in </t>
    </r>
    <r>
      <rPr>
        <sz val="10"/>
        <color indexed="10"/>
        <rFont val="Times New Roman"/>
        <family val="1"/>
      </rPr>
      <t>Capital Replacement Costs Expenses</t>
    </r>
  </si>
  <si>
    <r>
      <t xml:space="preserve">Number of </t>
    </r>
    <r>
      <rPr>
        <sz val="10"/>
        <color indexed="10"/>
        <rFont val="Times New Roman"/>
        <family val="1"/>
      </rPr>
      <t>NonCull Breeding Animals</t>
    </r>
    <r>
      <rPr>
        <sz val="10"/>
        <rFont val="Times New Roman"/>
        <family val="1"/>
      </rPr>
      <t xml:space="preserve"> Sold, If Any, Sales Assumed as</t>
    </r>
    <r>
      <rPr>
        <b/>
        <sz val="10"/>
        <color indexed="16"/>
        <rFont val="Times New Roman"/>
        <family val="1"/>
      </rPr>
      <t xml:space="preserve"> Bred But Not With Calf</t>
    </r>
  </si>
  <si>
    <t xml:space="preserve">Total AUMs </t>
  </si>
  <si>
    <t>Check figures for total hay and grazing</t>
  </si>
  <si>
    <t>Dollars per AUM of leased grazing</t>
  </si>
  <si>
    <t>Percent of AUMs used in the current operation leased</t>
  </si>
  <si>
    <t>Cost per ton to swath, bale and stack hay put up on the operation</t>
  </si>
  <si>
    <t>AUMs of Grazing, Cows and 1st Calf Heifers</t>
  </si>
  <si>
    <t>Depreciation--Item Name</t>
  </si>
  <si>
    <t>Optimal herd size for this operation</t>
  </si>
  <si>
    <t>Percent of Hay Production Sold if Herd Reduced and Operation Leased</t>
  </si>
  <si>
    <t>USDA</t>
  </si>
  <si>
    <t>Year 2015</t>
  </si>
  <si>
    <t>Year 2020</t>
  </si>
  <si>
    <t>Cash Principal on Purchased Bulls</t>
  </si>
  <si>
    <t xml:space="preserve">  No Depreciation Allowed on bare land</t>
  </si>
  <si>
    <t>Summary of steps necessary to complete this spreadsheet.  Mouse over to see this help message.</t>
  </si>
  <si>
    <t xml:space="preserve">Annual Inflation Rate </t>
  </si>
  <si>
    <t>Annual Interest Rate  = Nominal Rate</t>
  </si>
  <si>
    <t>Help&gt;</t>
  </si>
  <si>
    <t>Inventory - Beginning of Next Breeding Season</t>
  </si>
  <si>
    <t>This spreadsheet in contained in cells A1 through BK275</t>
  </si>
  <si>
    <t>Hay base (included above as $/ton market value)</t>
  </si>
  <si>
    <r>
      <t xml:space="preserve">Ownership </t>
    </r>
    <r>
      <rPr>
        <b/>
        <sz val="12"/>
        <rFont val="Times New Roman"/>
        <family val="1"/>
      </rPr>
      <t>Costs for a Cow-calf Enterprise</t>
    </r>
  </si>
  <si>
    <t>Total for ALL Cows</t>
  </si>
  <si>
    <r>
      <t xml:space="preserve">Cost </t>
    </r>
    <r>
      <rPr>
        <b/>
        <sz val="10"/>
        <color indexed="10"/>
        <rFont val="Times New Roman"/>
        <family val="1"/>
      </rPr>
      <t>Per</t>
    </r>
  </si>
  <si>
    <r>
      <t>Animal</t>
    </r>
    <r>
      <rPr>
        <b/>
        <sz val="10"/>
        <rFont val="Times New Roman"/>
        <family val="1"/>
      </rPr>
      <t xml:space="preserve"> by </t>
    </r>
  </si>
  <si>
    <t>Buildings &amp; Improvements Used for Lvstk</t>
  </si>
  <si>
    <t>Insurance on Machinery and Equipment</t>
  </si>
  <si>
    <t>Insurance on Buildings and Improvements</t>
  </si>
  <si>
    <t>Subtotal Added Cash Outflows From Financing</t>
  </si>
  <si>
    <t>If you do not see a red triangle in the upper right corner of Cell B16, click Tools&gt;Options&gt;the View Tab&gt;Comment indicator only</t>
  </si>
  <si>
    <t>Bull Financing and Depreciation information is contained In Cells  AH90 through BL160</t>
  </si>
  <si>
    <t>Breeding Cow and Replacement Heifer Financing and Depreciation information is contained in Cells  AH20 through BL87</t>
  </si>
  <si>
    <t>Total Revenue</t>
  </si>
  <si>
    <t>Net Returns above Operating Exp.</t>
  </si>
  <si>
    <t>Net Returns above Operating + Ownership Expenses</t>
  </si>
  <si>
    <t>Net Returns above Operating + Ownership + Added Cash Outflows</t>
  </si>
  <si>
    <t>Operating Cost Slider</t>
  </si>
  <si>
    <t>Returns Above Total Operating Costs  (per head) Excluding Value of Replacement Heifer</t>
  </si>
  <si>
    <t>Additional Cash Flow Considerations</t>
  </si>
  <si>
    <t>NonCash Expenses</t>
  </si>
  <si>
    <t>Per Breeding</t>
  </si>
  <si>
    <t>Opportunity Cost Rate of Interest You wish to Charge Yourself'</t>
  </si>
  <si>
    <t>Total Cash Ownership Costs (Taxes and Insurance)</t>
  </si>
  <si>
    <t>NPV of Operating + Total Ownership Expense (T.I.D.I.)</t>
  </si>
  <si>
    <r>
      <t xml:space="preserve">NPV </t>
    </r>
    <r>
      <rPr>
        <u val="single"/>
        <sz val="9"/>
        <rFont val="Times New Roman"/>
        <family val="1"/>
      </rPr>
      <t>Net Returns</t>
    </r>
    <r>
      <rPr>
        <sz val="9"/>
        <rFont val="Times New Roman"/>
        <family val="1"/>
      </rPr>
      <t xml:space="preserve"> above Operating + Total Ownership Expenses</t>
    </r>
  </si>
  <si>
    <r>
      <t xml:space="preserve">Cumulative NPV </t>
    </r>
    <r>
      <rPr>
        <u val="single"/>
        <sz val="9"/>
        <rFont val="Times New Roman"/>
        <family val="1"/>
      </rPr>
      <t>Net Returns</t>
    </r>
    <r>
      <rPr>
        <sz val="9"/>
        <rFont val="Times New Roman"/>
        <family val="1"/>
      </rPr>
      <t xml:space="preserve"> above Operating + Total Ownership Expenses</t>
    </r>
  </si>
  <si>
    <t>Cash Ownership Costs/Hd (Taxes and Insurance-Ownership)</t>
  </si>
  <si>
    <t>Depreciation and Opportunity Cost on Investment--Ownership</t>
  </si>
  <si>
    <r>
      <t xml:space="preserve">Returns/Hd Above </t>
    </r>
    <r>
      <rPr>
        <sz val="11"/>
        <color indexed="10"/>
        <rFont val="Times New Roman"/>
        <family val="1"/>
      </rPr>
      <t xml:space="preserve">Cash </t>
    </r>
    <r>
      <rPr>
        <sz val="11"/>
        <rFont val="Times New Roman"/>
        <family val="1"/>
      </rPr>
      <t>(Operating+Ownership+Principal)</t>
    </r>
  </si>
  <si>
    <t>Returns/Hd Above Operating + Total Ownership Expenses</t>
  </si>
  <si>
    <t>Returns/Hd Above Operating, Taxes, Insurance</t>
  </si>
  <si>
    <t>Returns/Hd Above Operating Exp.</t>
  </si>
  <si>
    <r>
      <t>Per Head</t>
    </r>
    <r>
      <rPr>
        <b/>
        <sz val="12"/>
        <rFont val="Times New Roman"/>
        <family val="1"/>
      </rPr>
      <t xml:space="preserve"> Income, Expense, Cash Flow Estimates (NPV)</t>
    </r>
  </si>
  <si>
    <t>Total Expense Per Head (Cash &amp; NonCash)</t>
  </si>
  <si>
    <t>Principal Payments Per Head (Not an Expense)</t>
  </si>
  <si>
    <t>Total Expense Plus Principal Payments</t>
  </si>
  <si>
    <r>
      <t>Cash Outflows/head-Principal Payments (</t>
    </r>
    <r>
      <rPr>
        <sz val="11"/>
        <color indexed="10"/>
        <rFont val="Times New Roman"/>
        <family val="1"/>
      </rPr>
      <t>Not Expenses</t>
    </r>
    <r>
      <rPr>
        <sz val="11"/>
        <rFont val="Times New Roman"/>
        <family val="1"/>
      </rPr>
      <t>)</t>
    </r>
  </si>
  <si>
    <t>Total Cwt of Calves Produced</t>
  </si>
  <si>
    <t>Other Cwt beef produced.</t>
  </si>
  <si>
    <r>
      <t xml:space="preserve">Total </t>
    </r>
    <r>
      <rPr>
        <b/>
        <sz val="10"/>
        <color indexed="16"/>
        <rFont val="Times New Roman"/>
        <family val="1"/>
      </rPr>
      <t>Pounds</t>
    </r>
    <r>
      <rPr>
        <b/>
        <sz val="10"/>
        <rFont val="Times New Roman"/>
        <family val="1"/>
      </rPr>
      <t xml:space="preserve"> </t>
    </r>
    <r>
      <rPr>
        <sz val="10"/>
        <rFont val="Times New Roman"/>
        <family val="1"/>
      </rPr>
      <t>of Calves Sold</t>
    </r>
  </si>
  <si>
    <t>Projections as of Jan. 2006</t>
  </si>
  <si>
    <t>Income and Expense Estimates</t>
  </si>
  <si>
    <t>Cumulative NPV for:</t>
  </si>
  <si>
    <t>The percentages listed below are percent of the 2005 base price. Estimates of price levels beyond 2014 you must enter on your own.</t>
  </si>
  <si>
    <t>FAPRI</t>
  </si>
  <si>
    <t xml:space="preserve"> 600-650 Lb, Oklahoma City Feeder Steers</t>
  </si>
  <si>
    <t>Harlan Hughes</t>
  </si>
  <si>
    <t xml:space="preserve"> Price Forcast by Harlan Hughes</t>
  </si>
  <si>
    <t xml:space="preserve"> USDA Baseline, Calves on Farms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</si>
</sst>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quot;$&quot;#,##0.00"/>
    <numFmt numFmtId="168" formatCode="&quot;$&quot;#,##0"/>
    <numFmt numFmtId="169" formatCode="0.000"/>
    <numFmt numFmtId="170" formatCode="&quot;$&quot;#,##0.000"/>
    <numFmt numFmtId="171" formatCode="_(&quot;$&quot;* #,##0.0_);_(&quot;$&quot;* \(#,##0.0\);_(&quot;$&quot;* &quot;-&quot;??_);_(@_)"/>
    <numFmt numFmtId="172" formatCode="_(&quot;$&quot;* #,##0_);_(&quot;$&quot;* \(#,##0\);_(&quot;$&quot;* &quot;-&quot;??_);_(@_)"/>
    <numFmt numFmtId="173" formatCode="0.0%"/>
    <numFmt numFmtId="174" formatCode="#,##0.0"/>
    <numFmt numFmtId="175" formatCode="&quot;$&quot;#,##0.0_);\(&quot;$&quot;#,##0.0\)"/>
    <numFmt numFmtId="176" formatCode="_(* #,##0.0_);_(* \(#,##0.0\);_(* &quot;-&quot;??_);_(@_)"/>
    <numFmt numFmtId="177" formatCode="_(* #,##0_);_(* \(#,##0\);_(* &quot;-&quot;??_);_(@_)"/>
    <numFmt numFmtId="178" formatCode="0.0"/>
    <numFmt numFmtId="179" formatCode="0.0000"/>
    <numFmt numFmtId="180" formatCode="&quot;$&quot;#,##0.0"/>
    <numFmt numFmtId="181" formatCode="0.0_)"/>
    <numFmt numFmtId="182" formatCode="#,##0.000"/>
    <numFmt numFmtId="183" formatCode="0.000_)"/>
    <numFmt numFmtId="184" formatCode="0.0000_)"/>
    <numFmt numFmtId="185" formatCode="&quot;$&quot;#,##0.0000_);\(&quot;$&quot;#,##0.0000\)"/>
    <numFmt numFmtId="186" formatCode="&quot;$&quot;#,##0.0000"/>
  </numFmts>
  <fonts count="67">
    <font>
      <sz val="10"/>
      <name val="Helv"/>
      <family val="0"/>
    </font>
    <font>
      <b/>
      <sz val="10"/>
      <name val="Times New Roman"/>
      <family val="0"/>
    </font>
    <font>
      <i/>
      <sz val="10"/>
      <name val="Times New Roman"/>
      <family val="0"/>
    </font>
    <font>
      <b/>
      <i/>
      <sz val="10"/>
      <name val="Times New Roman"/>
      <family val="0"/>
    </font>
    <font>
      <sz val="10"/>
      <name val="Times New Roman"/>
      <family val="0"/>
    </font>
    <font>
      <b/>
      <sz val="10"/>
      <name val="Helv"/>
      <family val="0"/>
    </font>
    <font>
      <b/>
      <sz val="10"/>
      <color indexed="12"/>
      <name val="Times New Roman"/>
      <family val="1"/>
    </font>
    <font>
      <b/>
      <sz val="12"/>
      <name val="Times New Roman"/>
      <family val="1"/>
    </font>
    <font>
      <b/>
      <sz val="10"/>
      <color indexed="10"/>
      <name val="Times New Roman"/>
      <family val="1"/>
    </font>
    <font>
      <sz val="10"/>
      <color indexed="10"/>
      <name val="Times New Roman"/>
      <family val="1"/>
    </font>
    <font>
      <b/>
      <sz val="12"/>
      <color indexed="10"/>
      <name val="Times New Roman"/>
      <family val="1"/>
    </font>
    <font>
      <sz val="8"/>
      <name val="Tahoma"/>
      <family val="0"/>
    </font>
    <font>
      <b/>
      <sz val="8"/>
      <name val="Tahoma"/>
      <family val="0"/>
    </font>
    <font>
      <sz val="12"/>
      <name val="Times New Roman"/>
      <family val="1"/>
    </font>
    <font>
      <b/>
      <sz val="9"/>
      <name val="Times New Roman"/>
      <family val="1"/>
    </font>
    <font>
      <sz val="10"/>
      <color indexed="10"/>
      <name val="Helv"/>
      <family val="0"/>
    </font>
    <font>
      <sz val="2.5"/>
      <name val="Times New Roman"/>
      <family val="1"/>
    </font>
    <font>
      <sz val="2.75"/>
      <name val="Times New Roman"/>
      <family val="0"/>
    </font>
    <font>
      <b/>
      <sz val="10"/>
      <color indexed="8"/>
      <name val="Tahoma"/>
      <family val="2"/>
    </font>
    <font>
      <b/>
      <sz val="10"/>
      <name val="Tahoma"/>
      <family val="2"/>
    </font>
    <font>
      <b/>
      <sz val="10"/>
      <color indexed="10"/>
      <name val="Tahoma"/>
      <family val="2"/>
    </font>
    <font>
      <sz val="10"/>
      <name val="Tahoma"/>
      <family val="2"/>
    </font>
    <font>
      <sz val="10"/>
      <color indexed="8"/>
      <name val="Tahoma"/>
      <family val="2"/>
    </font>
    <font>
      <b/>
      <sz val="3"/>
      <color indexed="10"/>
      <name val="Times New Roman"/>
      <family val="1"/>
    </font>
    <font>
      <b/>
      <sz val="3"/>
      <name val="Times New Roman"/>
      <family val="0"/>
    </font>
    <font>
      <b/>
      <sz val="2.25"/>
      <name val="Times New Roman"/>
      <family val="0"/>
    </font>
    <font>
      <b/>
      <sz val="2.25"/>
      <color indexed="11"/>
      <name val="Times New Roman"/>
      <family val="1"/>
    </font>
    <font>
      <b/>
      <sz val="3"/>
      <color indexed="11"/>
      <name val="Times New Roman"/>
      <family val="1"/>
    </font>
    <font>
      <u val="single"/>
      <sz val="7.5"/>
      <color indexed="12"/>
      <name val="Helv"/>
      <family val="0"/>
    </font>
    <font>
      <u val="single"/>
      <sz val="11"/>
      <color indexed="12"/>
      <name val="Helv"/>
      <family val="0"/>
    </font>
    <font>
      <u val="single"/>
      <sz val="10"/>
      <color indexed="36"/>
      <name val="Helv"/>
      <family val="0"/>
    </font>
    <font>
      <sz val="10"/>
      <color indexed="12"/>
      <name val="Times New Roman"/>
      <family val="1"/>
    </font>
    <font>
      <b/>
      <sz val="12"/>
      <color indexed="16"/>
      <name val="Times New Roman"/>
      <family val="1"/>
    </font>
    <font>
      <b/>
      <sz val="12"/>
      <name val="Boulder"/>
      <family val="0"/>
    </font>
    <font>
      <b/>
      <sz val="10"/>
      <color indexed="16"/>
      <name val="Times New Roman"/>
      <family val="1"/>
    </font>
    <font>
      <sz val="8"/>
      <name val="Helv"/>
      <family val="0"/>
    </font>
    <font>
      <b/>
      <sz val="10"/>
      <color indexed="12"/>
      <name val="Helv"/>
      <family val="0"/>
    </font>
    <font>
      <sz val="10"/>
      <name val="Arial"/>
      <family val="0"/>
    </font>
    <font>
      <b/>
      <sz val="14"/>
      <name val="Arial"/>
      <family val="2"/>
    </font>
    <font>
      <b/>
      <sz val="10"/>
      <name val="Arial"/>
      <family val="2"/>
    </font>
    <font>
      <sz val="10"/>
      <color indexed="12"/>
      <name val="Arial"/>
      <family val="2"/>
    </font>
    <font>
      <sz val="9"/>
      <name val="Times New Roman"/>
      <family val="1"/>
    </font>
    <font>
      <b/>
      <sz val="22"/>
      <name val="Times New Roman"/>
      <family val="1"/>
    </font>
    <font>
      <b/>
      <sz val="10"/>
      <color indexed="10"/>
      <name val="Helv"/>
      <family val="0"/>
    </font>
    <font>
      <sz val="9"/>
      <color indexed="10"/>
      <name val="Times New Roman"/>
      <family val="1"/>
    </font>
    <font>
      <u val="single"/>
      <sz val="9"/>
      <name val="Times New Roman"/>
      <family val="1"/>
    </font>
    <font>
      <b/>
      <sz val="11"/>
      <name val="Times New Roman"/>
      <family val="1"/>
    </font>
    <font>
      <b/>
      <sz val="11"/>
      <color indexed="10"/>
      <name val="Times New Roman"/>
      <family val="1"/>
    </font>
    <font>
      <sz val="8"/>
      <name val="Times New Roman"/>
      <family val="0"/>
    </font>
    <font>
      <b/>
      <sz val="16"/>
      <name val="Times New Roman"/>
      <family val="1"/>
    </font>
    <font>
      <b/>
      <sz val="12"/>
      <name val="Arial"/>
      <family val="2"/>
    </font>
    <font>
      <sz val="10"/>
      <color indexed="10"/>
      <name val="Tahoma"/>
      <family val="2"/>
    </font>
    <font>
      <sz val="10"/>
      <color indexed="12"/>
      <name val="Helv"/>
      <family val="0"/>
    </font>
    <font>
      <b/>
      <sz val="7.9"/>
      <color indexed="8"/>
      <name val="Arial"/>
      <family val="0"/>
    </font>
    <font>
      <sz val="11"/>
      <name val="Helv"/>
      <family val="0"/>
    </font>
    <font>
      <b/>
      <sz val="11"/>
      <color indexed="8"/>
      <name val="Arial"/>
      <family val="0"/>
    </font>
    <font>
      <b/>
      <sz val="10"/>
      <color indexed="12"/>
      <name val="Arial"/>
      <family val="2"/>
    </font>
    <font>
      <sz val="11.75"/>
      <name val="Arial"/>
      <family val="0"/>
    </font>
    <font>
      <b/>
      <sz val="10"/>
      <color indexed="16"/>
      <name val="Tahoma"/>
      <family val="2"/>
    </font>
    <font>
      <b/>
      <sz val="8"/>
      <color indexed="8"/>
      <name val="Arial"/>
      <family val="2"/>
    </font>
    <font>
      <sz val="9"/>
      <name val="Helv"/>
      <family val="0"/>
    </font>
    <font>
      <b/>
      <sz val="8"/>
      <color indexed="10"/>
      <name val="Times New Roman"/>
      <family val="1"/>
    </font>
    <font>
      <b/>
      <sz val="8"/>
      <name val="Times New Roman"/>
      <family val="1"/>
    </font>
    <font>
      <sz val="11"/>
      <name val="Times New Roman"/>
      <family val="1"/>
    </font>
    <font>
      <b/>
      <sz val="14"/>
      <name val="Times New Roman"/>
      <family val="1"/>
    </font>
    <font>
      <sz val="11"/>
      <color indexed="10"/>
      <name val="Times New Roman"/>
      <family val="1"/>
    </font>
    <font>
      <b/>
      <sz val="8"/>
      <name val="Helv"/>
      <family val="2"/>
    </font>
  </fonts>
  <fills count="19">
    <fill>
      <patternFill/>
    </fill>
    <fill>
      <patternFill patternType="gray125"/>
    </fill>
    <fill>
      <patternFill patternType="solid">
        <fgColor indexed="31"/>
        <bgColor indexed="64"/>
      </patternFill>
    </fill>
    <fill>
      <patternFill patternType="solid">
        <fgColor indexed="16"/>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6"/>
        <bgColor indexed="64"/>
      </patternFill>
    </fill>
    <fill>
      <patternFill patternType="solid">
        <fgColor indexed="60"/>
        <bgColor indexed="64"/>
      </patternFill>
    </fill>
    <fill>
      <patternFill patternType="lightGray">
        <fgColor indexed="9"/>
        <bgColor indexed="43"/>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s>
  <borders count="80">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double">
        <color indexed="8"/>
      </bottom>
    </border>
    <border>
      <left>
        <color indexed="63"/>
      </left>
      <right style="hair">
        <color indexed="12"/>
      </right>
      <top style="hair">
        <color indexed="12"/>
      </top>
      <bottom style="hair">
        <color indexed="12"/>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style="medium">
        <color indexed="8"/>
      </top>
      <bottom>
        <color indexed="63"/>
      </bottom>
    </border>
    <border>
      <left>
        <color indexed="63"/>
      </left>
      <right>
        <color indexed="63"/>
      </right>
      <top style="thin"/>
      <bottom style="thin"/>
    </border>
    <border>
      <left style="medium">
        <color indexed="8"/>
      </left>
      <right style="double">
        <color indexed="10"/>
      </right>
      <top style="medium">
        <color indexed="8"/>
      </top>
      <bottom style="hair">
        <color indexed="12"/>
      </bottom>
    </border>
    <border>
      <left style="double">
        <color indexed="10"/>
      </left>
      <right style="hair">
        <color indexed="12"/>
      </right>
      <top style="medium">
        <color indexed="8"/>
      </top>
      <bottom style="hair">
        <color indexed="12"/>
      </bottom>
    </border>
    <border>
      <left style="hair">
        <color indexed="12"/>
      </left>
      <right style="hair">
        <color indexed="12"/>
      </right>
      <top style="medium">
        <color indexed="8"/>
      </top>
      <bottom style="hair">
        <color indexed="12"/>
      </bottom>
    </border>
    <border>
      <left style="hair">
        <color indexed="12"/>
      </left>
      <right style="medium">
        <color indexed="8"/>
      </right>
      <top style="medium">
        <color indexed="8"/>
      </top>
      <bottom style="hair">
        <color indexed="12"/>
      </bottom>
    </border>
    <border>
      <left style="medium">
        <color indexed="8"/>
      </left>
      <right style="double">
        <color indexed="10"/>
      </right>
      <top style="hair">
        <color indexed="12"/>
      </top>
      <bottom style="hair">
        <color indexed="12"/>
      </bottom>
    </border>
    <border>
      <left style="double">
        <color indexed="10"/>
      </left>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medium">
        <color indexed="8"/>
      </right>
      <top style="hair">
        <color indexed="12"/>
      </top>
      <bottom style="hair">
        <color indexed="12"/>
      </bottom>
    </border>
    <border>
      <left style="medium">
        <color indexed="8"/>
      </left>
      <right style="double">
        <color indexed="10"/>
      </right>
      <top style="hair">
        <color indexed="12"/>
      </top>
      <bottom style="medium">
        <color indexed="8"/>
      </bottom>
    </border>
    <border>
      <left style="double">
        <color indexed="10"/>
      </left>
      <right style="hair">
        <color indexed="12"/>
      </right>
      <top style="hair">
        <color indexed="12"/>
      </top>
      <bottom style="medium"/>
    </border>
    <border>
      <left style="hair">
        <color indexed="12"/>
      </left>
      <right style="hair">
        <color indexed="12"/>
      </right>
      <top style="hair">
        <color indexed="12"/>
      </top>
      <bottom style="medium"/>
    </border>
    <border>
      <left style="hair">
        <color indexed="12"/>
      </left>
      <right style="hair">
        <color indexed="12"/>
      </right>
      <top style="hair">
        <color indexed="12"/>
      </top>
      <bottom style="medium">
        <color indexed="8"/>
      </bottom>
    </border>
    <border>
      <left style="hair">
        <color indexed="12"/>
      </left>
      <right style="medium">
        <color indexed="8"/>
      </right>
      <top style="hair">
        <color indexed="12"/>
      </top>
      <bottom style="medium"/>
    </border>
    <border>
      <left style="thin"/>
      <right style="hair">
        <color indexed="12"/>
      </right>
      <top style="thin"/>
      <bottom>
        <color indexed="63"/>
      </bottom>
    </border>
    <border>
      <left style="thin"/>
      <right>
        <color indexed="63"/>
      </right>
      <top>
        <color indexed="63"/>
      </top>
      <bottom style="hair">
        <color indexed="12"/>
      </bottom>
    </border>
    <border>
      <left>
        <color indexed="63"/>
      </left>
      <right>
        <color indexed="63"/>
      </right>
      <top style="double"/>
      <bottom>
        <color indexed="63"/>
      </bottom>
    </border>
    <border>
      <left style="thin"/>
      <right style="thin"/>
      <top style="hair">
        <color indexed="12"/>
      </top>
      <bottom style="hair">
        <color indexed="12"/>
      </bottom>
    </border>
    <border>
      <left style="hair">
        <color indexed="12"/>
      </left>
      <right style="thin"/>
      <top style="hair">
        <color indexed="12"/>
      </top>
      <bottom style="hair">
        <color indexed="12"/>
      </bottom>
    </border>
    <border>
      <left style="hair">
        <color indexed="12"/>
      </left>
      <right style="thin"/>
      <top style="hair">
        <color indexed="12"/>
      </top>
      <bottom style="thin"/>
    </border>
    <border>
      <left style="hair">
        <color indexed="12"/>
      </left>
      <right style="thin"/>
      <top style="thin"/>
      <bottom style="hair">
        <color indexed="12"/>
      </bottom>
    </border>
    <border>
      <left style="hair">
        <color indexed="12"/>
      </left>
      <right style="hair">
        <color indexed="12"/>
      </right>
      <top style="thin"/>
      <bottom style="hair">
        <color indexed="12"/>
      </bottom>
    </border>
    <border>
      <left style="hair">
        <color indexed="12"/>
      </left>
      <right style="hair">
        <color indexed="12"/>
      </right>
      <top style="hair">
        <color indexed="12"/>
      </top>
      <bottom style="thin"/>
    </border>
    <border>
      <left style="thin"/>
      <right style="hair">
        <color indexed="12"/>
      </right>
      <top style="thin"/>
      <bottom style="hair">
        <color indexed="12"/>
      </bottom>
    </border>
    <border>
      <left style="thin"/>
      <right style="hair">
        <color indexed="12"/>
      </right>
      <top style="hair">
        <color indexed="12"/>
      </top>
      <bottom style="hair">
        <color indexed="12"/>
      </bottom>
    </border>
    <border>
      <left style="thin"/>
      <right style="hair">
        <color indexed="12"/>
      </right>
      <top style="hair">
        <color indexed="12"/>
      </top>
      <bottom style="thin"/>
    </border>
    <border>
      <left style="hair">
        <color indexed="12"/>
      </left>
      <right style="hair">
        <color indexed="12"/>
      </right>
      <top>
        <color indexed="63"/>
      </top>
      <bottom style="hair">
        <color indexed="12"/>
      </bottom>
    </border>
    <border>
      <left style="hair">
        <color indexed="12"/>
      </left>
      <right style="thin"/>
      <top>
        <color indexed="63"/>
      </top>
      <bottom style="hair">
        <color indexed="12"/>
      </bottom>
    </border>
    <border>
      <left style="thin"/>
      <right style="thin"/>
      <top style="thin"/>
      <bottom style="hair">
        <color indexed="12"/>
      </bottom>
    </border>
    <border>
      <left style="thin"/>
      <right style="thin"/>
      <top>
        <color indexed="63"/>
      </top>
      <bottom style="hair">
        <color indexed="12"/>
      </bottom>
    </border>
    <border>
      <left style="thin"/>
      <right style="thin"/>
      <top style="hair">
        <color indexed="12"/>
      </top>
      <bottom style="thin"/>
    </border>
    <border>
      <left style="thin">
        <color indexed="8"/>
      </left>
      <right style="hair">
        <color indexed="12"/>
      </right>
      <top style="thin">
        <color indexed="8"/>
      </top>
      <bottom style="hair">
        <color indexed="12"/>
      </bottom>
    </border>
    <border>
      <left style="hair">
        <color indexed="12"/>
      </left>
      <right style="hair">
        <color indexed="12"/>
      </right>
      <top style="thin">
        <color indexed="8"/>
      </top>
      <bottom style="hair">
        <color indexed="12"/>
      </bottom>
    </border>
    <border>
      <left style="thin">
        <color indexed="8"/>
      </left>
      <right style="hair">
        <color indexed="12"/>
      </right>
      <top style="hair">
        <color indexed="12"/>
      </top>
      <bottom style="thin">
        <color indexed="8"/>
      </bottom>
    </border>
    <border>
      <left style="hair">
        <color indexed="12"/>
      </left>
      <right style="hair">
        <color indexed="12"/>
      </right>
      <top style="hair">
        <color indexed="12"/>
      </top>
      <bottom style="thin">
        <color indexed="8"/>
      </bottom>
    </border>
    <border>
      <left style="hair">
        <color indexed="12"/>
      </left>
      <right style="thin">
        <color indexed="8"/>
      </right>
      <top style="hair">
        <color indexed="12"/>
      </top>
      <bottom style="thin">
        <color indexed="8"/>
      </bottom>
    </border>
    <border>
      <left style="thin">
        <color indexed="8"/>
      </left>
      <right style="hair">
        <color indexed="12"/>
      </right>
      <top style="thin">
        <color indexed="8"/>
      </top>
      <bottom style="thin">
        <color indexed="8"/>
      </bottom>
    </border>
    <border>
      <left style="hair">
        <color indexed="12"/>
      </left>
      <right style="hair">
        <color indexed="12"/>
      </right>
      <top style="thin">
        <color indexed="8"/>
      </top>
      <bottom style="thin">
        <color indexed="8"/>
      </bottom>
    </border>
    <border>
      <left>
        <color indexed="63"/>
      </left>
      <right>
        <color indexed="63"/>
      </right>
      <top style="medium">
        <color indexed="8"/>
      </top>
      <bottom style="hair">
        <color indexed="12"/>
      </bottom>
    </border>
    <border>
      <left>
        <color indexed="63"/>
      </left>
      <right>
        <color indexed="63"/>
      </right>
      <top style="hair">
        <color indexed="12"/>
      </top>
      <bottom style="hair">
        <color indexed="12"/>
      </bottom>
    </border>
    <border>
      <left style="double">
        <color indexed="10"/>
      </left>
      <right>
        <color indexed="63"/>
      </right>
      <top style="hair">
        <color indexed="12"/>
      </top>
      <bottom style="medium">
        <color indexed="8"/>
      </bottom>
    </border>
    <border>
      <left>
        <color indexed="63"/>
      </left>
      <right style="double">
        <color indexed="10"/>
      </right>
      <top style="hair">
        <color indexed="12"/>
      </top>
      <bottom style="medium">
        <color indexed="8"/>
      </bottom>
    </border>
    <border>
      <left style="thick">
        <color indexed="16"/>
      </left>
      <right>
        <color indexed="63"/>
      </right>
      <top>
        <color indexed="63"/>
      </top>
      <bottom>
        <color indexed="63"/>
      </bottom>
    </border>
    <border>
      <left style="thick">
        <color indexed="16"/>
      </left>
      <right>
        <color indexed="63"/>
      </right>
      <top>
        <color indexed="63"/>
      </top>
      <bottom style="double"/>
    </border>
    <border>
      <left>
        <color indexed="63"/>
      </left>
      <right style="thin"/>
      <top>
        <color indexed="63"/>
      </top>
      <bottom style="double"/>
    </border>
    <border>
      <left style="thin"/>
      <right style="hair">
        <color indexed="12"/>
      </right>
      <top>
        <color indexed="63"/>
      </top>
      <bottom style="thin"/>
    </border>
    <border>
      <left style="hair">
        <color indexed="12"/>
      </left>
      <right style="hair">
        <color indexed="12"/>
      </right>
      <top>
        <color indexed="63"/>
      </top>
      <bottom style="thin"/>
    </border>
    <border>
      <left style="hair">
        <color indexed="12"/>
      </left>
      <right style="thin"/>
      <top>
        <color indexed="63"/>
      </top>
      <bottom style="thin"/>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hair">
        <color indexed="12"/>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hair">
        <color indexed="12"/>
      </right>
      <top>
        <color indexed="63"/>
      </top>
      <bottom style="hair">
        <color indexed="12"/>
      </bottom>
    </border>
    <border>
      <left style="thin">
        <color indexed="8"/>
      </left>
      <right style="thin">
        <color indexed="8"/>
      </right>
      <top style="hair">
        <color indexed="12"/>
      </top>
      <bottom style="hair">
        <color indexed="12"/>
      </bottom>
    </border>
    <border>
      <left style="thin">
        <color indexed="8"/>
      </left>
      <right style="thin">
        <color indexed="8"/>
      </right>
      <top style="hair">
        <color indexed="12"/>
      </top>
      <bottom style="thin">
        <color indexed="8"/>
      </bottom>
    </border>
    <border>
      <left style="thin">
        <color indexed="8"/>
      </left>
      <right style="thin">
        <color indexed="8"/>
      </right>
      <top>
        <color indexed="63"/>
      </top>
      <bottom style="hair">
        <color indexed="12"/>
      </bottom>
    </border>
    <border>
      <left style="hair">
        <color indexed="12"/>
      </left>
      <right style="hair">
        <color indexed="12"/>
      </right>
      <top style="thin"/>
      <bottom style="thin"/>
    </border>
    <border>
      <left style="hair">
        <color indexed="12"/>
      </left>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7" fillId="0" borderId="0">
      <alignment/>
      <protection/>
    </xf>
    <xf numFmtId="0" fontId="13" fillId="0" borderId="0">
      <alignment/>
      <protection/>
    </xf>
    <xf numFmtId="9" fontId="4" fillId="0" borderId="0" applyFont="0" applyFill="0" applyBorder="0" applyAlignment="0" applyProtection="0"/>
  </cellStyleXfs>
  <cellXfs count="593">
    <xf numFmtId="164" fontId="0" fillId="0" borderId="0" xfId="0" applyAlignment="1">
      <alignment/>
    </xf>
    <xf numFmtId="164" fontId="4" fillId="0" borderId="0" xfId="0" applyNumberFormat="1" applyFont="1" applyAlignment="1" applyProtection="1">
      <alignment horizontal="left"/>
      <protection/>
    </xf>
    <xf numFmtId="164" fontId="1" fillId="0" borderId="0" xfId="0" applyNumberFormat="1" applyFont="1" applyAlignment="1" applyProtection="1">
      <alignment horizontal="left"/>
      <protection/>
    </xf>
    <xf numFmtId="164" fontId="1" fillId="0" borderId="0" xfId="0" applyNumberFormat="1" applyFont="1" applyAlignment="1" applyProtection="1">
      <alignment/>
      <protection/>
    </xf>
    <xf numFmtId="164" fontId="1" fillId="0" borderId="0" xfId="0" applyNumberFormat="1" applyFont="1" applyAlignment="1" applyProtection="1">
      <alignment horizontal="center"/>
      <protection/>
    </xf>
    <xf numFmtId="5" fontId="4" fillId="0" borderId="0" xfId="0" applyNumberFormat="1" applyFont="1" applyAlignment="1" applyProtection="1">
      <alignment/>
      <protection/>
    </xf>
    <xf numFmtId="7" fontId="4" fillId="0" borderId="0" xfId="0" applyNumberFormat="1" applyFont="1" applyAlignment="1" applyProtection="1">
      <alignment horizontal="left"/>
      <protection/>
    </xf>
    <xf numFmtId="7" fontId="4" fillId="0" borderId="0" xfId="0" applyNumberFormat="1" applyFont="1" applyAlignment="1" applyProtection="1">
      <alignment/>
      <protection/>
    </xf>
    <xf numFmtId="164" fontId="6" fillId="0" borderId="0" xfId="0" applyNumberFormat="1" applyFont="1" applyAlignment="1" applyProtection="1">
      <alignment/>
      <protection/>
    </xf>
    <xf numFmtId="164" fontId="1" fillId="0" borderId="0" xfId="0" applyNumberFormat="1" applyFont="1" applyAlignment="1" applyProtection="1">
      <alignment horizontal="right"/>
      <protection/>
    </xf>
    <xf numFmtId="164" fontId="4" fillId="0" borderId="0" xfId="0" applyNumberFormat="1" applyFont="1" applyAlignment="1" applyProtection="1">
      <alignment/>
      <protection/>
    </xf>
    <xf numFmtId="164" fontId="7" fillId="0" borderId="0" xfId="0" applyNumberFormat="1" applyFont="1" applyAlignment="1" applyProtection="1">
      <alignment horizontal="left"/>
      <protection/>
    </xf>
    <xf numFmtId="5" fontId="1" fillId="0" borderId="0" xfId="0" applyNumberFormat="1" applyFont="1" applyAlignment="1" applyProtection="1">
      <alignment/>
      <protection/>
    </xf>
    <xf numFmtId="164" fontId="4" fillId="2" borderId="0" xfId="0" applyNumberFormat="1" applyFont="1" applyFill="1" applyAlignment="1" applyProtection="1">
      <alignment/>
      <protection/>
    </xf>
    <xf numFmtId="164" fontId="7" fillId="2" borderId="0" xfId="0" applyNumberFormat="1" applyFont="1" applyFill="1" applyAlignment="1" applyProtection="1">
      <alignment horizontal="left"/>
      <protection/>
    </xf>
    <xf numFmtId="164" fontId="1" fillId="2" borderId="0" xfId="0" applyNumberFormat="1" applyFont="1" applyFill="1" applyAlignment="1" applyProtection="1">
      <alignment/>
      <protection/>
    </xf>
    <xf numFmtId="164" fontId="1" fillId="3" borderId="0" xfId="0" applyNumberFormat="1" applyFont="1" applyFill="1" applyAlignment="1" applyProtection="1">
      <alignment horizontal="center"/>
      <protection/>
    </xf>
    <xf numFmtId="164" fontId="1" fillId="4" borderId="0" xfId="0" applyNumberFormat="1" applyFont="1" applyFill="1" applyAlignment="1" applyProtection="1">
      <alignment/>
      <protection/>
    </xf>
    <xf numFmtId="164" fontId="1" fillId="0" borderId="0" xfId="0" applyNumberFormat="1" applyFont="1" applyFill="1" applyAlignment="1" applyProtection="1">
      <alignment horizontal="left"/>
      <protection/>
    </xf>
    <xf numFmtId="164" fontId="1" fillId="0" borderId="0" xfId="0" applyNumberFormat="1" applyFont="1" applyFill="1" applyAlignment="1" applyProtection="1">
      <alignment/>
      <protection/>
    </xf>
    <xf numFmtId="5" fontId="1" fillId="0" borderId="0" xfId="0" applyNumberFormat="1" applyFont="1" applyAlignment="1" applyProtection="1">
      <alignment horizontal="center"/>
      <protection/>
    </xf>
    <xf numFmtId="7" fontId="1" fillId="0" borderId="0" xfId="0" applyNumberFormat="1" applyFont="1" applyFill="1" applyAlignment="1" applyProtection="1">
      <alignment/>
      <protection/>
    </xf>
    <xf numFmtId="164" fontId="8" fillId="0" borderId="0" xfId="0" applyNumberFormat="1" applyFont="1" applyBorder="1" applyAlignment="1" applyProtection="1">
      <alignment/>
      <protection/>
    </xf>
    <xf numFmtId="164" fontId="8" fillId="0" borderId="0" xfId="0" applyNumberFormat="1" applyFont="1" applyBorder="1" applyAlignment="1" applyProtection="1">
      <alignment horizontal="left"/>
      <protection/>
    </xf>
    <xf numFmtId="164" fontId="13" fillId="0" borderId="0" xfId="0" applyNumberFormat="1" applyFont="1" applyAlignment="1" applyProtection="1">
      <alignment horizontal="left"/>
      <protection/>
    </xf>
    <xf numFmtId="164" fontId="4" fillId="5" borderId="0" xfId="0" applyNumberFormat="1" applyFont="1" applyFill="1" applyAlignment="1" applyProtection="1">
      <alignment/>
      <protection/>
    </xf>
    <xf numFmtId="164" fontId="1" fillId="5" borderId="0" xfId="0" applyNumberFormat="1" applyFont="1" applyFill="1" applyAlignment="1" applyProtection="1">
      <alignment/>
      <protection/>
    </xf>
    <xf numFmtId="7" fontId="4" fillId="5" borderId="0" xfId="0" applyNumberFormat="1" applyFont="1" applyFill="1" applyAlignment="1" applyProtection="1">
      <alignment/>
      <protection/>
    </xf>
    <xf numFmtId="7" fontId="1" fillId="0" borderId="0" xfId="0" applyNumberFormat="1" applyFont="1" applyAlignment="1" applyProtection="1">
      <alignment horizontal="center"/>
      <protection/>
    </xf>
    <xf numFmtId="164" fontId="8" fillId="6" borderId="0" xfId="0" applyNumberFormat="1" applyFont="1" applyFill="1" applyAlignment="1" applyProtection="1">
      <alignment horizontal="left"/>
      <protection/>
    </xf>
    <xf numFmtId="164" fontId="10" fillId="7" borderId="0" xfId="0" applyNumberFormat="1" applyFont="1" applyFill="1" applyAlignment="1" applyProtection="1">
      <alignment horizontal="left"/>
      <protection/>
    </xf>
    <xf numFmtId="164" fontId="6" fillId="6" borderId="0" xfId="0" applyNumberFormat="1" applyFont="1" applyFill="1" applyBorder="1" applyAlignment="1" applyProtection="1">
      <alignment/>
      <protection/>
    </xf>
    <xf numFmtId="164" fontId="1" fillId="6" borderId="0" xfId="0" applyNumberFormat="1" applyFont="1" applyFill="1" applyAlignment="1" applyProtection="1">
      <alignment horizontal="center"/>
      <protection/>
    </xf>
    <xf numFmtId="164" fontId="1" fillId="0" borderId="0" xfId="0" applyNumberFormat="1" applyFont="1" applyFill="1" applyAlignment="1" applyProtection="1">
      <alignment horizontal="right"/>
      <protection/>
    </xf>
    <xf numFmtId="164" fontId="7" fillId="0" borderId="0" xfId="0" applyNumberFormat="1" applyFont="1" applyFill="1" applyAlignment="1" applyProtection="1">
      <alignment/>
      <protection/>
    </xf>
    <xf numFmtId="164" fontId="1" fillId="0" borderId="0" xfId="0" applyFont="1" applyAlignment="1" applyProtection="1">
      <alignment/>
      <protection/>
    </xf>
    <xf numFmtId="164" fontId="0" fillId="0" borderId="0" xfId="0" applyAlignment="1" applyProtection="1">
      <alignment/>
      <protection/>
    </xf>
    <xf numFmtId="164" fontId="1" fillId="0" borderId="0" xfId="0" applyFont="1" applyAlignment="1" applyProtection="1">
      <alignment horizontal="left"/>
      <protection/>
    </xf>
    <xf numFmtId="164" fontId="1" fillId="0" borderId="0" xfId="0" applyFont="1" applyBorder="1" applyAlignment="1" applyProtection="1">
      <alignment/>
      <protection/>
    </xf>
    <xf numFmtId="164" fontId="4" fillId="0" borderId="0" xfId="0" applyFont="1" applyAlignment="1" applyProtection="1">
      <alignment/>
      <protection/>
    </xf>
    <xf numFmtId="164" fontId="4" fillId="0" borderId="0" xfId="0" applyFont="1" applyFill="1" applyAlignment="1" applyProtection="1">
      <alignment/>
      <protection/>
    </xf>
    <xf numFmtId="164" fontId="4" fillId="0" borderId="0" xfId="0" applyFont="1" applyBorder="1" applyAlignment="1" applyProtection="1">
      <alignment/>
      <protection/>
    </xf>
    <xf numFmtId="7" fontId="1" fillId="0" borderId="0" xfId="0" applyNumberFormat="1" applyFont="1" applyFill="1" applyBorder="1" applyAlignment="1" applyProtection="1">
      <alignment horizontal="center"/>
      <protection/>
    </xf>
    <xf numFmtId="37" fontId="1" fillId="0" borderId="0" xfId="0" applyNumberFormat="1" applyFont="1" applyAlignment="1" applyProtection="1">
      <alignment horizontal="center"/>
      <protection/>
    </xf>
    <xf numFmtId="164" fontId="10" fillId="0" borderId="0" xfId="0" applyNumberFormat="1" applyFont="1" applyAlignment="1" applyProtection="1">
      <alignment horizontal="left"/>
      <protection/>
    </xf>
    <xf numFmtId="164" fontId="1" fillId="0" borderId="0" xfId="0" applyFont="1" applyFill="1" applyAlignment="1" applyProtection="1">
      <alignment/>
      <protection/>
    </xf>
    <xf numFmtId="164" fontId="1" fillId="0" borderId="0" xfId="0" applyFont="1" applyAlignment="1" applyProtection="1">
      <alignment horizontal="center"/>
      <protection/>
    </xf>
    <xf numFmtId="164" fontId="1" fillId="8" borderId="0" xfId="0" applyNumberFormat="1" applyFont="1" applyFill="1" applyAlignment="1" applyProtection="1">
      <alignment/>
      <protection/>
    </xf>
    <xf numFmtId="165" fontId="1" fillId="0" borderId="0" xfId="0" applyNumberFormat="1" applyFont="1" applyAlignment="1" applyProtection="1">
      <alignment horizontal="center"/>
      <protection/>
    </xf>
    <xf numFmtId="7" fontId="1" fillId="0" borderId="0" xfId="0" applyNumberFormat="1" applyFont="1" applyAlignment="1" applyProtection="1">
      <alignment horizontal="left"/>
      <protection/>
    </xf>
    <xf numFmtId="37" fontId="1" fillId="8" borderId="0" xfId="0" applyNumberFormat="1" applyFont="1" applyFill="1" applyAlignment="1" applyProtection="1">
      <alignment horizontal="center"/>
      <protection/>
    </xf>
    <xf numFmtId="164" fontId="1" fillId="8" borderId="0" xfId="0" applyNumberFormat="1" applyFont="1" applyFill="1" applyAlignment="1" applyProtection="1">
      <alignment horizontal="center"/>
      <protection/>
    </xf>
    <xf numFmtId="164" fontId="1" fillId="0" borderId="0" xfId="0" applyFont="1" applyAlignment="1" applyProtection="1">
      <alignment horizontal="right"/>
      <protection/>
    </xf>
    <xf numFmtId="2" fontId="5" fillId="0" borderId="0" xfId="0" applyNumberFormat="1" applyFont="1" applyFill="1" applyAlignment="1" applyProtection="1">
      <alignment horizontal="center"/>
      <protection/>
    </xf>
    <xf numFmtId="164" fontId="1" fillId="6" borderId="0" xfId="0" applyFont="1" applyFill="1" applyAlignment="1" applyProtection="1">
      <alignment/>
      <protection/>
    </xf>
    <xf numFmtId="5" fontId="1" fillId="6" borderId="0" xfId="0" applyNumberFormat="1" applyFont="1" applyFill="1" applyAlignment="1" applyProtection="1">
      <alignment horizontal="center"/>
      <protection/>
    </xf>
    <xf numFmtId="7" fontId="1" fillId="0" borderId="0" xfId="0" applyNumberFormat="1" applyFont="1" applyBorder="1" applyAlignment="1" applyProtection="1">
      <alignment horizontal="center"/>
      <protection/>
    </xf>
    <xf numFmtId="164" fontId="29" fillId="0" borderId="0" xfId="20" applyFont="1" applyAlignment="1" applyProtection="1">
      <alignment/>
      <protection/>
    </xf>
    <xf numFmtId="165" fontId="1" fillId="8" borderId="0" xfId="0" applyNumberFormat="1" applyFont="1" applyFill="1" applyAlignment="1" applyProtection="1">
      <alignment horizontal="center"/>
      <protection/>
    </xf>
    <xf numFmtId="164" fontId="1" fillId="0" borderId="0" xfId="0" applyNumberFormat="1" applyFont="1" applyBorder="1" applyAlignment="1" applyProtection="1">
      <alignment horizontal="left"/>
      <protection/>
    </xf>
    <xf numFmtId="164" fontId="4" fillId="0" borderId="0" xfId="0" applyFont="1" applyAlignment="1" applyProtection="1">
      <alignment horizontal="center"/>
      <protection/>
    </xf>
    <xf numFmtId="164" fontId="1" fillId="0" borderId="0" xfId="0" applyNumberFormat="1" applyFont="1" applyFill="1" applyAlignment="1" applyProtection="1">
      <alignment horizontal="center"/>
      <protection/>
    </xf>
    <xf numFmtId="164" fontId="4" fillId="0" borderId="1" xfId="0" applyFont="1" applyBorder="1" applyAlignment="1" applyProtection="1">
      <alignment horizontal="center"/>
      <protection/>
    </xf>
    <xf numFmtId="164" fontId="13" fillId="0" borderId="0" xfId="0" applyNumberFormat="1" applyFont="1" applyAlignment="1" applyProtection="1">
      <alignment horizontal="right"/>
      <protection/>
    </xf>
    <xf numFmtId="164" fontId="13" fillId="0" borderId="0" xfId="0" applyNumberFormat="1" applyFont="1" applyAlignment="1" applyProtection="1">
      <alignment horizontal="center"/>
      <protection/>
    </xf>
    <xf numFmtId="164" fontId="1" fillId="0" borderId="0" xfId="0" applyNumberFormat="1" applyFont="1" applyFill="1" applyAlignment="1" applyProtection="1">
      <alignment horizontal="centerContinuous"/>
      <protection/>
    </xf>
    <xf numFmtId="3" fontId="4" fillId="0" borderId="0" xfId="0" applyNumberFormat="1" applyFont="1" applyAlignment="1" applyProtection="1">
      <alignment horizontal="center"/>
      <protection/>
    </xf>
    <xf numFmtId="164" fontId="4" fillId="0" borderId="0" xfId="0" applyNumberFormat="1" applyFont="1" applyAlignment="1" applyProtection="1">
      <alignment horizontal="center"/>
      <protection/>
    </xf>
    <xf numFmtId="5" fontId="4" fillId="0" borderId="0" xfId="0" applyNumberFormat="1" applyFont="1" applyAlignment="1" applyProtection="1">
      <alignment horizontal="center"/>
      <protection/>
    </xf>
    <xf numFmtId="164" fontId="1" fillId="9" borderId="0" xfId="0" applyNumberFormat="1" applyFont="1" applyFill="1" applyBorder="1" applyAlignment="1" applyProtection="1">
      <alignment horizontal="center"/>
      <protection/>
    </xf>
    <xf numFmtId="7" fontId="4" fillId="0" borderId="0" xfId="0" applyNumberFormat="1" applyFont="1" applyAlignment="1" applyProtection="1">
      <alignment horizontal="center"/>
      <protection/>
    </xf>
    <xf numFmtId="164" fontId="1" fillId="0" borderId="0" xfId="0" applyNumberFormat="1" applyFont="1" applyFill="1" applyBorder="1" applyAlignment="1" applyProtection="1">
      <alignment horizontal="center"/>
      <protection/>
    </xf>
    <xf numFmtId="164" fontId="4" fillId="0" borderId="0" xfId="0" applyFont="1" applyAlignment="1" applyProtection="1">
      <alignment horizontal="right"/>
      <protection/>
    </xf>
    <xf numFmtId="5" fontId="1" fillId="2" borderId="0" xfId="0" applyNumberFormat="1" applyFont="1" applyFill="1" applyAlignment="1" applyProtection="1">
      <alignment horizontal="center"/>
      <protection/>
    </xf>
    <xf numFmtId="7" fontId="4" fillId="0" borderId="0" xfId="0" applyNumberFormat="1" applyFont="1" applyBorder="1" applyAlignment="1" applyProtection="1">
      <alignment horizontal="center"/>
      <protection/>
    </xf>
    <xf numFmtId="7" fontId="4" fillId="0" borderId="2" xfId="0" applyNumberFormat="1" applyFont="1" applyBorder="1" applyAlignment="1" applyProtection="1">
      <alignment horizontal="center"/>
      <protection/>
    </xf>
    <xf numFmtId="5" fontId="1" fillId="0" borderId="0" xfId="0" applyNumberFormat="1" applyFont="1" applyFill="1" applyAlignment="1" applyProtection="1">
      <alignment horizontal="center"/>
      <protection/>
    </xf>
    <xf numFmtId="5" fontId="1" fillId="0" borderId="3" xfId="0" applyNumberFormat="1" applyFont="1" applyFill="1" applyBorder="1" applyAlignment="1" applyProtection="1">
      <alignment horizontal="center"/>
      <protection/>
    </xf>
    <xf numFmtId="5" fontId="1" fillId="10" borderId="4" xfId="0" applyNumberFormat="1" applyFont="1" applyFill="1" applyBorder="1" applyAlignment="1" applyProtection="1">
      <alignment horizontal="center"/>
      <protection/>
    </xf>
    <xf numFmtId="7" fontId="1" fillId="2" borderId="0" xfId="0" applyNumberFormat="1" applyFont="1" applyFill="1" applyAlignment="1" applyProtection="1">
      <alignment horizontal="center"/>
      <protection/>
    </xf>
    <xf numFmtId="3" fontId="4" fillId="0" borderId="5" xfId="0" applyNumberFormat="1" applyFont="1" applyBorder="1" applyAlignment="1" applyProtection="1">
      <alignment horizontal="center"/>
      <protection/>
    </xf>
    <xf numFmtId="1" fontId="4" fillId="0" borderId="0" xfId="0" applyNumberFormat="1" applyFont="1" applyAlignment="1" applyProtection="1">
      <alignment horizontal="center"/>
      <protection/>
    </xf>
    <xf numFmtId="164" fontId="33" fillId="0" borderId="0" xfId="0" applyNumberFormat="1" applyFont="1" applyBorder="1" applyAlignment="1" applyProtection="1">
      <alignment horizontal="right"/>
      <protection/>
    </xf>
    <xf numFmtId="164" fontId="33" fillId="0" borderId="0" xfId="0" applyNumberFormat="1" applyFont="1" applyBorder="1" applyAlignment="1" applyProtection="1" quotePrefix="1">
      <alignment horizontal="right"/>
      <protection/>
    </xf>
    <xf numFmtId="164" fontId="1" fillId="0" borderId="0" xfId="0" applyFont="1" applyBorder="1" applyAlignment="1" applyProtection="1">
      <alignment horizontal="left"/>
      <protection/>
    </xf>
    <xf numFmtId="164" fontId="1" fillId="0" borderId="0" xfId="0" applyNumberFormat="1" applyFont="1" applyBorder="1" applyAlignment="1" applyProtection="1">
      <alignment horizontal="left" wrapText="1"/>
      <protection/>
    </xf>
    <xf numFmtId="2" fontId="1"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3" fontId="4" fillId="0" borderId="0" xfId="0" applyNumberFormat="1" applyFont="1" applyAlignment="1" applyProtection="1">
      <alignment horizontal="right"/>
      <protection/>
    </xf>
    <xf numFmtId="9" fontId="31" fillId="0" borderId="0" xfId="0" applyNumberFormat="1" applyFont="1" applyAlignment="1" applyProtection="1">
      <alignment horizontal="center"/>
      <protection/>
    </xf>
    <xf numFmtId="5" fontId="1" fillId="0" borderId="0" xfId="0" applyNumberFormat="1" applyFont="1" applyFill="1" applyBorder="1" applyAlignment="1" applyProtection="1">
      <alignment horizontal="center"/>
      <protection/>
    </xf>
    <xf numFmtId="7" fontId="4" fillId="0" borderId="0" xfId="0" applyNumberFormat="1" applyFont="1" applyFill="1" applyBorder="1" applyAlignment="1" applyProtection="1">
      <alignment/>
      <protection/>
    </xf>
    <xf numFmtId="164" fontId="4" fillId="0" borderId="0" xfId="0" applyFont="1" applyFill="1" applyBorder="1" applyAlignment="1" applyProtection="1">
      <alignment/>
      <protection/>
    </xf>
    <xf numFmtId="164" fontId="4" fillId="0" borderId="0" xfId="0" applyNumberFormat="1" applyFont="1" applyAlignment="1" applyProtection="1">
      <alignment horizontal="right"/>
      <protection/>
    </xf>
    <xf numFmtId="2" fontId="4" fillId="0" borderId="0" xfId="0" applyNumberFormat="1" applyFont="1" applyFill="1" applyAlignment="1" applyProtection="1">
      <alignment horizontal="center"/>
      <protection/>
    </xf>
    <xf numFmtId="178" fontId="1" fillId="0" borderId="0" xfId="0" applyNumberFormat="1" applyFont="1" applyBorder="1" applyAlignment="1" applyProtection="1">
      <alignment horizontal="center"/>
      <protection/>
    </xf>
    <xf numFmtId="3" fontId="4" fillId="11" borderId="0" xfId="0" applyNumberFormat="1" applyFont="1" applyFill="1" applyAlignment="1" applyProtection="1">
      <alignment horizontal="center"/>
      <protection/>
    </xf>
    <xf numFmtId="0" fontId="38" fillId="0" borderId="0" xfId="21" applyFont="1" applyProtection="1">
      <alignment/>
      <protection/>
    </xf>
    <xf numFmtId="0" fontId="37" fillId="0" borderId="0" xfId="21" applyProtection="1">
      <alignment/>
      <protection/>
    </xf>
    <xf numFmtId="0" fontId="37" fillId="0" borderId="0" xfId="21" applyAlignment="1" applyProtection="1">
      <alignment horizontal="center"/>
      <protection/>
    </xf>
    <xf numFmtId="39" fontId="37" fillId="12" borderId="0" xfId="21" applyNumberFormat="1" applyFill="1" applyAlignment="1" applyProtection="1">
      <alignment horizontal="center"/>
      <protection/>
    </xf>
    <xf numFmtId="10" fontId="36" fillId="0" borderId="0" xfId="21" applyNumberFormat="1" applyFont="1" applyBorder="1" applyProtection="1">
      <alignment/>
      <protection/>
    </xf>
    <xf numFmtId="166" fontId="36" fillId="0" borderId="0" xfId="21" applyNumberFormat="1" applyFont="1" applyBorder="1" applyProtection="1">
      <alignment/>
      <protection/>
    </xf>
    <xf numFmtId="165" fontId="36" fillId="0" borderId="0" xfId="21" applyNumberFormat="1" applyFont="1" applyBorder="1" applyProtection="1">
      <alignment/>
      <protection/>
    </xf>
    <xf numFmtId="37" fontId="36" fillId="0" borderId="0" xfId="21" applyNumberFormat="1" applyFont="1" applyBorder="1" applyProtection="1">
      <alignment/>
      <protection/>
    </xf>
    <xf numFmtId="166" fontId="5" fillId="0" borderId="0" xfId="21" applyNumberFormat="1" applyFont="1" applyBorder="1" applyProtection="1">
      <alignment/>
      <protection/>
    </xf>
    <xf numFmtId="37" fontId="37" fillId="0" borderId="0" xfId="21" applyNumberFormat="1" applyProtection="1">
      <alignment/>
      <protection/>
    </xf>
    <xf numFmtId="3" fontId="37" fillId="0" borderId="0" xfId="17" applyNumberFormat="1" applyAlignment="1" applyProtection="1">
      <alignment/>
      <protection/>
    </xf>
    <xf numFmtId="3" fontId="39" fillId="0" borderId="0" xfId="17" applyNumberFormat="1" applyFont="1" applyAlignment="1" applyProtection="1">
      <alignment/>
      <protection/>
    </xf>
    <xf numFmtId="0" fontId="37" fillId="0" borderId="5" xfId="21" applyBorder="1" applyAlignment="1" applyProtection="1">
      <alignment horizontal="center"/>
      <protection/>
    </xf>
    <xf numFmtId="0" fontId="37" fillId="0" borderId="5" xfId="21" applyFont="1" applyBorder="1" applyAlignment="1" applyProtection="1">
      <alignment horizontal="left"/>
      <protection/>
    </xf>
    <xf numFmtId="164" fontId="32" fillId="0" borderId="6" xfId="0" applyNumberFormat="1" applyFont="1" applyBorder="1" applyAlignment="1" applyProtection="1">
      <alignment horizontal="right"/>
      <protection/>
    </xf>
    <xf numFmtId="0" fontId="37" fillId="0" borderId="0" xfId="21" applyBorder="1" applyProtection="1">
      <alignment/>
      <protection/>
    </xf>
    <xf numFmtId="0" fontId="13" fillId="0" borderId="0" xfId="22">
      <alignment/>
      <protection/>
    </xf>
    <xf numFmtId="0" fontId="37" fillId="0" borderId="0" xfId="21" applyBorder="1" applyAlignment="1" applyProtection="1">
      <alignment horizontal="center"/>
      <protection/>
    </xf>
    <xf numFmtId="5" fontId="5" fillId="0" borderId="0" xfId="21" applyNumberFormat="1" applyFont="1" applyBorder="1" applyAlignment="1" applyProtection="1">
      <alignment horizontal="center"/>
      <protection/>
    </xf>
    <xf numFmtId="3" fontId="37" fillId="0" borderId="0" xfId="17" applyNumberFormat="1" applyAlignment="1" applyProtection="1">
      <alignment horizontal="center"/>
      <protection/>
    </xf>
    <xf numFmtId="164" fontId="14" fillId="0" borderId="1" xfId="0" applyFont="1" applyBorder="1" applyAlignment="1" applyProtection="1">
      <alignment horizontal="center"/>
      <protection/>
    </xf>
    <xf numFmtId="0" fontId="37" fillId="0" borderId="5" xfId="21" applyBorder="1" applyProtection="1">
      <alignment/>
      <protection/>
    </xf>
    <xf numFmtId="164" fontId="41" fillId="0" borderId="7" xfId="0" applyFont="1" applyBorder="1" applyAlignment="1" applyProtection="1">
      <alignment horizontal="center"/>
      <protection/>
    </xf>
    <xf numFmtId="6" fontId="37" fillId="0" borderId="0" xfId="21" applyNumberFormat="1" applyAlignment="1" applyProtection="1">
      <alignment horizontal="center"/>
      <protection/>
    </xf>
    <xf numFmtId="164" fontId="41" fillId="0" borderId="8" xfId="0" applyFont="1" applyBorder="1" applyAlignment="1" applyProtection="1">
      <alignment horizontal="center"/>
      <protection/>
    </xf>
    <xf numFmtId="6" fontId="37" fillId="0" borderId="0" xfId="21" applyNumberFormat="1" applyFont="1" applyAlignment="1" applyProtection="1">
      <alignment horizontal="center"/>
      <protection/>
    </xf>
    <xf numFmtId="164" fontId="4" fillId="0" borderId="5" xfId="0" applyFont="1" applyBorder="1" applyAlignment="1" applyProtection="1">
      <alignment/>
      <protection/>
    </xf>
    <xf numFmtId="164" fontId="41" fillId="0" borderId="9" xfId="0" applyFont="1" applyBorder="1" applyAlignment="1" applyProtection="1">
      <alignment horizontal="center"/>
      <protection/>
    </xf>
    <xf numFmtId="6" fontId="37" fillId="0" borderId="10" xfId="21" applyNumberFormat="1" applyBorder="1" applyAlignment="1" applyProtection="1">
      <alignment horizontal="center"/>
      <protection/>
    </xf>
    <xf numFmtId="6" fontId="37" fillId="0" borderId="2" xfId="21" applyNumberFormat="1" applyBorder="1" applyAlignment="1" applyProtection="1">
      <alignment horizontal="center"/>
      <protection/>
    </xf>
    <xf numFmtId="164" fontId="4" fillId="0" borderId="2" xfId="0" applyFont="1" applyBorder="1" applyAlignment="1" applyProtection="1">
      <alignment/>
      <protection/>
    </xf>
    <xf numFmtId="6" fontId="37" fillId="0" borderId="2" xfId="21" applyNumberFormat="1" applyFont="1" applyBorder="1" applyAlignment="1" applyProtection="1">
      <alignment horizontal="center"/>
      <protection/>
    </xf>
    <xf numFmtId="0" fontId="39" fillId="0" borderId="11" xfId="21" applyFont="1" applyFill="1" applyBorder="1" applyProtection="1">
      <alignment/>
      <protection/>
    </xf>
    <xf numFmtId="6" fontId="37" fillId="0" borderId="0" xfId="21" applyNumberFormat="1" applyProtection="1">
      <alignment/>
      <protection/>
    </xf>
    <xf numFmtId="2" fontId="4" fillId="0" borderId="0" xfId="0" applyNumberFormat="1" applyFont="1" applyAlignment="1" applyProtection="1">
      <alignment horizontal="center"/>
      <protection/>
    </xf>
    <xf numFmtId="0" fontId="39" fillId="0" borderId="0" xfId="21" applyFont="1" applyProtection="1">
      <alignment/>
      <protection/>
    </xf>
    <xf numFmtId="164" fontId="4" fillId="11" borderId="0" xfId="0" applyFont="1" applyFill="1" applyAlignment="1" applyProtection="1">
      <alignment/>
      <protection/>
    </xf>
    <xf numFmtId="164" fontId="0" fillId="0" borderId="0" xfId="0" applyBorder="1" applyAlignment="1" applyProtection="1">
      <alignment/>
      <protection/>
    </xf>
    <xf numFmtId="0" fontId="37" fillId="0" borderId="12" xfId="21" applyBorder="1" applyAlignment="1" applyProtection="1">
      <alignment horizontal="center"/>
      <protection/>
    </xf>
    <xf numFmtId="6" fontId="37" fillId="0" borderId="0" xfId="21" applyNumberFormat="1" applyBorder="1" applyAlignment="1" applyProtection="1">
      <alignment horizontal="center"/>
      <protection/>
    </xf>
    <xf numFmtId="3" fontId="4" fillId="0" borderId="0" xfId="0" applyNumberFormat="1" applyFont="1" applyBorder="1" applyAlignment="1" applyProtection="1">
      <alignment horizontal="center"/>
      <protection/>
    </xf>
    <xf numFmtId="164" fontId="4" fillId="3" borderId="0" xfId="0" applyFont="1" applyFill="1" applyAlignment="1" applyProtection="1">
      <alignment/>
      <protection/>
    </xf>
    <xf numFmtId="168" fontId="4" fillId="0" borderId="0" xfId="0" applyNumberFormat="1" applyFont="1" applyAlignment="1" applyProtection="1">
      <alignment horizontal="center"/>
      <protection/>
    </xf>
    <xf numFmtId="164" fontId="0" fillId="0" borderId="0" xfId="0" applyAlignment="1" applyProtection="1">
      <alignment horizontal="right"/>
      <protection/>
    </xf>
    <xf numFmtId="164" fontId="4" fillId="13" borderId="0" xfId="0" applyFont="1" applyFill="1" applyAlignment="1" applyProtection="1">
      <alignment/>
      <protection/>
    </xf>
    <xf numFmtId="164" fontId="4" fillId="13" borderId="0" xfId="0" applyFont="1" applyFill="1" applyAlignment="1" applyProtection="1">
      <alignment horizontal="center"/>
      <protection/>
    </xf>
    <xf numFmtId="164" fontId="0" fillId="13" borderId="0" xfId="0" applyFill="1" applyAlignment="1" applyProtection="1">
      <alignment/>
      <protection/>
    </xf>
    <xf numFmtId="164" fontId="4" fillId="0" borderId="0" xfId="0" applyFont="1" applyBorder="1" applyAlignment="1" applyProtection="1">
      <alignment horizontal="center"/>
      <protection/>
    </xf>
    <xf numFmtId="164" fontId="0" fillId="0" borderId="0" xfId="0" applyFill="1" applyBorder="1" applyAlignment="1" applyProtection="1">
      <alignment/>
      <protection/>
    </xf>
    <xf numFmtId="3" fontId="4" fillId="0" borderId="0" xfId="0" applyNumberFormat="1" applyFont="1" applyAlignment="1" applyProtection="1" quotePrefix="1">
      <alignment horizontal="center"/>
      <protection/>
    </xf>
    <xf numFmtId="167" fontId="1" fillId="0" borderId="0" xfId="0" applyNumberFormat="1" applyFont="1" applyFill="1" applyBorder="1" applyAlignment="1" applyProtection="1">
      <alignment horizontal="center"/>
      <protection/>
    </xf>
    <xf numFmtId="4" fontId="4" fillId="0" borderId="0" xfId="0" applyNumberFormat="1" applyFont="1" applyAlignment="1" applyProtection="1">
      <alignment horizontal="center"/>
      <protection/>
    </xf>
    <xf numFmtId="164" fontId="6" fillId="0" borderId="0" xfId="0" applyNumberFormat="1" applyFont="1" applyBorder="1" applyAlignment="1" applyProtection="1">
      <alignment horizontal="left"/>
      <protection/>
    </xf>
    <xf numFmtId="164" fontId="6" fillId="0" borderId="0" xfId="0" applyNumberFormat="1" applyFont="1" applyBorder="1" applyAlignment="1" applyProtection="1">
      <alignment horizontal="center"/>
      <protection/>
    </xf>
    <xf numFmtId="174" fontId="6" fillId="0" borderId="0" xfId="0" applyNumberFormat="1" applyFont="1" applyBorder="1" applyAlignment="1" applyProtection="1">
      <alignment horizontal="center"/>
      <protection/>
    </xf>
    <xf numFmtId="7" fontId="4" fillId="0" borderId="0" xfId="0" applyNumberFormat="1" applyFont="1" applyBorder="1" applyAlignment="1" applyProtection="1">
      <alignment horizontal="right"/>
      <protection/>
    </xf>
    <xf numFmtId="166" fontId="6" fillId="0" borderId="0" xfId="0" applyNumberFormat="1" applyFont="1" applyBorder="1" applyAlignment="1" applyProtection="1">
      <alignment/>
      <protection/>
    </xf>
    <xf numFmtId="7" fontId="6" fillId="0" borderId="0" xfId="0" applyNumberFormat="1" applyFont="1" applyBorder="1" applyAlignment="1" applyProtection="1">
      <alignment/>
      <protection/>
    </xf>
    <xf numFmtId="164" fontId="4" fillId="0" borderId="5" xfId="0" applyFont="1" applyBorder="1" applyAlignment="1" applyProtection="1">
      <alignment horizontal="center"/>
      <protection/>
    </xf>
    <xf numFmtId="0" fontId="37" fillId="0" borderId="13" xfId="21" applyFont="1" applyBorder="1" applyProtection="1">
      <alignment/>
      <protection/>
    </xf>
    <xf numFmtId="5" fontId="0" fillId="0" borderId="14" xfId="21" applyNumberFormat="1" applyFont="1" applyBorder="1" applyAlignment="1" applyProtection="1">
      <alignment horizontal="center"/>
      <protection/>
    </xf>
    <xf numFmtId="10" fontId="0" fillId="0" borderId="15" xfId="21" applyNumberFormat="1" applyFont="1" applyBorder="1" applyAlignment="1" applyProtection="1">
      <alignment horizontal="center"/>
      <protection/>
    </xf>
    <xf numFmtId="165" fontId="0" fillId="0" borderId="15" xfId="21" applyNumberFormat="1" applyFont="1" applyBorder="1" applyAlignment="1" applyProtection="1">
      <alignment horizontal="center"/>
      <protection/>
    </xf>
    <xf numFmtId="37" fontId="0" fillId="0" borderId="16" xfId="21" applyNumberFormat="1" applyFont="1" applyBorder="1" applyAlignment="1" applyProtection="1">
      <alignment horizontal="center"/>
      <protection/>
    </xf>
    <xf numFmtId="0" fontId="37" fillId="0" borderId="17" xfId="21" applyFont="1" applyBorder="1" applyProtection="1">
      <alignment/>
      <protection/>
    </xf>
    <xf numFmtId="5" fontId="0" fillId="0" borderId="18" xfId="21" applyNumberFormat="1" applyFont="1" applyBorder="1" applyAlignment="1" applyProtection="1">
      <alignment horizontal="center"/>
      <protection/>
    </xf>
    <xf numFmtId="10" fontId="0" fillId="0" borderId="19" xfId="21" applyNumberFormat="1" applyFont="1" applyBorder="1" applyAlignment="1" applyProtection="1">
      <alignment horizontal="center"/>
      <protection/>
    </xf>
    <xf numFmtId="165" fontId="0" fillId="0" borderId="19" xfId="21" applyNumberFormat="1" applyFont="1" applyBorder="1" applyAlignment="1" applyProtection="1">
      <alignment horizontal="center"/>
      <protection/>
    </xf>
    <xf numFmtId="37" fontId="0" fillId="0" borderId="20" xfId="21" applyNumberFormat="1" applyFont="1" applyBorder="1" applyAlignment="1" applyProtection="1">
      <alignment horizontal="center"/>
      <protection/>
    </xf>
    <xf numFmtId="0" fontId="37" fillId="0" borderId="21" xfId="21" applyFont="1" applyBorder="1" applyProtection="1">
      <alignment/>
      <protection/>
    </xf>
    <xf numFmtId="5" fontId="0" fillId="0" borderId="22" xfId="21" applyNumberFormat="1" applyFont="1" applyBorder="1" applyAlignment="1" applyProtection="1">
      <alignment horizontal="center"/>
      <protection/>
    </xf>
    <xf numFmtId="10" fontId="0" fillId="0" borderId="23" xfId="21" applyNumberFormat="1" applyFont="1" applyBorder="1" applyAlignment="1" applyProtection="1">
      <alignment horizontal="center"/>
      <protection/>
    </xf>
    <xf numFmtId="165" fontId="0" fillId="0" borderId="24" xfId="21" applyNumberFormat="1" applyFont="1" applyBorder="1" applyAlignment="1" applyProtection="1">
      <alignment horizontal="center"/>
      <protection/>
    </xf>
    <xf numFmtId="37" fontId="0" fillId="0" borderId="25" xfId="21" applyNumberFormat="1" applyFont="1" applyBorder="1" applyAlignment="1" applyProtection="1">
      <alignment horizontal="center"/>
      <protection/>
    </xf>
    <xf numFmtId="0" fontId="37" fillId="0" borderId="0" xfId="21" applyFont="1" applyBorder="1" applyProtection="1">
      <alignment/>
      <protection/>
    </xf>
    <xf numFmtId="0" fontId="37" fillId="0" borderId="0" xfId="21" applyFont="1" applyProtection="1">
      <alignment/>
      <protection/>
    </xf>
    <xf numFmtId="164" fontId="0" fillId="0" borderId="0" xfId="0" applyFont="1" applyBorder="1" applyAlignment="1" applyProtection="1">
      <alignment/>
      <protection/>
    </xf>
    <xf numFmtId="164" fontId="0" fillId="0" borderId="0" xfId="0" applyFont="1" applyAlignment="1" applyProtection="1">
      <alignment/>
      <protection/>
    </xf>
    <xf numFmtId="0" fontId="37" fillId="0" borderId="0" xfId="21" applyFont="1" applyBorder="1" applyProtection="1">
      <alignment/>
      <protection/>
    </xf>
    <xf numFmtId="3" fontId="1" fillId="0" borderId="0" xfId="0" applyNumberFormat="1" applyFont="1" applyAlignment="1" applyProtection="1">
      <alignment horizontal="center"/>
      <protection/>
    </xf>
    <xf numFmtId="164" fontId="5" fillId="0" borderId="0" xfId="0" applyFont="1" applyAlignment="1" applyProtection="1">
      <alignment horizontal="left"/>
      <protection/>
    </xf>
    <xf numFmtId="7" fontId="1" fillId="0" borderId="0" xfId="0" applyNumberFormat="1" applyFont="1" applyFill="1" applyAlignment="1" applyProtection="1">
      <alignment horizontal="center"/>
      <protection/>
    </xf>
    <xf numFmtId="3" fontId="4" fillId="0" borderId="0" xfId="0" applyNumberFormat="1" applyFont="1" applyAlignment="1" applyProtection="1" quotePrefix="1">
      <alignment horizontal="right"/>
      <protection/>
    </xf>
    <xf numFmtId="5" fontId="4" fillId="0" borderId="0" xfId="0" applyNumberFormat="1" applyFont="1" applyAlignment="1" applyProtection="1">
      <alignment horizontal="right"/>
      <protection/>
    </xf>
    <xf numFmtId="5" fontId="1" fillId="0" borderId="0" xfId="0" applyNumberFormat="1" applyFont="1" applyFill="1" applyAlignment="1" applyProtection="1">
      <alignment horizontal="right"/>
      <protection/>
    </xf>
    <xf numFmtId="3" fontId="4" fillId="0" borderId="0" xfId="0" applyNumberFormat="1" applyFont="1" applyBorder="1" applyAlignment="1" applyProtection="1">
      <alignment horizontal="right"/>
      <protection/>
    </xf>
    <xf numFmtId="3" fontId="4" fillId="0" borderId="2" xfId="0" applyNumberFormat="1" applyFont="1" applyBorder="1" applyAlignment="1" applyProtection="1">
      <alignment horizontal="right"/>
      <protection/>
    </xf>
    <xf numFmtId="7" fontId="1" fillId="0" borderId="0" xfId="0" applyNumberFormat="1" applyFont="1" applyFill="1" applyAlignment="1" applyProtection="1">
      <alignment horizontal="right"/>
      <protection/>
    </xf>
    <xf numFmtId="164" fontId="0" fillId="0" borderId="0" xfId="0" applyFill="1" applyAlignment="1" applyProtection="1">
      <alignment horizontal="center"/>
      <protection/>
    </xf>
    <xf numFmtId="164" fontId="4" fillId="0" borderId="0" xfId="0" applyFont="1" applyFill="1" applyAlignment="1" applyProtection="1">
      <alignment horizontal="right"/>
      <protection/>
    </xf>
    <xf numFmtId="164" fontId="42" fillId="0" borderId="0" xfId="0" applyFont="1" applyFill="1" applyAlignment="1" applyProtection="1">
      <alignment/>
      <protection/>
    </xf>
    <xf numFmtId="164" fontId="4" fillId="0" borderId="0" xfId="0" applyFont="1" applyFill="1" applyAlignment="1" applyProtection="1">
      <alignment horizontal="left"/>
      <protection/>
    </xf>
    <xf numFmtId="164" fontId="4" fillId="0" borderId="0" xfId="0" applyNumberFormat="1" applyFont="1" applyFill="1" applyAlignment="1" applyProtection="1">
      <alignment horizontal="left"/>
      <protection/>
    </xf>
    <xf numFmtId="164" fontId="4" fillId="0" borderId="0" xfId="0" applyNumberFormat="1" applyFont="1" applyFill="1" applyAlignment="1" applyProtection="1">
      <alignment horizontal="right"/>
      <protection/>
    </xf>
    <xf numFmtId="164" fontId="4" fillId="0" borderId="0" xfId="0" applyNumberFormat="1" applyFont="1" applyFill="1" applyAlignment="1" applyProtection="1">
      <alignment/>
      <protection/>
    </xf>
    <xf numFmtId="164" fontId="10" fillId="0" borderId="0" xfId="0" applyNumberFormat="1" applyFont="1" applyFill="1" applyAlignment="1" applyProtection="1">
      <alignment horizontal="left"/>
      <protection/>
    </xf>
    <xf numFmtId="3" fontId="4" fillId="0" borderId="0" xfId="0" applyNumberFormat="1" applyFont="1" applyFill="1" applyAlignment="1" applyProtection="1">
      <alignment horizontal="right"/>
      <protection/>
    </xf>
    <xf numFmtId="164" fontId="1" fillId="8" borderId="26" xfId="0" applyNumberFormat="1" applyFont="1" applyFill="1" applyBorder="1" applyAlignment="1" applyProtection="1">
      <alignment horizontal="left"/>
      <protection/>
    </xf>
    <xf numFmtId="164" fontId="1" fillId="8" borderId="27" xfId="0" applyNumberFormat="1" applyFont="1" applyFill="1" applyBorder="1" applyAlignment="1" applyProtection="1">
      <alignment horizontal="left"/>
      <protection/>
    </xf>
    <xf numFmtId="164" fontId="9" fillId="0" borderId="0" xfId="0" applyNumberFormat="1" applyFont="1" applyBorder="1" applyAlignment="1" applyProtection="1">
      <alignment/>
      <protection/>
    </xf>
    <xf numFmtId="167" fontId="1" fillId="14" borderId="1" xfId="0" applyNumberFormat="1" applyFont="1" applyFill="1" applyBorder="1" applyAlignment="1" applyProtection="1">
      <alignment horizontal="center"/>
      <protection/>
    </xf>
    <xf numFmtId="168" fontId="4" fillId="0" borderId="0" xfId="0" applyNumberFormat="1" applyFont="1" applyBorder="1" applyAlignment="1" applyProtection="1">
      <alignment horizontal="right"/>
      <protection/>
    </xf>
    <xf numFmtId="168" fontId="1" fillId="0" borderId="0" xfId="0" applyNumberFormat="1" applyFont="1" applyAlignment="1" applyProtection="1">
      <alignment horizontal="right"/>
      <protection/>
    </xf>
    <xf numFmtId="179" fontId="4" fillId="0" borderId="0" xfId="0" applyNumberFormat="1" applyFont="1" applyAlignment="1" applyProtection="1">
      <alignment horizontal="center"/>
      <protection/>
    </xf>
    <xf numFmtId="3" fontId="4" fillId="0" borderId="28" xfId="0" applyNumberFormat="1" applyFont="1" applyBorder="1" applyAlignment="1" applyProtection="1">
      <alignment horizontal="right"/>
      <protection/>
    </xf>
    <xf numFmtId="3" fontId="1" fillId="0" borderId="0" xfId="0" applyNumberFormat="1" applyFont="1" applyBorder="1" applyAlignment="1" applyProtection="1">
      <alignment horizontal="left"/>
      <protection/>
    </xf>
    <xf numFmtId="164" fontId="4" fillId="0" borderId="0" xfId="0" applyFont="1" applyBorder="1" applyAlignment="1" applyProtection="1">
      <alignment horizontal="right"/>
      <protection/>
    </xf>
    <xf numFmtId="164" fontId="0" fillId="0" borderId="0" xfId="0" applyFont="1" applyFill="1" applyBorder="1" applyAlignment="1" applyProtection="1">
      <alignment/>
      <protection/>
    </xf>
    <xf numFmtId="164" fontId="41" fillId="0" borderId="0" xfId="0" applyFont="1" applyFill="1" applyBorder="1" applyAlignment="1" applyProtection="1">
      <alignment/>
      <protection/>
    </xf>
    <xf numFmtId="164" fontId="41" fillId="0" borderId="0" xfId="0" applyFont="1" applyBorder="1" applyAlignment="1" applyProtection="1">
      <alignment/>
      <protection/>
    </xf>
    <xf numFmtId="164" fontId="44" fillId="0" borderId="0" xfId="0" applyFont="1" applyBorder="1" applyAlignment="1" applyProtection="1">
      <alignment/>
      <protection/>
    </xf>
    <xf numFmtId="164" fontId="1" fillId="0" borderId="0" xfId="0" applyFont="1" applyFill="1" applyAlignment="1" applyProtection="1">
      <alignment horizontal="right"/>
      <protection/>
    </xf>
    <xf numFmtId="7" fontId="1" fillId="5" borderId="0" xfId="0" applyNumberFormat="1" applyFont="1" applyFill="1" applyAlignment="1" applyProtection="1">
      <alignment horizontal="center"/>
      <protection/>
    </xf>
    <xf numFmtId="164" fontId="4" fillId="14" borderId="0" xfId="0" applyFont="1" applyFill="1" applyAlignment="1" applyProtection="1">
      <alignment/>
      <protection/>
    </xf>
    <xf numFmtId="5" fontId="6" fillId="0" borderId="29" xfId="0" applyNumberFormat="1" applyFont="1" applyBorder="1" applyAlignment="1" applyProtection="1">
      <alignment horizontal="center"/>
      <protection locked="0"/>
    </xf>
    <xf numFmtId="5" fontId="6" fillId="0" borderId="1" xfId="0" applyNumberFormat="1" applyFont="1" applyBorder="1" applyAlignment="1" applyProtection="1">
      <alignment horizontal="center"/>
      <protection locked="0"/>
    </xf>
    <xf numFmtId="164" fontId="6" fillId="0" borderId="19" xfId="0" applyNumberFormat="1" applyFont="1" applyBorder="1" applyAlignment="1" applyProtection="1">
      <alignment horizontal="center"/>
      <protection locked="0"/>
    </xf>
    <xf numFmtId="7" fontId="6" fillId="0" borderId="30" xfId="0" applyNumberFormat="1" applyFont="1" applyBorder="1" applyAlignment="1" applyProtection="1">
      <alignment horizontal="center"/>
      <protection locked="0"/>
    </xf>
    <xf numFmtId="7" fontId="6" fillId="0" borderId="31" xfId="0" applyNumberFormat="1" applyFont="1" applyBorder="1" applyAlignment="1" applyProtection="1">
      <alignment horizontal="center"/>
      <protection locked="0"/>
    </xf>
    <xf numFmtId="7" fontId="6" fillId="0" borderId="32" xfId="0" applyNumberFormat="1" applyFont="1" applyBorder="1" applyAlignment="1" applyProtection="1">
      <alignment horizontal="center"/>
      <protection locked="0"/>
    </xf>
    <xf numFmtId="164" fontId="6" fillId="0" borderId="33" xfId="0" applyNumberFormat="1" applyFont="1" applyBorder="1" applyAlignment="1" applyProtection="1">
      <alignment horizontal="center"/>
      <protection locked="0"/>
    </xf>
    <xf numFmtId="164" fontId="6" fillId="0" borderId="34" xfId="0" applyNumberFormat="1" applyFont="1" applyBorder="1" applyAlignment="1" applyProtection="1">
      <alignment horizontal="center"/>
      <protection locked="0"/>
    </xf>
    <xf numFmtId="164" fontId="6" fillId="0" borderId="35" xfId="0" applyNumberFormat="1" applyFont="1" applyBorder="1" applyAlignment="1" applyProtection="1">
      <alignment horizontal="left"/>
      <protection locked="0"/>
    </xf>
    <xf numFmtId="174" fontId="6" fillId="0" borderId="33" xfId="0" applyNumberFormat="1" applyFont="1" applyBorder="1" applyAlignment="1" applyProtection="1">
      <alignment horizontal="center"/>
      <protection locked="0"/>
    </xf>
    <xf numFmtId="164" fontId="6" fillId="0" borderId="36" xfId="0" applyNumberFormat="1" applyFont="1" applyBorder="1" applyAlignment="1" applyProtection="1">
      <alignment horizontal="left"/>
      <protection locked="0"/>
    </xf>
    <xf numFmtId="174" fontId="6" fillId="0" borderId="19" xfId="0" applyNumberFormat="1" applyFont="1" applyBorder="1" applyAlignment="1" applyProtection="1">
      <alignment horizontal="center"/>
      <protection locked="0"/>
    </xf>
    <xf numFmtId="164" fontId="6" fillId="0" borderId="37" xfId="0" applyNumberFormat="1" applyFont="1" applyBorder="1" applyAlignment="1" applyProtection="1">
      <alignment horizontal="left"/>
      <protection locked="0"/>
    </xf>
    <xf numFmtId="174" fontId="6" fillId="0" borderId="34" xfId="0" applyNumberFormat="1" applyFont="1" applyBorder="1" applyAlignment="1" applyProtection="1">
      <alignment horizontal="center"/>
      <protection locked="0"/>
    </xf>
    <xf numFmtId="174" fontId="6" fillId="0" borderId="38" xfId="0" applyNumberFormat="1" applyFont="1" applyBorder="1" applyAlignment="1" applyProtection="1">
      <alignment horizontal="center"/>
      <protection locked="0"/>
    </xf>
    <xf numFmtId="7" fontId="6" fillId="0" borderId="39" xfId="0" applyNumberFormat="1" applyFont="1" applyBorder="1" applyAlignment="1" applyProtection="1">
      <alignment horizontal="center"/>
      <protection locked="0"/>
    </xf>
    <xf numFmtId="167" fontId="6" fillId="0" borderId="40" xfId="0" applyNumberFormat="1" applyFont="1" applyBorder="1" applyAlignment="1" applyProtection="1">
      <alignment horizontal="center"/>
      <protection locked="0"/>
    </xf>
    <xf numFmtId="167" fontId="6" fillId="0" borderId="41" xfId="0" applyNumberFormat="1" applyFont="1" applyBorder="1" applyAlignment="1" applyProtection="1">
      <alignment horizontal="center"/>
      <protection locked="0"/>
    </xf>
    <xf numFmtId="167" fontId="6" fillId="0" borderId="29" xfId="0" applyNumberFormat="1" applyFont="1" applyBorder="1" applyAlignment="1" applyProtection="1">
      <alignment horizontal="center"/>
      <protection locked="0"/>
    </xf>
    <xf numFmtId="167" fontId="6" fillId="0" borderId="42" xfId="0" applyNumberFormat="1" applyFont="1" applyBorder="1" applyAlignment="1" applyProtection="1">
      <alignment horizontal="center"/>
      <protection locked="0"/>
    </xf>
    <xf numFmtId="5" fontId="6" fillId="0" borderId="40" xfId="0" applyNumberFormat="1" applyFont="1" applyBorder="1" applyAlignment="1" applyProtection="1">
      <alignment horizontal="center"/>
      <protection locked="0"/>
    </xf>
    <xf numFmtId="5" fontId="6" fillId="0" borderId="42" xfId="0" applyNumberFormat="1" applyFont="1" applyBorder="1" applyAlignment="1" applyProtection="1">
      <alignment horizontal="center"/>
      <protection locked="0"/>
    </xf>
    <xf numFmtId="10" fontId="6" fillId="0" borderId="40" xfId="0" applyNumberFormat="1" applyFont="1" applyBorder="1" applyAlignment="1" applyProtection="1">
      <alignment/>
      <protection locked="0"/>
    </xf>
    <xf numFmtId="164" fontId="6" fillId="0" borderId="29" xfId="0" applyNumberFormat="1" applyFont="1" applyBorder="1" applyAlignment="1" applyProtection="1">
      <alignment/>
      <protection locked="0"/>
    </xf>
    <xf numFmtId="10" fontId="6" fillId="0" borderId="42" xfId="0" applyNumberFormat="1" applyFont="1" applyBorder="1" applyAlignment="1" applyProtection="1">
      <alignment/>
      <protection locked="0"/>
    </xf>
    <xf numFmtId="5" fontId="6" fillId="0" borderId="33" xfId="0" applyNumberFormat="1" applyFont="1" applyBorder="1" applyAlignment="1" applyProtection="1">
      <alignment horizontal="center"/>
      <protection locked="0"/>
    </xf>
    <xf numFmtId="5" fontId="6" fillId="0" borderId="32" xfId="0" applyNumberFormat="1" applyFont="1" applyBorder="1" applyAlignment="1" applyProtection="1">
      <alignment horizontal="center"/>
      <protection locked="0"/>
    </xf>
    <xf numFmtId="5" fontId="6" fillId="0" borderId="19" xfId="0" applyNumberFormat="1" applyFont="1" applyBorder="1" applyAlignment="1" applyProtection="1">
      <alignment horizontal="center"/>
      <protection locked="0"/>
    </xf>
    <xf numFmtId="5" fontId="6" fillId="0" borderId="30" xfId="0" applyNumberFormat="1" applyFont="1" applyBorder="1" applyAlignment="1" applyProtection="1">
      <alignment horizontal="center"/>
      <protection locked="0"/>
    </xf>
    <xf numFmtId="5" fontId="6" fillId="0" borderId="34" xfId="0" applyNumberFormat="1" applyFont="1" applyBorder="1" applyAlignment="1" applyProtection="1">
      <alignment horizontal="center"/>
      <protection locked="0"/>
    </xf>
    <xf numFmtId="5" fontId="6" fillId="0" borderId="31" xfId="0" applyNumberFormat="1" applyFont="1" applyBorder="1" applyAlignment="1" applyProtection="1">
      <alignment horizontal="center"/>
      <protection locked="0"/>
    </xf>
    <xf numFmtId="165" fontId="6" fillId="0" borderId="33" xfId="0" applyNumberFormat="1" applyFont="1" applyBorder="1" applyAlignment="1" applyProtection="1">
      <alignment horizontal="center"/>
      <protection locked="0"/>
    </xf>
    <xf numFmtId="165" fontId="6" fillId="0" borderId="19" xfId="0" applyNumberFormat="1" applyFont="1" applyBorder="1" applyAlignment="1" applyProtection="1">
      <alignment horizontal="center"/>
      <protection locked="0"/>
    </xf>
    <xf numFmtId="164" fontId="6" fillId="0" borderId="36" xfId="0" applyNumberFormat="1" applyFont="1" applyBorder="1" applyAlignment="1" applyProtection="1">
      <alignment/>
      <protection locked="0"/>
    </xf>
    <xf numFmtId="164" fontId="6" fillId="0" borderId="37" xfId="0" applyNumberFormat="1" applyFont="1" applyBorder="1" applyAlignment="1" applyProtection="1">
      <alignment/>
      <protection locked="0"/>
    </xf>
    <xf numFmtId="165" fontId="6" fillId="0" borderId="34" xfId="0" applyNumberFormat="1" applyFont="1" applyBorder="1" applyAlignment="1" applyProtection="1">
      <alignment horizontal="center"/>
      <protection locked="0"/>
    </xf>
    <xf numFmtId="5" fontId="6" fillId="15" borderId="30" xfId="0" applyNumberFormat="1" applyFont="1" applyFill="1" applyBorder="1" applyAlignment="1" applyProtection="1">
      <alignment horizontal="center"/>
      <protection locked="0"/>
    </xf>
    <xf numFmtId="164" fontId="6" fillId="15" borderId="19" xfId="0" applyNumberFormat="1" applyFont="1" applyFill="1" applyBorder="1" applyAlignment="1" applyProtection="1">
      <alignment horizontal="center"/>
      <protection locked="0"/>
    </xf>
    <xf numFmtId="164" fontId="31" fillId="0" borderId="43" xfId="0" applyNumberFormat="1" applyFont="1" applyBorder="1" applyAlignment="1" applyProtection="1">
      <alignment horizontal="center"/>
      <protection locked="0"/>
    </xf>
    <xf numFmtId="164" fontId="31" fillId="0" borderId="44" xfId="0" applyNumberFormat="1" applyFont="1" applyBorder="1" applyAlignment="1" applyProtection="1">
      <alignment horizontal="center"/>
      <protection locked="0"/>
    </xf>
    <xf numFmtId="164" fontId="31" fillId="0" borderId="45" xfId="0" applyNumberFormat="1" applyFont="1" applyBorder="1" applyAlignment="1" applyProtection="1">
      <alignment horizontal="center"/>
      <protection locked="0"/>
    </xf>
    <xf numFmtId="164" fontId="31" fillId="0" borderId="46" xfId="0" applyNumberFormat="1" applyFont="1" applyBorder="1" applyAlignment="1" applyProtection="1">
      <alignment horizontal="center"/>
      <protection locked="0"/>
    </xf>
    <xf numFmtId="164" fontId="31" fillId="0" borderId="47" xfId="0" applyNumberFormat="1" applyFont="1" applyBorder="1" applyAlignment="1" applyProtection="1">
      <alignment horizontal="center"/>
      <protection locked="0"/>
    </xf>
    <xf numFmtId="164" fontId="31" fillId="0" borderId="48" xfId="0" applyNumberFormat="1" applyFont="1" applyBorder="1" applyAlignment="1" applyProtection="1">
      <alignment horizontal="center"/>
      <protection locked="0"/>
    </xf>
    <xf numFmtId="164" fontId="31" fillId="0" borderId="49" xfId="0" applyNumberFormat="1" applyFont="1" applyBorder="1" applyAlignment="1" applyProtection="1">
      <alignment horizontal="center"/>
      <protection locked="0"/>
    </xf>
    <xf numFmtId="9" fontId="31" fillId="0" borderId="42" xfId="0" applyNumberFormat="1" applyFont="1" applyBorder="1" applyAlignment="1" applyProtection="1">
      <alignment horizontal="center"/>
      <protection locked="0"/>
    </xf>
    <xf numFmtId="3" fontId="1" fillId="0" borderId="0" xfId="0" applyNumberFormat="1" applyFont="1" applyAlignment="1" applyProtection="1">
      <alignment horizontal="right"/>
      <protection/>
    </xf>
    <xf numFmtId="164" fontId="4" fillId="0" borderId="12" xfId="0" applyFont="1" applyFill="1" applyBorder="1" applyAlignment="1" applyProtection="1">
      <alignment/>
      <protection/>
    </xf>
    <xf numFmtId="0" fontId="13" fillId="0" borderId="0" xfId="22" applyFont="1">
      <alignment/>
      <protection/>
    </xf>
    <xf numFmtId="0" fontId="13" fillId="0" borderId="0" xfId="22" applyProtection="1">
      <alignment/>
      <protection/>
    </xf>
    <xf numFmtId="3" fontId="4" fillId="0" borderId="0" xfId="0" applyNumberFormat="1" applyFont="1" applyAlignment="1" applyProtection="1">
      <alignment/>
      <protection/>
    </xf>
    <xf numFmtId="173" fontId="31" fillId="0" borderId="1" xfId="23" applyNumberFormat="1" applyFont="1" applyBorder="1" applyAlignment="1" applyProtection="1">
      <alignment horizontal="center"/>
      <protection locked="0"/>
    </xf>
    <xf numFmtId="165" fontId="36" fillId="0" borderId="19" xfId="21" applyNumberFormat="1" applyFont="1" applyBorder="1" applyAlignment="1" applyProtection="1">
      <alignment horizontal="center"/>
      <protection locked="0"/>
    </xf>
    <xf numFmtId="0" fontId="50" fillId="0" borderId="0" xfId="21" applyFont="1" applyProtection="1">
      <alignment/>
      <protection/>
    </xf>
    <xf numFmtId="39" fontId="5" fillId="0" borderId="5" xfId="21" applyNumberFormat="1" applyFont="1" applyFill="1" applyBorder="1" applyAlignment="1" applyProtection="1">
      <alignment horizontal="left"/>
      <protection/>
    </xf>
    <xf numFmtId="0" fontId="37" fillId="0" borderId="5" xfId="21" applyFill="1" applyBorder="1" applyProtection="1">
      <alignment/>
      <protection/>
    </xf>
    <xf numFmtId="39" fontId="37" fillId="0" borderId="5" xfId="21" applyNumberFormat="1" applyFill="1" applyBorder="1" applyProtection="1">
      <alignment/>
      <protection/>
    </xf>
    <xf numFmtId="0" fontId="37" fillId="0" borderId="50" xfId="21" applyFont="1" applyBorder="1" applyProtection="1">
      <alignment/>
      <protection/>
    </xf>
    <xf numFmtId="0" fontId="37" fillId="0" borderId="51" xfId="21" applyFont="1" applyBorder="1" applyProtection="1">
      <alignment/>
      <protection/>
    </xf>
    <xf numFmtId="0" fontId="39" fillId="0" borderId="0" xfId="21" applyFont="1" applyFill="1" applyBorder="1" applyProtection="1">
      <alignment/>
      <protection/>
    </xf>
    <xf numFmtId="0" fontId="37" fillId="0" borderId="52" xfId="21" applyFont="1" applyBorder="1" applyProtection="1">
      <alignment/>
      <protection/>
    </xf>
    <xf numFmtId="0" fontId="37" fillId="0" borderId="53" xfId="21" applyFont="1" applyBorder="1" applyProtection="1">
      <alignment/>
      <protection/>
    </xf>
    <xf numFmtId="168" fontId="4" fillId="0" borderId="7" xfId="0" applyNumberFormat="1" applyFont="1" applyBorder="1" applyAlignment="1" applyProtection="1">
      <alignment horizontal="center"/>
      <protection/>
    </xf>
    <xf numFmtId="168" fontId="4" fillId="0" borderId="8" xfId="0" applyNumberFormat="1" applyFont="1" applyBorder="1" applyAlignment="1" applyProtection="1">
      <alignment horizontal="center"/>
      <protection/>
    </xf>
    <xf numFmtId="168" fontId="4" fillId="0" borderId="9" xfId="0" applyNumberFormat="1" applyFont="1" applyBorder="1" applyAlignment="1" applyProtection="1">
      <alignment horizontal="center"/>
      <protection/>
    </xf>
    <xf numFmtId="164" fontId="4" fillId="0" borderId="12" xfId="0" applyFont="1" applyBorder="1" applyAlignment="1" applyProtection="1">
      <alignment horizontal="center"/>
      <protection/>
    </xf>
    <xf numFmtId="3" fontId="4" fillId="0" borderId="54" xfId="0" applyNumberFormat="1" applyFont="1" applyBorder="1" applyAlignment="1" applyProtection="1">
      <alignment/>
      <protection/>
    </xf>
    <xf numFmtId="3" fontId="4" fillId="0" borderId="7" xfId="0" applyNumberFormat="1" applyFont="1" applyBorder="1" applyAlignment="1" applyProtection="1">
      <alignment horizontal="center"/>
      <protection/>
    </xf>
    <xf numFmtId="3" fontId="4" fillId="0" borderId="8" xfId="0" applyNumberFormat="1" applyFont="1" applyBorder="1" applyAlignment="1" applyProtection="1">
      <alignment horizontal="center"/>
      <protection/>
    </xf>
    <xf numFmtId="3" fontId="4" fillId="0" borderId="9" xfId="0" applyNumberFormat="1" applyFont="1" applyBorder="1" applyAlignment="1" applyProtection="1">
      <alignment horizontal="center"/>
      <protection/>
    </xf>
    <xf numFmtId="3" fontId="4" fillId="0" borderId="55" xfId="0" applyNumberFormat="1" applyFont="1" applyBorder="1" applyAlignment="1" applyProtection="1">
      <alignment/>
      <protection/>
    </xf>
    <xf numFmtId="3" fontId="4" fillId="0" borderId="2" xfId="0" applyNumberFormat="1" applyFont="1" applyBorder="1" applyAlignment="1" applyProtection="1">
      <alignment/>
      <protection/>
    </xf>
    <xf numFmtId="3" fontId="4" fillId="0" borderId="56" xfId="0" applyNumberFormat="1" applyFont="1" applyBorder="1" applyAlignment="1" applyProtection="1">
      <alignment/>
      <protection/>
    </xf>
    <xf numFmtId="0" fontId="37" fillId="0" borderId="0" xfId="21" applyFont="1" applyBorder="1" applyAlignment="1" applyProtection="1">
      <alignment horizontal="center"/>
      <protection/>
    </xf>
    <xf numFmtId="6" fontId="37" fillId="0" borderId="7" xfId="21" applyNumberFormat="1" applyBorder="1" applyAlignment="1" applyProtection="1">
      <alignment horizontal="center"/>
      <protection/>
    </xf>
    <xf numFmtId="6" fontId="37" fillId="0" borderId="8" xfId="21" applyNumberFormat="1" applyBorder="1" applyAlignment="1" applyProtection="1">
      <alignment horizontal="center"/>
      <protection/>
    </xf>
    <xf numFmtId="6" fontId="37" fillId="0" borderId="9" xfId="21" applyNumberFormat="1" applyBorder="1" applyAlignment="1" applyProtection="1">
      <alignment horizontal="center"/>
      <protection/>
    </xf>
    <xf numFmtId="6" fontId="37" fillId="0" borderId="8" xfId="21" applyNumberFormat="1" applyFont="1" applyBorder="1" applyAlignment="1" applyProtection="1">
      <alignment horizontal="center"/>
      <protection/>
    </xf>
    <xf numFmtId="6" fontId="37" fillId="0" borderId="0" xfId="21" applyNumberFormat="1" applyFill="1" applyAlignment="1" applyProtection="1">
      <alignment horizontal="center"/>
      <protection/>
    </xf>
    <xf numFmtId="164" fontId="4" fillId="3" borderId="0" xfId="0" applyFont="1" applyFill="1" applyBorder="1" applyAlignment="1" applyProtection="1">
      <alignment/>
      <protection/>
    </xf>
    <xf numFmtId="164" fontId="41" fillId="0" borderId="0" xfId="0" applyFont="1" applyAlignment="1" applyProtection="1">
      <alignment horizontal="center"/>
      <protection/>
    </xf>
    <xf numFmtId="164" fontId="41" fillId="0" borderId="5" xfId="0" applyFont="1" applyBorder="1" applyAlignment="1" applyProtection="1">
      <alignment horizontal="center"/>
      <protection/>
    </xf>
    <xf numFmtId="164" fontId="10" fillId="14" borderId="12" xfId="0" applyNumberFormat="1" applyFont="1" applyFill="1" applyBorder="1" applyAlignment="1" applyProtection="1">
      <alignment horizontal="left"/>
      <protection/>
    </xf>
    <xf numFmtId="164" fontId="0" fillId="0" borderId="0" xfId="0" applyAlignment="1">
      <alignment horizontal="center"/>
    </xf>
    <xf numFmtId="164" fontId="5" fillId="0" borderId="1" xfId="0" applyFont="1" applyBorder="1" applyAlignment="1">
      <alignment horizontal="center"/>
    </xf>
    <xf numFmtId="164" fontId="5" fillId="0" borderId="0" xfId="0" applyFont="1" applyAlignment="1">
      <alignment/>
    </xf>
    <xf numFmtId="0" fontId="13" fillId="0" borderId="0" xfId="22" applyAlignment="1">
      <alignment horizontal="center"/>
      <protection/>
    </xf>
    <xf numFmtId="164" fontId="0" fillId="0" borderId="0" xfId="0" applyAlignment="1">
      <alignment horizontal="left"/>
    </xf>
    <xf numFmtId="164" fontId="5" fillId="0" borderId="0" xfId="0" applyFont="1" applyAlignment="1">
      <alignment horizontal="left"/>
    </xf>
    <xf numFmtId="0" fontId="13" fillId="0" borderId="0" xfId="22" applyFont="1">
      <alignment/>
      <protection/>
    </xf>
    <xf numFmtId="2" fontId="0" fillId="0" borderId="0" xfId="0" applyNumberFormat="1" applyAlignment="1">
      <alignment horizontal="center"/>
    </xf>
    <xf numFmtId="178" fontId="4" fillId="6" borderId="1" xfId="0" applyNumberFormat="1" applyFont="1" applyFill="1" applyBorder="1" applyAlignment="1" applyProtection="1">
      <alignment horizontal="center"/>
      <protection/>
    </xf>
    <xf numFmtId="10" fontId="6" fillId="0" borderId="57" xfId="0" applyNumberFormat="1" applyFont="1" applyBorder="1" applyAlignment="1" applyProtection="1">
      <alignment horizontal="center"/>
      <protection locked="0"/>
    </xf>
    <xf numFmtId="10" fontId="6" fillId="0" borderId="58" xfId="0" applyNumberFormat="1" applyFont="1" applyBorder="1" applyAlignment="1" applyProtection="1">
      <alignment horizontal="center"/>
      <protection locked="0"/>
    </xf>
    <xf numFmtId="10" fontId="6" fillId="0" borderId="59" xfId="0" applyNumberFormat="1" applyFont="1" applyBorder="1" applyAlignment="1" applyProtection="1">
      <alignment horizontal="center"/>
      <protection locked="0"/>
    </xf>
    <xf numFmtId="10" fontId="6" fillId="0" borderId="1" xfId="0" applyNumberFormat="1" applyFont="1" applyBorder="1" applyAlignment="1" applyProtection="1">
      <alignment horizontal="center"/>
      <protection locked="0"/>
    </xf>
    <xf numFmtId="3" fontId="4" fillId="0" borderId="54" xfId="0" applyNumberFormat="1" applyFont="1" applyBorder="1" applyAlignment="1" applyProtection="1">
      <alignment horizontal="center"/>
      <protection/>
    </xf>
    <xf numFmtId="3" fontId="4" fillId="0" borderId="55" xfId="0" applyNumberFormat="1" applyFont="1" applyBorder="1" applyAlignment="1" applyProtection="1">
      <alignment horizontal="center"/>
      <protection/>
    </xf>
    <xf numFmtId="3" fontId="4" fillId="0" borderId="2" xfId="0" applyNumberFormat="1" applyFont="1" applyBorder="1" applyAlignment="1" applyProtection="1">
      <alignment horizontal="center"/>
      <protection/>
    </xf>
    <xf numFmtId="3" fontId="4" fillId="0" borderId="56" xfId="0" applyNumberFormat="1" applyFont="1" applyBorder="1" applyAlignment="1" applyProtection="1">
      <alignment horizontal="center"/>
      <protection/>
    </xf>
    <xf numFmtId="164" fontId="7" fillId="9" borderId="0" xfId="0" applyFont="1" applyFill="1" applyAlignment="1" applyProtection="1">
      <alignment horizontal="center"/>
      <protection/>
    </xf>
    <xf numFmtId="0" fontId="37" fillId="0" borderId="0" xfId="21" applyFont="1" applyAlignment="1" applyProtection="1">
      <alignment horizontal="center"/>
      <protection/>
    </xf>
    <xf numFmtId="6" fontId="37" fillId="0" borderId="0" xfId="21" applyNumberFormat="1" applyBorder="1" applyProtection="1">
      <alignment/>
      <protection/>
    </xf>
    <xf numFmtId="0" fontId="37" fillId="0" borderId="0" xfId="21" applyAlignment="1" applyProtection="1">
      <alignment horizontal="right"/>
      <protection/>
    </xf>
    <xf numFmtId="2" fontId="0" fillId="0" borderId="0" xfId="0" applyNumberFormat="1" applyAlignment="1" applyProtection="1">
      <alignment horizontal="center"/>
      <protection/>
    </xf>
    <xf numFmtId="165" fontId="36" fillId="0" borderId="15" xfId="21" applyNumberFormat="1" applyFont="1" applyBorder="1" applyAlignment="1" applyProtection="1">
      <alignment horizontal="center"/>
      <protection locked="0"/>
    </xf>
    <xf numFmtId="165" fontId="36" fillId="0" borderId="24" xfId="21" applyNumberFormat="1" applyFont="1" applyBorder="1" applyAlignment="1" applyProtection="1">
      <alignment horizontal="center"/>
      <protection locked="0"/>
    </xf>
    <xf numFmtId="168" fontId="31" fillId="0" borderId="35" xfId="0" applyNumberFormat="1" applyFont="1" applyBorder="1" applyAlignment="1" applyProtection="1">
      <alignment horizontal="center"/>
      <protection locked="0"/>
    </xf>
    <xf numFmtId="168" fontId="31" fillId="0" borderId="32" xfId="0" applyNumberFormat="1" applyFont="1" applyBorder="1" applyAlignment="1" applyProtection="1">
      <alignment horizontal="center"/>
      <protection locked="0"/>
    </xf>
    <xf numFmtId="168" fontId="31" fillId="0" borderId="36" xfId="0" applyNumberFormat="1" applyFont="1" applyBorder="1" applyAlignment="1" applyProtection="1">
      <alignment horizontal="center"/>
      <protection locked="0"/>
    </xf>
    <xf numFmtId="168" fontId="31" fillId="0" borderId="30" xfId="0" applyNumberFormat="1" applyFont="1" applyBorder="1" applyAlignment="1" applyProtection="1">
      <alignment horizontal="center"/>
      <protection locked="0"/>
    </xf>
    <xf numFmtId="168" fontId="31" fillId="0" borderId="37" xfId="0" applyNumberFormat="1" applyFont="1" applyBorder="1" applyAlignment="1" applyProtection="1">
      <alignment horizontal="center"/>
      <protection locked="0"/>
    </xf>
    <xf numFmtId="168" fontId="31" fillId="0" borderId="31" xfId="0" applyNumberFormat="1" applyFont="1" applyBorder="1" applyAlignment="1" applyProtection="1">
      <alignment horizontal="center"/>
      <protection locked="0"/>
    </xf>
    <xf numFmtId="164" fontId="0" fillId="0" borderId="0" xfId="0" applyFill="1" applyAlignment="1" applyProtection="1">
      <alignment/>
      <protection/>
    </xf>
    <xf numFmtId="164" fontId="39" fillId="0" borderId="0" xfId="0" applyFont="1" applyFill="1" applyAlignment="1" applyProtection="1">
      <alignment/>
      <protection/>
    </xf>
    <xf numFmtId="164" fontId="50" fillId="0" borderId="0" xfId="0" applyFont="1" applyBorder="1" applyAlignment="1" applyProtection="1">
      <alignment horizontal="left"/>
      <protection/>
    </xf>
    <xf numFmtId="164" fontId="50" fillId="0" borderId="0" xfId="0" applyFont="1" applyBorder="1" applyAlignment="1" applyProtection="1">
      <alignment horizontal="right"/>
      <protection/>
    </xf>
    <xf numFmtId="3" fontId="13" fillId="0" borderId="0" xfId="0" applyNumberFormat="1" applyFont="1" applyAlignment="1" applyProtection="1">
      <alignment horizontal="center"/>
      <protection/>
    </xf>
    <xf numFmtId="164" fontId="0" fillId="0" borderId="0" xfId="0" applyAlignment="1" applyProtection="1" quotePrefix="1">
      <alignment/>
      <protection/>
    </xf>
    <xf numFmtId="3" fontId="39" fillId="0" borderId="0" xfId="0" applyNumberFormat="1" applyFont="1" applyAlignment="1" applyProtection="1">
      <alignment horizontal="center"/>
      <protection/>
    </xf>
    <xf numFmtId="164" fontId="0" fillId="0" borderId="0" xfId="0" applyAlignment="1" applyProtection="1">
      <alignment horizontal="left"/>
      <protection/>
    </xf>
    <xf numFmtId="3" fontId="39" fillId="0" borderId="0" xfId="0" applyNumberFormat="1" applyFont="1" applyFill="1" applyAlignment="1" applyProtection="1">
      <alignment horizontal="center"/>
      <protection/>
    </xf>
    <xf numFmtId="164" fontId="39" fillId="0" borderId="0" xfId="0" applyFont="1" applyAlignment="1" applyProtection="1">
      <alignment horizontal="center"/>
      <protection/>
    </xf>
    <xf numFmtId="3" fontId="39" fillId="0" borderId="0" xfId="23" applyNumberFormat="1" applyFont="1" applyFill="1" applyAlignment="1" applyProtection="1">
      <alignment horizontal="center"/>
      <protection/>
    </xf>
    <xf numFmtId="10" fontId="39" fillId="0" borderId="0" xfId="23" applyNumberFormat="1" applyFont="1" applyAlignment="1" applyProtection="1">
      <alignment horizontal="center"/>
      <protection/>
    </xf>
    <xf numFmtId="173" fontId="4" fillId="0" borderId="0" xfId="0" applyNumberFormat="1" applyFont="1" applyBorder="1" applyAlignment="1" applyProtection="1">
      <alignment horizontal="center"/>
      <protection/>
    </xf>
    <xf numFmtId="164" fontId="4" fillId="0" borderId="0" xfId="0" applyNumberFormat="1" applyFont="1" applyFill="1" applyAlignment="1" applyProtection="1">
      <alignment horizontal="center"/>
      <protection/>
    </xf>
    <xf numFmtId="165" fontId="39" fillId="0" borderId="0" xfId="0" applyNumberFormat="1" applyFont="1" applyBorder="1" applyAlignment="1" applyProtection="1">
      <alignment horizontal="center"/>
      <protection/>
    </xf>
    <xf numFmtId="7" fontId="1" fillId="0" borderId="60" xfId="0" applyNumberFormat="1" applyFont="1" applyBorder="1" applyAlignment="1" applyProtection="1">
      <alignment horizontal="center"/>
      <protection/>
    </xf>
    <xf numFmtId="7" fontId="4" fillId="0" borderId="61" xfId="0" applyNumberFormat="1" applyFont="1" applyBorder="1" applyAlignment="1" applyProtection="1">
      <alignment horizontal="center"/>
      <protection/>
    </xf>
    <xf numFmtId="7" fontId="4" fillId="0" borderId="10" xfId="0" applyNumberFormat="1" applyFont="1" applyBorder="1" applyAlignment="1" applyProtection="1">
      <alignment horizontal="center"/>
      <protection/>
    </xf>
    <xf numFmtId="164" fontId="8" fillId="0" borderId="0" xfId="0" applyFont="1" applyBorder="1" applyAlignment="1" applyProtection="1">
      <alignment/>
      <protection/>
    </xf>
    <xf numFmtId="3" fontId="4" fillId="0" borderId="0" xfId="0" applyNumberFormat="1" applyFont="1" applyFill="1" applyAlignment="1" applyProtection="1">
      <alignment horizontal="center"/>
      <protection/>
    </xf>
    <xf numFmtId="3" fontId="13" fillId="0" borderId="6" xfId="0" applyNumberFormat="1" applyFont="1" applyBorder="1" applyAlignment="1" applyProtection="1">
      <alignment horizontal="center"/>
      <protection/>
    </xf>
    <xf numFmtId="1" fontId="4" fillId="0" borderId="0" xfId="0" applyNumberFormat="1" applyFont="1" applyFill="1" applyAlignment="1" applyProtection="1">
      <alignment horizontal="center"/>
      <protection/>
    </xf>
    <xf numFmtId="164" fontId="56" fillId="0" borderId="0" xfId="0" applyFont="1" applyBorder="1" applyAlignment="1" applyProtection="1">
      <alignment horizontal="center"/>
      <protection locked="0"/>
    </xf>
    <xf numFmtId="173" fontId="37" fillId="0" borderId="0" xfId="23" applyNumberFormat="1" applyFont="1" applyFill="1" applyBorder="1" applyAlignment="1" applyProtection="1">
      <alignment horizontal="center"/>
      <protection/>
    </xf>
    <xf numFmtId="3" fontId="56" fillId="0" borderId="0" xfId="0" applyNumberFormat="1" applyFont="1" applyAlignment="1" applyProtection="1">
      <alignment horizontal="center"/>
      <protection locked="0"/>
    </xf>
    <xf numFmtId="173" fontId="56" fillId="0" borderId="0" xfId="23" applyNumberFormat="1" applyFont="1" applyAlignment="1" applyProtection="1">
      <alignment horizontal="center"/>
      <protection locked="0"/>
    </xf>
    <xf numFmtId="164" fontId="56" fillId="0" borderId="0" xfId="0" applyFont="1" applyAlignment="1" applyProtection="1">
      <alignment horizontal="center"/>
      <protection locked="0"/>
    </xf>
    <xf numFmtId="173" fontId="6" fillId="0" borderId="0" xfId="23" applyNumberFormat="1" applyFont="1" applyBorder="1" applyAlignment="1" applyProtection="1">
      <alignment horizontal="center"/>
      <protection locked="0"/>
    </xf>
    <xf numFmtId="168" fontId="56" fillId="0" borderId="0" xfId="0" applyNumberFormat="1" applyFont="1" applyBorder="1" applyAlignment="1" applyProtection="1">
      <alignment horizontal="center"/>
      <protection locked="0"/>
    </xf>
    <xf numFmtId="164" fontId="6" fillId="0" borderId="0" xfId="0" applyNumberFormat="1" applyFont="1" applyFill="1" applyBorder="1" applyAlignment="1" applyProtection="1">
      <alignment horizontal="center"/>
      <protection locked="0"/>
    </xf>
    <xf numFmtId="164" fontId="1" fillId="0" borderId="12" xfId="0" applyFont="1" applyBorder="1" applyAlignment="1" applyProtection="1">
      <alignment horizontal="left"/>
      <protection/>
    </xf>
    <xf numFmtId="164" fontId="1" fillId="0" borderId="62" xfId="0" applyFont="1" applyBorder="1" applyAlignment="1" applyProtection="1">
      <alignment horizontal="left"/>
      <protection/>
    </xf>
    <xf numFmtId="164" fontId="4" fillId="0" borderId="0" xfId="0" applyFont="1" applyFill="1" applyBorder="1" applyAlignment="1" applyProtection="1">
      <alignment horizontal="right"/>
      <protection/>
    </xf>
    <xf numFmtId="164" fontId="31" fillId="0" borderId="35" xfId="0" applyNumberFormat="1" applyFont="1" applyBorder="1" applyAlignment="1" applyProtection="1">
      <alignment horizontal="center"/>
      <protection locked="0"/>
    </xf>
    <xf numFmtId="164" fontId="31" fillId="0" borderId="33" xfId="0" applyNumberFormat="1" applyFont="1" applyBorder="1" applyAlignment="1" applyProtection="1">
      <alignment horizontal="center"/>
      <protection locked="0"/>
    </xf>
    <xf numFmtId="164" fontId="31" fillId="0" borderId="32" xfId="0" applyNumberFormat="1" applyFont="1" applyBorder="1" applyAlignment="1" applyProtection="1">
      <alignment horizontal="center"/>
      <protection locked="0"/>
    </xf>
    <xf numFmtId="9" fontId="31" fillId="0" borderId="34" xfId="0" applyNumberFormat="1" applyFont="1" applyBorder="1" applyAlignment="1" applyProtection="1">
      <alignment horizontal="center"/>
      <protection locked="0"/>
    </xf>
    <xf numFmtId="164" fontId="33" fillId="0" borderId="5" xfId="0" applyNumberFormat="1" applyFont="1" applyBorder="1" applyAlignment="1" applyProtection="1">
      <alignment horizontal="right"/>
      <protection/>
    </xf>
    <xf numFmtId="164" fontId="1" fillId="0" borderId="63" xfId="0" applyFont="1" applyBorder="1" applyAlignment="1" applyProtection="1">
      <alignment horizontal="left"/>
      <protection/>
    </xf>
    <xf numFmtId="173" fontId="31" fillId="0" borderId="5" xfId="23" applyNumberFormat="1" applyFont="1" applyBorder="1" applyAlignment="1" applyProtection="1">
      <alignment horizontal="center"/>
      <protection/>
    </xf>
    <xf numFmtId="5" fontId="0" fillId="0" borderId="18" xfId="21" applyNumberFormat="1" applyFont="1" applyBorder="1" applyAlignment="1" applyProtection="1">
      <alignment horizontal="center"/>
      <protection/>
    </xf>
    <xf numFmtId="5" fontId="0" fillId="0" borderId="22" xfId="21" applyNumberFormat="1" applyFont="1" applyBorder="1" applyAlignment="1" applyProtection="1">
      <alignment horizontal="center"/>
      <protection/>
    </xf>
    <xf numFmtId="37" fontId="0" fillId="0" borderId="16" xfId="21" applyNumberFormat="1" applyFont="1" applyBorder="1" applyAlignment="1" applyProtection="1">
      <alignment horizontal="center"/>
      <protection/>
    </xf>
    <xf numFmtId="37" fontId="0" fillId="0" borderId="20" xfId="21" applyNumberFormat="1" applyFont="1" applyBorder="1" applyAlignment="1" applyProtection="1">
      <alignment horizontal="center"/>
      <protection/>
    </xf>
    <xf numFmtId="37" fontId="0" fillId="0" borderId="25" xfId="21" applyNumberFormat="1" applyFont="1" applyBorder="1" applyAlignment="1" applyProtection="1">
      <alignment horizontal="center"/>
      <protection/>
    </xf>
    <xf numFmtId="168" fontId="31" fillId="0" borderId="40" xfId="0" applyNumberFormat="1" applyFont="1" applyBorder="1" applyAlignment="1" applyProtection="1">
      <alignment horizontal="center"/>
      <protection locked="0"/>
    </xf>
    <xf numFmtId="164" fontId="31" fillId="0" borderId="1" xfId="0" applyFont="1" applyBorder="1" applyAlignment="1" applyProtection="1">
      <alignment horizontal="center"/>
      <protection locked="0"/>
    </xf>
    <xf numFmtId="168" fontId="4" fillId="0" borderId="0" xfId="0" applyNumberFormat="1" applyFont="1" applyBorder="1" applyAlignment="1" applyProtection="1">
      <alignment horizontal="center"/>
      <protection/>
    </xf>
    <xf numFmtId="168" fontId="31" fillId="0" borderId="64" xfId="0" applyNumberFormat="1" applyFont="1" applyBorder="1" applyAlignment="1" applyProtection="1">
      <alignment horizontal="center"/>
      <protection locked="0"/>
    </xf>
    <xf numFmtId="9" fontId="31" fillId="0" borderId="32" xfId="0" applyNumberFormat="1" applyFont="1" applyBorder="1" applyAlignment="1" applyProtection="1">
      <alignment horizontal="center"/>
      <protection locked="0"/>
    </xf>
    <xf numFmtId="164" fontId="10" fillId="0" borderId="0" xfId="0" applyFont="1" applyFill="1" applyAlignment="1" applyProtection="1">
      <alignment/>
      <protection/>
    </xf>
    <xf numFmtId="164" fontId="4" fillId="0" borderId="65" xfId="0" applyNumberFormat="1" applyFont="1" applyFill="1" applyBorder="1" applyAlignment="1" applyProtection="1">
      <alignment/>
      <protection/>
    </xf>
    <xf numFmtId="164" fontId="4" fillId="0" borderId="66" xfId="0" applyFont="1" applyFill="1" applyBorder="1" applyAlignment="1" applyProtection="1">
      <alignment/>
      <protection/>
    </xf>
    <xf numFmtId="164" fontId="4" fillId="0" borderId="67" xfId="0" applyFont="1" applyFill="1" applyBorder="1" applyAlignment="1" applyProtection="1">
      <alignment/>
      <protection/>
    </xf>
    <xf numFmtId="164" fontId="4" fillId="0" borderId="68" xfId="0" applyFont="1" applyFill="1" applyBorder="1" applyAlignment="1" applyProtection="1">
      <alignment/>
      <protection/>
    </xf>
    <xf numFmtId="164" fontId="4" fillId="0" borderId="61" xfId="0" applyFont="1" applyFill="1" applyBorder="1" applyAlignment="1" applyProtection="1">
      <alignment/>
      <protection/>
    </xf>
    <xf numFmtId="164" fontId="4" fillId="0" borderId="69" xfId="0" applyFont="1" applyFill="1" applyBorder="1" applyAlignment="1" applyProtection="1">
      <alignment/>
      <protection/>
    </xf>
    <xf numFmtId="164" fontId="4" fillId="0" borderId="61" xfId="0" applyNumberFormat="1" applyFont="1" applyFill="1" applyBorder="1" applyAlignment="1" applyProtection="1">
      <alignment horizontal="left"/>
      <protection/>
    </xf>
    <xf numFmtId="164" fontId="4" fillId="0" borderId="5" xfId="0" applyFont="1" applyFill="1" applyBorder="1" applyAlignment="1" applyProtection="1">
      <alignment/>
      <protection/>
    </xf>
    <xf numFmtId="164" fontId="4" fillId="0" borderId="70" xfId="0" applyFont="1" applyFill="1" applyBorder="1" applyAlignment="1" applyProtection="1">
      <alignment/>
      <protection/>
    </xf>
    <xf numFmtId="5" fontId="4" fillId="0" borderId="0" xfId="0" applyNumberFormat="1" applyFont="1" applyFill="1" applyBorder="1" applyAlignment="1" applyProtection="1">
      <alignment horizontal="right"/>
      <protection/>
    </xf>
    <xf numFmtId="164" fontId="4" fillId="0" borderId="71" xfId="0" applyFont="1" applyBorder="1" applyAlignment="1" applyProtection="1">
      <alignment horizontal="center"/>
      <protection/>
    </xf>
    <xf numFmtId="5" fontId="4" fillId="0" borderId="33" xfId="0" applyNumberFormat="1" applyFont="1" applyBorder="1" applyAlignment="1" applyProtection="1">
      <alignment horizontal="center"/>
      <protection/>
    </xf>
    <xf numFmtId="164" fontId="4" fillId="0" borderId="33" xfId="0" applyNumberFormat="1" applyFont="1" applyBorder="1" applyAlignment="1" applyProtection="1">
      <alignment horizontal="center"/>
      <protection/>
    </xf>
    <xf numFmtId="5" fontId="4" fillId="0" borderId="32" xfId="0" applyNumberFormat="1" applyFont="1" applyBorder="1" applyAlignment="1" applyProtection="1">
      <alignment horizontal="center"/>
      <protection/>
    </xf>
    <xf numFmtId="9" fontId="31" fillId="0" borderId="37" xfId="0" applyNumberFormat="1" applyFont="1" applyBorder="1" applyAlignment="1" applyProtection="1">
      <alignment horizontal="center"/>
      <protection locked="0"/>
    </xf>
    <xf numFmtId="164" fontId="4" fillId="0" borderId="1" xfId="0" applyFont="1" applyBorder="1" applyAlignment="1" applyProtection="1">
      <alignment/>
      <protection/>
    </xf>
    <xf numFmtId="164" fontId="32" fillId="0" borderId="0" xfId="0" applyNumberFormat="1" applyFont="1" applyAlignment="1" applyProtection="1">
      <alignment horizontal="right"/>
      <protection/>
    </xf>
    <xf numFmtId="164" fontId="4" fillId="0" borderId="35" xfId="0" applyNumberFormat="1" applyFont="1" applyBorder="1" applyAlignment="1" applyProtection="1">
      <alignment horizontal="left"/>
      <protection/>
    </xf>
    <xf numFmtId="164" fontId="4" fillId="0" borderId="72" xfId="0" applyNumberFormat="1" applyFont="1" applyBorder="1" applyAlignment="1" applyProtection="1">
      <alignment horizontal="left"/>
      <protection/>
    </xf>
    <xf numFmtId="164" fontId="4" fillId="0" borderId="36" xfId="0" applyNumberFormat="1" applyFont="1" applyBorder="1" applyAlignment="1" applyProtection="1">
      <alignment horizontal="left"/>
      <protection/>
    </xf>
    <xf numFmtId="164" fontId="4" fillId="0" borderId="19" xfId="0" applyNumberFormat="1" applyFont="1" applyBorder="1" applyAlignment="1" applyProtection="1">
      <alignment horizontal="center"/>
      <protection/>
    </xf>
    <xf numFmtId="164" fontId="4" fillId="0" borderId="38" xfId="0" applyNumberFormat="1" applyFont="1" applyBorder="1" applyAlignment="1" applyProtection="1">
      <alignment horizontal="center"/>
      <protection/>
    </xf>
    <xf numFmtId="164" fontId="0" fillId="0" borderId="5" xfId="0" applyFill="1" applyBorder="1" applyAlignment="1" applyProtection="1">
      <alignment/>
      <protection/>
    </xf>
    <xf numFmtId="5" fontId="1" fillId="0" borderId="5" xfId="0" applyNumberFormat="1" applyFont="1" applyBorder="1" applyAlignment="1" applyProtection="1">
      <alignment horizontal="center"/>
      <protection/>
    </xf>
    <xf numFmtId="168" fontId="31" fillId="0" borderId="29" xfId="0" applyNumberFormat="1" applyFont="1" applyBorder="1" applyAlignment="1" applyProtection="1">
      <alignment horizontal="center"/>
      <protection locked="0"/>
    </xf>
    <xf numFmtId="164" fontId="8" fillId="0" borderId="0" xfId="0" applyFont="1" applyFill="1" applyAlignment="1" applyProtection="1">
      <alignment/>
      <protection/>
    </xf>
    <xf numFmtId="5" fontId="4" fillId="0" borderId="0" xfId="0" applyNumberFormat="1" applyFont="1" applyFill="1" applyAlignment="1" applyProtection="1">
      <alignment horizontal="right"/>
      <protection/>
    </xf>
    <xf numFmtId="7" fontId="4" fillId="0" borderId="0" xfId="0" applyNumberFormat="1" applyFont="1" applyFill="1" applyAlignment="1" applyProtection="1">
      <alignment horizontal="right"/>
      <protection/>
    </xf>
    <xf numFmtId="3" fontId="9" fillId="16" borderId="0" xfId="0" applyNumberFormat="1" applyFont="1" applyFill="1" applyBorder="1" applyAlignment="1" applyProtection="1">
      <alignment horizontal="right"/>
      <protection/>
    </xf>
    <xf numFmtId="164" fontId="59" fillId="0" borderId="0" xfId="0" applyFont="1" applyFill="1" applyAlignment="1" applyProtection="1">
      <alignment/>
      <protection/>
    </xf>
    <xf numFmtId="164" fontId="1" fillId="0" borderId="0" xfId="0" applyNumberFormat="1" applyFont="1" applyBorder="1" applyAlignment="1" applyProtection="1">
      <alignment/>
      <protection/>
    </xf>
    <xf numFmtId="173" fontId="40" fillId="0" borderId="73" xfId="23" applyNumberFormat="1" applyFont="1" applyBorder="1" applyAlignment="1" applyProtection="1">
      <alignment horizontal="center"/>
      <protection locked="0"/>
    </xf>
    <xf numFmtId="173" fontId="40" fillId="0" borderId="74" xfId="23" applyNumberFormat="1" applyFont="1" applyBorder="1" applyAlignment="1" applyProtection="1">
      <alignment horizontal="center"/>
      <protection locked="0"/>
    </xf>
    <xf numFmtId="164" fontId="50" fillId="0" borderId="5" xfId="0" applyFont="1" applyBorder="1" applyAlignment="1" applyProtection="1">
      <alignment horizontal="left"/>
      <protection/>
    </xf>
    <xf numFmtId="164" fontId="0" fillId="0" borderId="5" xfId="0" applyBorder="1" applyAlignment="1" applyProtection="1">
      <alignment/>
      <protection/>
    </xf>
    <xf numFmtId="0" fontId="13" fillId="0" borderId="5" xfId="22" applyBorder="1" applyProtection="1">
      <alignment/>
      <protection/>
    </xf>
    <xf numFmtId="164" fontId="50" fillId="0" borderId="5" xfId="0" applyFont="1" applyBorder="1" applyAlignment="1" applyProtection="1">
      <alignment horizontal="right"/>
      <protection/>
    </xf>
    <xf numFmtId="164" fontId="56" fillId="0" borderId="5" xfId="0" applyFont="1" applyBorder="1" applyAlignment="1" applyProtection="1">
      <alignment horizontal="center"/>
      <protection/>
    </xf>
    <xf numFmtId="164" fontId="1" fillId="0" borderId="5" xfId="0" applyFont="1" applyFill="1" applyBorder="1" applyAlignment="1" applyProtection="1">
      <alignment/>
      <protection/>
    </xf>
    <xf numFmtId="5" fontId="6" fillId="0" borderId="5" xfId="0" applyNumberFormat="1" applyFont="1" applyFill="1" applyBorder="1" applyAlignment="1" applyProtection="1">
      <alignment horizontal="center"/>
      <protection locked="0"/>
    </xf>
    <xf numFmtId="167" fontId="56" fillId="0" borderId="32" xfId="0" applyNumberFormat="1" applyFont="1" applyBorder="1" applyAlignment="1" applyProtection="1">
      <alignment horizontal="center"/>
      <protection locked="0"/>
    </xf>
    <xf numFmtId="164" fontId="56" fillId="0" borderId="36" xfId="0" applyFont="1" applyBorder="1" applyAlignment="1" applyProtection="1">
      <alignment horizontal="center"/>
      <protection locked="0"/>
    </xf>
    <xf numFmtId="167" fontId="56" fillId="0" borderId="30" xfId="0" applyNumberFormat="1" applyFont="1" applyBorder="1" applyAlignment="1" applyProtection="1">
      <alignment horizontal="center"/>
      <protection locked="0"/>
    </xf>
    <xf numFmtId="167" fontId="56" fillId="0" borderId="31" xfId="0" applyNumberFormat="1" applyFont="1" applyBorder="1" applyAlignment="1" applyProtection="1">
      <alignment horizontal="center"/>
      <protection locked="0"/>
    </xf>
    <xf numFmtId="164" fontId="56" fillId="0" borderId="64" xfId="0" applyFont="1" applyBorder="1" applyAlignment="1" applyProtection="1">
      <alignment horizontal="center"/>
      <protection locked="0"/>
    </xf>
    <xf numFmtId="164" fontId="56" fillId="0" borderId="34" xfId="0" applyFont="1" applyBorder="1" applyAlignment="1" applyProtection="1">
      <alignment horizontal="center"/>
      <protection locked="0"/>
    </xf>
    <xf numFmtId="173" fontId="31" fillId="0" borderId="1" xfId="0" applyNumberFormat="1" applyFont="1" applyBorder="1" applyAlignment="1" applyProtection="1">
      <alignment horizontal="center"/>
      <protection locked="0"/>
    </xf>
    <xf numFmtId="164" fontId="1" fillId="14" borderId="0" xfId="0" applyFont="1" applyFill="1" applyAlignment="1" applyProtection="1">
      <alignment horizontal="center"/>
      <protection/>
    </xf>
    <xf numFmtId="168" fontId="31" fillId="0" borderId="75" xfId="0" applyNumberFormat="1" applyFont="1" applyBorder="1" applyAlignment="1" applyProtection="1">
      <alignment horizontal="center"/>
      <protection locked="0"/>
    </xf>
    <xf numFmtId="164" fontId="31" fillId="0" borderId="40" xfId="0" applyNumberFormat="1" applyFont="1" applyBorder="1" applyAlignment="1" applyProtection="1">
      <alignment horizontal="center"/>
      <protection locked="0"/>
    </xf>
    <xf numFmtId="164" fontId="13" fillId="0" borderId="0" xfId="0" applyFont="1" applyAlignment="1" applyProtection="1">
      <alignment horizontal="left"/>
      <protection/>
    </xf>
    <xf numFmtId="164" fontId="1" fillId="0" borderId="66" xfId="0" applyNumberFormat="1" applyFont="1" applyBorder="1" applyAlignment="1" applyProtection="1">
      <alignment horizontal="left"/>
      <protection/>
    </xf>
    <xf numFmtId="164" fontId="1" fillId="0" borderId="67" xfId="0" applyNumberFormat="1" applyFont="1" applyBorder="1" applyAlignment="1" applyProtection="1">
      <alignment/>
      <protection/>
    </xf>
    <xf numFmtId="164" fontId="4" fillId="0" borderId="68" xfId="0" applyFont="1" applyBorder="1" applyAlignment="1" applyProtection="1">
      <alignment/>
      <protection/>
    </xf>
    <xf numFmtId="164" fontId="1" fillId="0" borderId="65" xfId="0" applyNumberFormat="1" applyFont="1" applyBorder="1" applyAlignment="1" applyProtection="1">
      <alignment horizontal="left"/>
      <protection/>
    </xf>
    <xf numFmtId="164" fontId="1" fillId="0" borderId="5" xfId="0" applyNumberFormat="1" applyFont="1" applyBorder="1" applyAlignment="1" applyProtection="1">
      <alignment/>
      <protection/>
    </xf>
    <xf numFmtId="164" fontId="4" fillId="0" borderId="70" xfId="0" applyFont="1" applyBorder="1" applyAlignment="1" applyProtection="1">
      <alignment/>
      <protection/>
    </xf>
    <xf numFmtId="164" fontId="4" fillId="0" borderId="61" xfId="0" applyFont="1" applyBorder="1" applyAlignment="1" applyProtection="1">
      <alignment horizontal="left"/>
      <protection/>
    </xf>
    <xf numFmtId="164" fontId="1" fillId="0" borderId="0" xfId="0" applyNumberFormat="1" applyFont="1" applyBorder="1" applyAlignment="1" applyProtection="1">
      <alignment/>
      <protection/>
    </xf>
    <xf numFmtId="164" fontId="4" fillId="0" borderId="69" xfId="0" applyFont="1" applyBorder="1" applyAlignment="1" applyProtection="1">
      <alignment/>
      <protection/>
    </xf>
    <xf numFmtId="164" fontId="4" fillId="0" borderId="65" xfId="0" applyFont="1" applyBorder="1" applyAlignment="1" applyProtection="1">
      <alignment horizontal="left"/>
      <protection/>
    </xf>
    <xf numFmtId="164" fontId="1" fillId="0" borderId="67" xfId="0" applyNumberFormat="1" applyFont="1" applyBorder="1" applyAlignment="1" applyProtection="1">
      <alignment horizontal="left"/>
      <protection/>
    </xf>
    <xf numFmtId="164" fontId="4" fillId="0" borderId="61" xfId="0" applyNumberFormat="1" applyFont="1" applyBorder="1" applyAlignment="1" applyProtection="1">
      <alignment horizontal="left"/>
      <protection/>
    </xf>
    <xf numFmtId="164" fontId="4" fillId="0" borderId="65" xfId="0" applyNumberFormat="1" applyFont="1" applyBorder="1" applyAlignment="1" applyProtection="1">
      <alignment horizontal="left"/>
      <protection/>
    </xf>
    <xf numFmtId="164" fontId="1" fillId="0" borderId="61" xfId="0" applyNumberFormat="1" applyFont="1" applyBorder="1" applyAlignment="1" applyProtection="1">
      <alignment horizontal="left"/>
      <protection/>
    </xf>
    <xf numFmtId="164" fontId="0" fillId="0" borderId="0" xfId="0" applyFont="1" applyFill="1" applyBorder="1" applyAlignment="1" applyProtection="1">
      <alignment horizontal="center"/>
      <protection/>
    </xf>
    <xf numFmtId="5" fontId="1" fillId="8" borderId="0" xfId="0" applyNumberFormat="1" applyFont="1" applyFill="1" applyAlignment="1" applyProtection="1">
      <alignment horizontal="center"/>
      <protection/>
    </xf>
    <xf numFmtId="164" fontId="5" fillId="0" borderId="0" xfId="0" applyFont="1" applyAlignment="1" applyProtection="1">
      <alignment/>
      <protection/>
    </xf>
    <xf numFmtId="7" fontId="1" fillId="6" borderId="0" xfId="0" applyNumberFormat="1" applyFont="1" applyFill="1" applyAlignment="1" applyProtection="1">
      <alignment horizontal="center"/>
      <protection/>
    </xf>
    <xf numFmtId="164" fontId="7" fillId="5" borderId="0" xfId="0" applyNumberFormat="1" applyFont="1" applyFill="1" applyAlignment="1" applyProtection="1">
      <alignment horizontal="left"/>
      <protection/>
    </xf>
    <xf numFmtId="164" fontId="10" fillId="5" borderId="0" xfId="0" applyNumberFormat="1" applyFont="1" applyFill="1" applyAlignment="1" applyProtection="1">
      <alignment horizontal="left"/>
      <protection/>
    </xf>
    <xf numFmtId="164" fontId="13" fillId="14" borderId="63" xfId="0" applyNumberFormat="1" applyFont="1" applyFill="1" applyBorder="1" applyAlignment="1" applyProtection="1">
      <alignment/>
      <protection/>
    </xf>
    <xf numFmtId="164" fontId="13" fillId="14" borderId="12" xfId="0" applyNumberFormat="1" applyFont="1" applyFill="1" applyBorder="1" applyAlignment="1" applyProtection="1">
      <alignment/>
      <protection/>
    </xf>
    <xf numFmtId="164" fontId="13" fillId="14" borderId="62" xfId="0" applyNumberFormat="1" applyFont="1" applyFill="1" applyBorder="1" applyAlignment="1" applyProtection="1">
      <alignment/>
      <protection/>
    </xf>
    <xf numFmtId="5" fontId="8" fillId="0" borderId="0" xfId="0" applyNumberFormat="1" applyFont="1" applyAlignment="1" applyProtection="1">
      <alignment horizontal="center"/>
      <protection/>
    </xf>
    <xf numFmtId="164" fontId="61" fillId="14" borderId="1" xfId="0" applyFont="1" applyFill="1" applyBorder="1" applyAlignment="1" applyProtection="1">
      <alignment horizontal="center"/>
      <protection/>
    </xf>
    <xf numFmtId="164" fontId="4" fillId="0" borderId="0" xfId="0" applyNumberFormat="1" applyFont="1" applyFill="1" applyBorder="1" applyAlignment="1" applyProtection="1">
      <alignment horizontal="left"/>
      <protection/>
    </xf>
    <xf numFmtId="164" fontId="32" fillId="0" borderId="0" xfId="0" applyNumberFormat="1" applyFont="1" applyAlignment="1" applyProtection="1">
      <alignment horizontal="left"/>
      <protection/>
    </xf>
    <xf numFmtId="164" fontId="32" fillId="0" borderId="6" xfId="0" applyNumberFormat="1" applyFont="1" applyBorder="1" applyAlignment="1" applyProtection="1">
      <alignment horizontal="left"/>
      <protection/>
    </xf>
    <xf numFmtId="164" fontId="33" fillId="0" borderId="0" xfId="0" applyNumberFormat="1" applyFont="1" applyBorder="1" applyAlignment="1" applyProtection="1">
      <alignment horizontal="center"/>
      <protection/>
    </xf>
    <xf numFmtId="164" fontId="33" fillId="0" borderId="0" xfId="0" applyNumberFormat="1" applyFont="1" applyBorder="1" applyAlignment="1" applyProtection="1" quotePrefix="1">
      <alignment horizontal="center"/>
      <protection/>
    </xf>
    <xf numFmtId="164" fontId="33" fillId="0" borderId="5" xfId="0" applyNumberFormat="1" applyFont="1" applyBorder="1" applyAlignment="1" applyProtection="1">
      <alignment horizontal="center"/>
      <protection/>
    </xf>
    <xf numFmtId="164" fontId="4" fillId="0" borderId="0" xfId="0" applyFont="1" applyAlignment="1" applyProtection="1">
      <alignment horizontal="left"/>
      <protection/>
    </xf>
    <xf numFmtId="3" fontId="4" fillId="0" borderId="0" xfId="0" applyNumberFormat="1" applyFont="1" applyAlignment="1" applyProtection="1">
      <alignment horizontal="left"/>
      <protection/>
    </xf>
    <xf numFmtId="164" fontId="4" fillId="0" borderId="0" xfId="0" applyFont="1" applyFill="1" applyBorder="1" applyAlignment="1" applyProtection="1">
      <alignment horizontal="left"/>
      <protection/>
    </xf>
    <xf numFmtId="164" fontId="1" fillId="0" borderId="0" xfId="0" applyFont="1" applyFill="1" applyAlignment="1" applyProtection="1">
      <alignment horizontal="left"/>
      <protection/>
    </xf>
    <xf numFmtId="164" fontId="62" fillId="0" borderId="1" xfId="0" applyFont="1" applyBorder="1" applyAlignment="1" applyProtection="1">
      <alignment horizontal="center"/>
      <protection/>
    </xf>
    <xf numFmtId="164" fontId="4" fillId="0" borderId="0" xfId="0" applyNumberFormat="1" applyFont="1" applyFill="1" applyBorder="1" applyAlignment="1" applyProtection="1">
      <alignment/>
      <protection/>
    </xf>
    <xf numFmtId="164" fontId="31" fillId="0" borderId="40" xfId="0" applyNumberFormat="1" applyFont="1" applyBorder="1" applyAlignment="1" applyProtection="1">
      <alignment horizontal="center"/>
      <protection/>
    </xf>
    <xf numFmtId="168" fontId="31" fillId="0" borderId="29" xfId="0" applyNumberFormat="1" applyFont="1" applyBorder="1" applyAlignment="1" applyProtection="1">
      <alignment horizontal="center"/>
      <protection/>
    </xf>
    <xf numFmtId="9" fontId="31" fillId="0" borderId="42" xfId="0" applyNumberFormat="1" applyFont="1" applyBorder="1" applyAlignment="1" applyProtection="1">
      <alignment horizontal="center"/>
      <protection/>
    </xf>
    <xf numFmtId="168" fontId="31" fillId="0" borderId="40" xfId="0" applyNumberFormat="1" applyFont="1" applyBorder="1" applyAlignment="1" applyProtection="1">
      <alignment horizontal="center"/>
      <protection/>
    </xf>
    <xf numFmtId="168" fontId="31" fillId="0" borderId="75" xfId="0" applyNumberFormat="1" applyFont="1" applyBorder="1" applyAlignment="1" applyProtection="1">
      <alignment horizontal="center"/>
      <protection/>
    </xf>
    <xf numFmtId="173" fontId="40" fillId="0" borderId="73" xfId="23" applyNumberFormat="1" applyFont="1" applyBorder="1" applyAlignment="1" applyProtection="1">
      <alignment horizontal="center"/>
      <protection/>
    </xf>
    <xf numFmtId="173" fontId="40" fillId="0" borderId="74" xfId="23" applyNumberFormat="1" applyFont="1" applyBorder="1" applyAlignment="1" applyProtection="1">
      <alignment horizontal="center"/>
      <protection/>
    </xf>
    <xf numFmtId="164" fontId="31" fillId="0" borderId="1" xfId="0" applyFont="1" applyBorder="1" applyAlignment="1" applyProtection="1">
      <alignment horizontal="center"/>
      <protection/>
    </xf>
    <xf numFmtId="168" fontId="31" fillId="0" borderId="64" xfId="0" applyNumberFormat="1" applyFont="1" applyBorder="1" applyAlignment="1" applyProtection="1">
      <alignment horizontal="center"/>
      <protection/>
    </xf>
    <xf numFmtId="9" fontId="31" fillId="0" borderId="32" xfId="0" applyNumberFormat="1" applyFont="1" applyBorder="1" applyAlignment="1" applyProtection="1">
      <alignment horizontal="center"/>
      <protection/>
    </xf>
    <xf numFmtId="173" fontId="31" fillId="0" borderId="1" xfId="23" applyNumberFormat="1" applyFont="1" applyBorder="1" applyAlignment="1" applyProtection="1">
      <alignment horizontal="center"/>
      <protection/>
    </xf>
    <xf numFmtId="164" fontId="31" fillId="0" borderId="35" xfId="0" applyNumberFormat="1" applyFont="1" applyBorder="1" applyAlignment="1" applyProtection="1">
      <alignment horizontal="center"/>
      <protection/>
    </xf>
    <xf numFmtId="164" fontId="31" fillId="0" borderId="33" xfId="0" applyNumberFormat="1" applyFont="1" applyBorder="1" applyAlignment="1" applyProtection="1">
      <alignment horizontal="center"/>
      <protection/>
    </xf>
    <xf numFmtId="164" fontId="31" fillId="0" borderId="32" xfId="0" applyNumberFormat="1" applyFont="1" applyBorder="1" applyAlignment="1" applyProtection="1">
      <alignment horizontal="center"/>
      <protection/>
    </xf>
    <xf numFmtId="9" fontId="31" fillId="0" borderId="37" xfId="0" applyNumberFormat="1" applyFont="1" applyBorder="1" applyAlignment="1" applyProtection="1">
      <alignment horizontal="center"/>
      <protection/>
    </xf>
    <xf numFmtId="9" fontId="31" fillId="0" borderId="34" xfId="0" applyNumberFormat="1" applyFont="1" applyBorder="1" applyAlignment="1" applyProtection="1">
      <alignment horizontal="center"/>
      <protection/>
    </xf>
    <xf numFmtId="164" fontId="31" fillId="0" borderId="43" xfId="0" applyNumberFormat="1" applyFont="1" applyBorder="1" applyAlignment="1" applyProtection="1">
      <alignment horizontal="center"/>
      <protection/>
    </xf>
    <xf numFmtId="164" fontId="31" fillId="0" borderId="44" xfId="0" applyNumberFormat="1" applyFont="1" applyBorder="1" applyAlignment="1" applyProtection="1">
      <alignment horizontal="center"/>
      <protection/>
    </xf>
    <xf numFmtId="164" fontId="31" fillId="0" borderId="45" xfId="0" applyNumberFormat="1" applyFont="1" applyBorder="1" applyAlignment="1" applyProtection="1">
      <alignment horizontal="center"/>
      <protection/>
    </xf>
    <xf numFmtId="164" fontId="31" fillId="0" borderId="46" xfId="0" applyNumberFormat="1" applyFont="1" applyBorder="1" applyAlignment="1" applyProtection="1">
      <alignment horizontal="center"/>
      <protection/>
    </xf>
    <xf numFmtId="164" fontId="31" fillId="0" borderId="47" xfId="0" applyNumberFormat="1" applyFont="1" applyBorder="1" applyAlignment="1" applyProtection="1">
      <alignment horizontal="center"/>
      <protection/>
    </xf>
    <xf numFmtId="164" fontId="31" fillId="0" borderId="48" xfId="0" applyNumberFormat="1" applyFont="1" applyBorder="1" applyAlignment="1" applyProtection="1">
      <alignment horizontal="center"/>
      <protection/>
    </xf>
    <xf numFmtId="164" fontId="31" fillId="0" borderId="49" xfId="0" applyNumberFormat="1" applyFont="1" applyBorder="1" applyAlignment="1" applyProtection="1">
      <alignment horizontal="center"/>
      <protection/>
    </xf>
    <xf numFmtId="10" fontId="31" fillId="0" borderId="64" xfId="0" applyNumberFormat="1" applyFont="1" applyBorder="1" applyAlignment="1" applyProtection="1">
      <alignment horizontal="center"/>
      <protection/>
    </xf>
    <xf numFmtId="10" fontId="31" fillId="0" borderId="76" xfId="0" applyNumberFormat="1" applyFont="1" applyBorder="1" applyAlignment="1" applyProtection="1">
      <alignment horizontal="center"/>
      <protection/>
    </xf>
    <xf numFmtId="10" fontId="31" fillId="0" borderId="77" xfId="0" applyNumberFormat="1" applyFont="1" applyBorder="1" applyAlignment="1" applyProtection="1">
      <alignment horizontal="center"/>
      <protection/>
    </xf>
    <xf numFmtId="164" fontId="4" fillId="0" borderId="2" xfId="0" applyFont="1" applyBorder="1" applyAlignment="1" applyProtection="1">
      <alignment horizontal="left"/>
      <protection/>
    </xf>
    <xf numFmtId="164" fontId="4" fillId="3" borderId="2" xfId="0" applyFont="1" applyFill="1" applyBorder="1" applyAlignment="1" applyProtection="1">
      <alignment/>
      <protection/>
    </xf>
    <xf numFmtId="164" fontId="5" fillId="0" borderId="0" xfId="0" applyFont="1" applyBorder="1" applyAlignment="1" applyProtection="1">
      <alignment/>
      <protection/>
    </xf>
    <xf numFmtId="164" fontId="4" fillId="0" borderId="78" xfId="0" applyFont="1" applyBorder="1" applyAlignment="1" applyProtection="1">
      <alignment horizontal="center"/>
      <protection/>
    </xf>
    <xf numFmtId="164" fontId="4" fillId="0" borderId="79" xfId="0" applyFont="1" applyBorder="1" applyAlignment="1" applyProtection="1">
      <alignment horizontal="center"/>
      <protection/>
    </xf>
    <xf numFmtId="164" fontId="63" fillId="0" borderId="0" xfId="0" applyFont="1" applyAlignment="1" applyProtection="1">
      <alignment/>
      <protection/>
    </xf>
    <xf numFmtId="164" fontId="1" fillId="14" borderId="0" xfId="0" applyFont="1" applyFill="1" applyAlignment="1" applyProtection="1">
      <alignment/>
      <protection/>
    </xf>
    <xf numFmtId="164" fontId="4" fillId="0" borderId="2" xfId="0" applyFont="1" applyBorder="1" applyAlignment="1" applyProtection="1">
      <alignment horizontal="right"/>
      <protection/>
    </xf>
    <xf numFmtId="164" fontId="1" fillId="0" borderId="35" xfId="0" applyNumberFormat="1" applyFont="1" applyBorder="1" applyAlignment="1" applyProtection="1">
      <alignment horizontal="center"/>
      <protection/>
    </xf>
    <xf numFmtId="164" fontId="1" fillId="0" borderId="37" xfId="0" applyNumberFormat="1" applyFont="1" applyBorder="1" applyAlignment="1" applyProtection="1">
      <alignment horizontal="center"/>
      <protection/>
    </xf>
    <xf numFmtId="164" fontId="4" fillId="0" borderId="66" xfId="0" applyFont="1" applyBorder="1" applyAlignment="1" applyProtection="1">
      <alignment/>
      <protection/>
    </xf>
    <xf numFmtId="164" fontId="64" fillId="0" borderId="0" xfId="0" applyFont="1" applyAlignment="1" applyProtection="1">
      <alignment/>
      <protection/>
    </xf>
    <xf numFmtId="164" fontId="7" fillId="0" borderId="5" xfId="0" applyFont="1" applyBorder="1" applyAlignment="1" applyProtection="1">
      <alignment/>
      <protection/>
    </xf>
    <xf numFmtId="1" fontId="56" fillId="0" borderId="35" xfId="0" applyNumberFormat="1" applyFont="1" applyBorder="1" applyAlignment="1" applyProtection="1">
      <alignment horizontal="center"/>
      <protection locked="0"/>
    </xf>
    <xf numFmtId="167" fontId="4" fillId="0" borderId="0" xfId="0" applyNumberFormat="1" applyFont="1" applyFill="1" applyBorder="1" applyAlignment="1" applyProtection="1">
      <alignment horizontal="right"/>
      <protection/>
    </xf>
    <xf numFmtId="164" fontId="4" fillId="0" borderId="0" xfId="0" applyFont="1" applyFill="1" applyAlignment="1" applyProtection="1">
      <alignment horizontal="center"/>
      <protection/>
    </xf>
    <xf numFmtId="164" fontId="4" fillId="0" borderId="0" xfId="0" applyNumberFormat="1" applyFont="1" applyBorder="1" applyAlignment="1" applyProtection="1">
      <alignment horizontal="center"/>
      <protection/>
    </xf>
    <xf numFmtId="6" fontId="4" fillId="0" borderId="0" xfId="0" applyNumberFormat="1" applyFont="1" applyBorder="1" applyAlignment="1" applyProtection="1">
      <alignment horizontal="center"/>
      <protection/>
    </xf>
    <xf numFmtId="8" fontId="4"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4" fontId="4" fillId="0" borderId="0" xfId="0" applyNumberFormat="1" applyFont="1" applyFill="1" applyBorder="1" applyAlignment="1" applyProtection="1">
      <alignment horizontal="right"/>
      <protection/>
    </xf>
    <xf numFmtId="168" fontId="63" fillId="17" borderId="0" xfId="0" applyNumberFormat="1" applyFont="1" applyFill="1" applyBorder="1" applyAlignment="1" applyProtection="1">
      <alignment horizontal="left"/>
      <protection/>
    </xf>
    <xf numFmtId="164" fontId="4" fillId="17" borderId="0" xfId="0" applyFont="1" applyFill="1" applyBorder="1" applyAlignment="1" applyProtection="1">
      <alignment/>
      <protection/>
    </xf>
    <xf numFmtId="8" fontId="4" fillId="17" borderId="0" xfId="0" applyNumberFormat="1" applyFont="1" applyFill="1" applyBorder="1" applyAlignment="1" applyProtection="1">
      <alignment horizontal="right"/>
      <protection/>
    </xf>
    <xf numFmtId="164" fontId="63" fillId="17" borderId="0" xfId="0" applyFont="1" applyFill="1" applyAlignment="1" applyProtection="1">
      <alignment/>
      <protection/>
    </xf>
    <xf numFmtId="164" fontId="4" fillId="17" borderId="0" xfId="0" applyFont="1" applyFill="1" applyAlignment="1" applyProtection="1">
      <alignment/>
      <protection/>
    </xf>
    <xf numFmtId="164" fontId="63" fillId="0" borderId="0" xfId="0" applyFont="1" applyFill="1" applyAlignment="1" applyProtection="1">
      <alignment/>
      <protection/>
    </xf>
    <xf numFmtId="8" fontId="4" fillId="0" borderId="5" xfId="0" applyNumberFormat="1" applyFont="1" applyFill="1" applyBorder="1" applyAlignment="1" applyProtection="1">
      <alignment horizontal="right"/>
      <protection/>
    </xf>
    <xf numFmtId="164" fontId="10" fillId="0" borderId="5" xfId="0" applyFont="1" applyFill="1" applyBorder="1" applyAlignment="1" applyProtection="1">
      <alignment/>
      <protection/>
    </xf>
    <xf numFmtId="1" fontId="4" fillId="0" borderId="1" xfId="0" applyNumberFormat="1" applyFont="1" applyFill="1" applyBorder="1" applyAlignment="1" applyProtection="1">
      <alignment horizontal="right"/>
      <protection/>
    </xf>
    <xf numFmtId="164" fontId="63" fillId="0" borderId="66" xfId="0" applyFont="1" applyFill="1" applyBorder="1" applyAlignment="1" applyProtection="1">
      <alignment/>
      <protection/>
    </xf>
    <xf numFmtId="8" fontId="4" fillId="0" borderId="67" xfId="0" applyNumberFormat="1" applyFont="1" applyFill="1" applyBorder="1" applyAlignment="1" applyProtection="1">
      <alignment horizontal="right"/>
      <protection/>
    </xf>
    <xf numFmtId="8" fontId="4" fillId="0" borderId="68" xfId="0" applyNumberFormat="1" applyFont="1" applyFill="1" applyBorder="1" applyAlignment="1" applyProtection="1">
      <alignment horizontal="right"/>
      <protection/>
    </xf>
    <xf numFmtId="164" fontId="63" fillId="0" borderId="61" xfId="0" applyFont="1" applyFill="1" applyBorder="1" applyAlignment="1" applyProtection="1">
      <alignment/>
      <protection/>
    </xf>
    <xf numFmtId="8" fontId="4" fillId="0" borderId="70" xfId="0" applyNumberFormat="1" applyFont="1" applyFill="1" applyBorder="1" applyAlignment="1" applyProtection="1">
      <alignment horizontal="right"/>
      <protection/>
    </xf>
    <xf numFmtId="164" fontId="63" fillId="0" borderId="61" xfId="0" applyFont="1" applyBorder="1" applyAlignment="1" applyProtection="1">
      <alignment/>
      <protection/>
    </xf>
    <xf numFmtId="8" fontId="4" fillId="0" borderId="69" xfId="0" applyNumberFormat="1" applyFont="1" applyFill="1" applyBorder="1" applyAlignment="1" applyProtection="1">
      <alignment horizontal="right"/>
      <protection/>
    </xf>
    <xf numFmtId="164" fontId="63" fillId="0" borderId="65" xfId="0" applyFont="1" applyFill="1" applyBorder="1" applyAlignment="1" applyProtection="1">
      <alignment/>
      <protection/>
    </xf>
    <xf numFmtId="164" fontId="32" fillId="0" borderId="0" xfId="0" applyFont="1" applyAlignment="1" applyProtection="1">
      <alignment/>
      <protection/>
    </xf>
    <xf numFmtId="164" fontId="1" fillId="0" borderId="1" xfId="0" applyFont="1" applyBorder="1" applyAlignment="1" applyProtection="1">
      <alignment horizontal="center"/>
      <protection/>
    </xf>
    <xf numFmtId="164" fontId="34" fillId="0" borderId="1" xfId="0" applyFont="1" applyBorder="1" applyAlignment="1" applyProtection="1">
      <alignment horizontal="center"/>
      <protection/>
    </xf>
    <xf numFmtId="3" fontId="4" fillId="18" borderId="0" xfId="0" applyNumberFormat="1" applyFont="1" applyFill="1" applyAlignment="1" applyProtection="1">
      <alignment horizontal="right"/>
      <protection/>
    </xf>
    <xf numFmtId="3" fontId="56" fillId="0" borderId="0" xfId="0" applyNumberFormat="1" applyFont="1" applyFill="1" applyAlignment="1" applyProtection="1">
      <alignment horizontal="center"/>
      <protection locked="0"/>
    </xf>
    <xf numFmtId="164" fontId="56" fillId="0" borderId="36" xfId="0" applyFont="1" applyFill="1" applyBorder="1" applyAlignment="1" applyProtection="1">
      <alignment horizontal="center"/>
      <protection locked="0"/>
    </xf>
    <xf numFmtId="167" fontId="56" fillId="0" borderId="30" xfId="0" applyNumberFormat="1" applyFont="1" applyFill="1" applyBorder="1" applyAlignment="1" applyProtection="1">
      <alignment horizontal="center"/>
      <protection locked="0"/>
    </xf>
    <xf numFmtId="164" fontId="49" fillId="0" borderId="12" xfId="0" applyFont="1" applyBorder="1" applyAlignment="1" applyProtection="1">
      <alignment/>
      <protection/>
    </xf>
    <xf numFmtId="10" fontId="31" fillId="0" borderId="37" xfId="0" applyNumberFormat="1" applyFont="1" applyBorder="1" applyAlignment="1" applyProtection="1">
      <alignment horizontal="center"/>
      <protection/>
    </xf>
    <xf numFmtId="10" fontId="31" fillId="0" borderId="34" xfId="0" applyNumberFormat="1" applyFont="1" applyBorder="1" applyAlignment="1" applyProtection="1">
      <alignment horizontal="center"/>
      <protection/>
    </xf>
    <xf numFmtId="9" fontId="9" fillId="0" borderId="34" xfId="0" applyNumberFormat="1" applyFont="1" applyBorder="1" applyAlignment="1" applyProtection="1">
      <alignment horizontal="center"/>
      <protection/>
    </xf>
    <xf numFmtId="9" fontId="9" fillId="0" borderId="31" xfId="0" applyNumberFormat="1" applyFont="1" applyBorder="1" applyAlignment="1" applyProtection="1">
      <alignment horizontal="center"/>
      <protection/>
    </xf>
    <xf numFmtId="164" fontId="6" fillId="0" borderId="64" xfId="0" applyNumberFormat="1" applyFont="1" applyBorder="1" applyAlignment="1" applyProtection="1">
      <alignment horizontal="center"/>
      <protection locked="0"/>
    </xf>
    <xf numFmtId="164" fontId="6" fillId="0" borderId="76" xfId="0" applyNumberFormat="1" applyFont="1" applyBorder="1" applyAlignment="1" applyProtection="1">
      <alignment horizontal="center"/>
      <protection locked="0"/>
    </xf>
    <xf numFmtId="167" fontId="6" fillId="0" borderId="77" xfId="0" applyNumberFormat="1" applyFont="1" applyBorder="1" applyAlignment="1" applyProtection="1">
      <alignment horizontal="center"/>
      <protection locked="0"/>
    </xf>
    <xf numFmtId="164" fontId="46" fillId="0" borderId="0" xfId="0" applyNumberFormat="1" applyFont="1" applyFill="1" applyBorder="1" applyAlignment="1" applyProtection="1">
      <alignment/>
      <protection/>
    </xf>
    <xf numFmtId="9" fontId="6" fillId="0" borderId="0" xfId="0" applyNumberFormat="1" applyFont="1" applyFill="1" applyBorder="1" applyAlignment="1" applyProtection="1">
      <alignment horizontal="center"/>
      <protection locked="0"/>
    </xf>
    <xf numFmtId="10" fontId="6" fillId="0" borderId="0" xfId="0" applyNumberFormat="1" applyFont="1" applyFill="1" applyBorder="1" applyAlignment="1" applyProtection="1">
      <alignment horizontal="center"/>
      <protection locked="0"/>
    </xf>
    <xf numFmtId="166" fontId="52" fillId="0" borderId="37" xfId="0" applyNumberFormat="1" applyFont="1" applyBorder="1" applyAlignment="1" applyProtection="1">
      <alignment/>
      <protection/>
    </xf>
    <xf numFmtId="166" fontId="52" fillId="0" borderId="34" xfId="0" applyNumberFormat="1" applyFont="1" applyBorder="1" applyAlignment="1" applyProtection="1">
      <alignment/>
      <protection/>
    </xf>
    <xf numFmtId="166" fontId="52" fillId="0" borderId="31" xfId="0" applyNumberFormat="1" applyFont="1" applyBorder="1" applyAlignment="1" applyProtection="1">
      <alignment/>
      <protection/>
    </xf>
    <xf numFmtId="164" fontId="54" fillId="0" borderId="63" xfId="0" applyFont="1" applyBorder="1" applyAlignment="1">
      <alignment horizontal="center"/>
    </xf>
    <xf numFmtId="164" fontId="54" fillId="0" borderId="12" xfId="0" applyFont="1" applyBorder="1" applyAlignment="1">
      <alignment horizontal="center"/>
    </xf>
    <xf numFmtId="164" fontId="54" fillId="0" borderId="62" xfId="0" applyFont="1" applyBorder="1" applyAlignment="1">
      <alignment horizontal="center"/>
    </xf>
    <xf numFmtId="10" fontId="63" fillId="0" borderId="0" xfId="0" applyNumberFormat="1" applyFont="1" applyBorder="1" applyAlignment="1" applyProtection="1">
      <alignment horizontal="left"/>
      <protection/>
    </xf>
    <xf numFmtId="164" fontId="4" fillId="0" borderId="0" xfId="0" applyFont="1" applyFill="1" applyAlignment="1" applyProtection="1">
      <alignment/>
      <protection/>
    </xf>
    <xf numFmtId="164" fontId="4" fillId="0" borderId="0" xfId="0" applyNumberFormat="1" applyFont="1" applyFill="1" applyBorder="1" applyAlignment="1" applyProtection="1">
      <alignment horizontal="left"/>
      <protection/>
    </xf>
    <xf numFmtId="164" fontId="4" fillId="0" borderId="0" xfId="0" applyNumberFormat="1" applyFont="1" applyFill="1" applyAlignment="1" applyProtection="1">
      <alignment horizontal="left"/>
      <protection/>
    </xf>
    <xf numFmtId="164" fontId="4" fillId="0" borderId="65" xfId="0" applyNumberFormat="1" applyFont="1" applyFill="1" applyBorder="1" applyAlignment="1" applyProtection="1">
      <alignment/>
      <protection/>
    </xf>
    <xf numFmtId="164" fontId="4" fillId="0" borderId="5" xfId="0" applyNumberFormat="1" applyFont="1" applyFill="1" applyBorder="1" applyAlignment="1" applyProtection="1">
      <alignment/>
      <protection/>
    </xf>
    <xf numFmtId="164" fontId="4" fillId="0" borderId="70" xfId="0" applyNumberFormat="1" applyFont="1" applyFill="1" applyBorder="1" applyAlignment="1" applyProtection="1">
      <alignment/>
      <protection/>
    </xf>
    <xf numFmtId="164" fontId="46" fillId="9" borderId="0" xfId="0" applyNumberFormat="1" applyFont="1" applyFill="1" applyBorder="1" applyAlignment="1" applyProtection="1">
      <alignment horizontal="center" vertical="center" wrapText="1"/>
      <protection/>
    </xf>
    <xf numFmtId="164" fontId="6" fillId="0" borderId="35" xfId="0" applyNumberFormat="1" applyFont="1" applyBorder="1" applyAlignment="1" applyProtection="1">
      <alignment horizontal="left"/>
      <protection locked="0"/>
    </xf>
    <xf numFmtId="164" fontId="6" fillId="0" borderId="32" xfId="0" applyNumberFormat="1" applyFont="1" applyBorder="1" applyAlignment="1" applyProtection="1">
      <alignment horizontal="left"/>
      <protection locked="0"/>
    </xf>
    <xf numFmtId="164" fontId="6" fillId="0" borderId="36" xfId="0" applyNumberFormat="1" applyFont="1" applyBorder="1" applyAlignment="1" applyProtection="1">
      <alignment horizontal="left"/>
      <protection locked="0"/>
    </xf>
    <xf numFmtId="164" fontId="6" fillId="0" borderId="30" xfId="0" applyNumberFormat="1" applyFont="1" applyBorder="1" applyAlignment="1" applyProtection="1">
      <alignment horizontal="left"/>
      <protection locked="0"/>
    </xf>
    <xf numFmtId="164" fontId="6" fillId="0" borderId="37" xfId="0" applyNumberFormat="1" applyFont="1" applyBorder="1" applyAlignment="1" applyProtection="1">
      <alignment horizontal="left"/>
      <protection locked="0"/>
    </xf>
    <xf numFmtId="164" fontId="6" fillId="0" borderId="31" xfId="0" applyNumberFormat="1" applyFont="1" applyBorder="1" applyAlignment="1" applyProtection="1">
      <alignment horizontal="left"/>
      <protection locked="0"/>
    </xf>
    <xf numFmtId="164" fontId="1" fillId="0" borderId="0" xfId="0" applyNumberFormat="1" applyFont="1" applyAlignment="1" applyProtection="1">
      <alignment horizontal="left"/>
      <protection/>
    </xf>
    <xf numFmtId="164" fontId="8" fillId="0" borderId="0" xfId="0" applyNumberFormat="1" applyFont="1" applyAlignment="1" applyProtection="1">
      <alignment horizontal="left"/>
      <protection/>
    </xf>
    <xf numFmtId="164" fontId="8" fillId="0" borderId="0" xfId="0" applyNumberFormat="1" applyFont="1" applyBorder="1" applyAlignment="1" applyProtection="1">
      <alignment horizontal="left"/>
      <protection/>
    </xf>
    <xf numFmtId="164" fontId="1" fillId="0" borderId="0" xfId="0" applyNumberFormat="1" applyFont="1" applyBorder="1" applyAlignment="1" applyProtection="1">
      <alignment horizontal="left"/>
      <protection/>
    </xf>
    <xf numFmtId="164" fontId="4" fillId="0" borderId="0" xfId="0" applyFont="1" applyFill="1" applyAlignment="1" applyProtection="1">
      <alignment horizontal="left"/>
      <protection/>
    </xf>
    <xf numFmtId="164" fontId="7" fillId="14" borderId="0" xfId="0" applyFont="1" applyFill="1" applyAlignment="1" applyProtection="1">
      <alignment horizontal="center"/>
      <protection/>
    </xf>
    <xf numFmtId="164" fontId="4" fillId="6" borderId="7" xfId="0" applyFont="1" applyFill="1" applyBorder="1" applyAlignment="1" applyProtection="1">
      <alignment textRotation="180"/>
      <protection/>
    </xf>
    <xf numFmtId="164" fontId="4" fillId="6" borderId="8" xfId="0" applyFont="1" applyFill="1" applyBorder="1" applyAlignment="1" applyProtection="1">
      <alignment textRotation="180"/>
      <protection/>
    </xf>
    <xf numFmtId="164" fontId="4" fillId="6" borderId="9" xfId="0" applyFont="1" applyFill="1" applyBorder="1" applyAlignment="1" applyProtection="1">
      <alignment textRotation="180"/>
      <protection/>
    </xf>
    <xf numFmtId="164" fontId="1" fillId="0" borderId="5" xfId="0" applyFont="1" applyBorder="1" applyAlignment="1" applyProtection="1">
      <alignment horizontal="left"/>
      <protection/>
    </xf>
    <xf numFmtId="164" fontId="4" fillId="0" borderId="63" xfId="0" applyFont="1" applyBorder="1" applyAlignment="1" applyProtection="1">
      <alignment horizontal="center"/>
      <protection/>
    </xf>
    <xf numFmtId="164" fontId="4" fillId="0" borderId="12" xfId="0" applyFont="1" applyBorder="1" applyAlignment="1" applyProtection="1">
      <alignment horizontal="center"/>
      <protection/>
    </xf>
    <xf numFmtId="164" fontId="4" fillId="0" borderId="62" xfId="0" applyFont="1" applyBorder="1" applyAlignment="1" applyProtection="1">
      <alignment horizontal="center"/>
      <protection/>
    </xf>
    <xf numFmtId="164" fontId="7" fillId="0" borderId="0" xfId="0" applyNumberFormat="1" applyFont="1" applyAlignment="1" applyProtection="1">
      <alignment horizontal="left"/>
      <protection/>
    </xf>
    <xf numFmtId="164" fontId="4" fillId="0" borderId="32" xfId="0" applyFont="1" applyBorder="1" applyAlignment="1" applyProtection="1">
      <alignment/>
      <protection/>
    </xf>
    <xf numFmtId="166" fontId="52" fillId="0" borderId="36" xfId="0" applyNumberFormat="1" applyFont="1" applyBorder="1" applyAlignment="1" applyProtection="1">
      <alignment/>
      <protection/>
    </xf>
    <xf numFmtId="166" fontId="52" fillId="0" borderId="19" xfId="0" applyNumberFormat="1" applyFont="1" applyBorder="1" applyAlignment="1" applyProtection="1">
      <alignment/>
      <protection/>
    </xf>
    <xf numFmtId="166" fontId="52" fillId="0" borderId="30" xfId="0" applyNumberFormat="1" applyFont="1" applyBorder="1" applyAlignment="1" applyProtection="1">
      <alignment/>
      <protection/>
    </xf>
    <xf numFmtId="10" fontId="31" fillId="0" borderId="36" xfId="0" applyNumberFormat="1" applyFont="1" applyBorder="1" applyAlignment="1" applyProtection="1">
      <alignment horizontal="center"/>
      <protection/>
    </xf>
    <xf numFmtId="10" fontId="31" fillId="0" borderId="19" xfId="0" applyNumberFormat="1" applyFont="1" applyBorder="1" applyAlignment="1" applyProtection="1">
      <alignment horizontal="center"/>
      <protection/>
    </xf>
    <xf numFmtId="9" fontId="9" fillId="0" borderId="19" xfId="0" applyNumberFormat="1" applyFont="1" applyBorder="1" applyAlignment="1" applyProtection="1">
      <alignment horizontal="center"/>
      <protection/>
    </xf>
    <xf numFmtId="9" fontId="9" fillId="0" borderId="30" xfId="0" applyNumberFormat="1" applyFont="1" applyBorder="1" applyAlignment="1" applyProtection="1">
      <alignment horizontal="center"/>
      <protection/>
    </xf>
    <xf numFmtId="10" fontId="31" fillId="0" borderId="35" xfId="0" applyNumberFormat="1" applyFont="1" applyBorder="1" applyAlignment="1" applyProtection="1">
      <alignment horizontal="center"/>
      <protection locked="0"/>
    </xf>
    <xf numFmtId="10" fontId="31" fillId="0" borderId="33" xfId="0" applyNumberFormat="1" applyFont="1" applyBorder="1" applyAlignment="1" applyProtection="1">
      <alignment horizontal="center"/>
      <protection locked="0"/>
    </xf>
    <xf numFmtId="9" fontId="9" fillId="0" borderId="33" xfId="0" applyNumberFormat="1" applyFont="1" applyBorder="1" applyAlignment="1" applyProtection="1">
      <alignment horizontal="center"/>
      <protection locked="0"/>
    </xf>
    <xf numFmtId="9" fontId="9" fillId="0" borderId="32" xfId="0" applyNumberFormat="1" applyFont="1" applyBorder="1" applyAlignment="1" applyProtection="1">
      <alignment horizontal="center"/>
      <protection locked="0"/>
    </xf>
    <xf numFmtId="166" fontId="52" fillId="0" borderId="35" xfId="0" applyNumberFormat="1" applyFont="1" applyBorder="1" applyAlignment="1" applyProtection="1">
      <alignment/>
      <protection/>
    </xf>
    <xf numFmtId="166" fontId="52" fillId="0" borderId="33" xfId="0" applyNumberFormat="1" applyFont="1" applyBorder="1" applyAlignment="1" applyProtection="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owCalf_1" xfId="21"/>
    <cellStyle name="Normal_Sheet" xfId="22"/>
    <cellStyle name="Percent" xfId="2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FF00"/>
                </a:solidFill>
              </a:rPr>
              <a:t>Revenue</a:t>
            </a:r>
            <a:r>
              <a:rPr lang="en-US" cap="none" sz="225" b="1" i="0" u="none" baseline="0"/>
              <a:t> Based on Profitability (Cash &amp; Non-Cash)
For Entire Enterprise</a:t>
            </a:r>
          </a:p>
        </c:rich>
      </c:tx>
      <c:layout/>
      <c:spPr>
        <a:noFill/>
        <a:ln>
          <a:noFill/>
        </a:ln>
      </c:spPr>
    </c:title>
    <c:view3D>
      <c:rotX val="15"/>
      <c:hPercent val="100"/>
      <c:rotY val="20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3"/>
            <c:spPr>
              <a:solidFill>
                <a:srgbClr val="00FF00"/>
              </a:solidFill>
            </c:spPr>
          </c:dPt>
          <c:dPt>
            <c:idx val="6"/>
            <c:spPr>
              <a:solidFill>
                <a:srgbClr val="FF0000"/>
              </a:solidFill>
            </c:spPr>
          </c:dPt>
          <c:dLbls>
            <c:dLbl>
              <c:idx val="0"/>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25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250" b="0" i="0" u="none" baseline="0"/>
                </a:pPr>
              </a:p>
            </c:txPr>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firstSliceAng val="200"/>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FF00"/>
                </a:solidFill>
              </a:rPr>
              <a:t>Revenue</a:t>
            </a:r>
            <a:r>
              <a:rPr lang="en-US" cap="none" sz="300" b="1" i="0" u="none" baseline="0"/>
              <a:t> Based on Cash Flow Only
For Entire Enterprise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dLbl>
              <c:idx val="5"/>
              <c:layout>
                <c:manualLayout>
                  <c:x val="0"/>
                  <c:y val="0"/>
                </c:manualLayout>
              </c:layout>
              <c:numFmt formatCode="0.0%" sourceLinked="0"/>
              <c:showLegendKey val="0"/>
              <c:showVal val="0"/>
              <c:showBubbleSize val="0"/>
              <c:showCatName val="0"/>
              <c:showSerName val="0"/>
              <c:showPercent val="1"/>
            </c:dLbl>
            <c:numFmt formatCode="0.0%" sourceLinked="0"/>
            <c:dLblPos val="bestFit"/>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FF0000"/>
                </a:solidFill>
              </a:rPr>
              <a:t>Expenses</a:t>
            </a:r>
            <a:r>
              <a:rPr lang="en-US" cap="none" sz="300" b="1" i="0" u="none" baseline="0"/>
              <a:t> Based on Profitability Analysis
For Entire Enterprise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dLbl>
              <c:idx val="5"/>
              <c:layout>
                <c:manualLayout>
                  <c:x val="0"/>
                  <c:y val="0"/>
                </c:manualLayout>
              </c:layout>
              <c:numFmt formatCode="0.0%" sourceLinked="0"/>
              <c:showLegendKey val="0"/>
              <c:showVal val="0"/>
              <c:showBubbleSize val="0"/>
              <c:showCatName val="0"/>
              <c:showSerName val="0"/>
              <c:showPercent val="1"/>
            </c:dLbl>
            <c:dLbl>
              <c:idx val="6"/>
              <c:layout>
                <c:manualLayout>
                  <c:x val="0"/>
                  <c:y val="0"/>
                </c:manualLayout>
              </c:layout>
              <c:numFmt formatCode="0.0%" sourceLinked="0"/>
              <c:showLegendKey val="0"/>
              <c:showVal val="0"/>
              <c:showBubbleSize val="0"/>
              <c:showCatName val="0"/>
              <c:showSerName val="0"/>
              <c:showPercent val="1"/>
            </c:dLbl>
            <c:dLbl>
              <c:idx val="7"/>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FF0000"/>
                </a:solidFill>
              </a:rPr>
              <a:t>Expenses </a:t>
            </a:r>
            <a:r>
              <a:rPr lang="en-US" cap="none" sz="300" b="1" i="0" u="none" baseline="0"/>
              <a:t>Based on Cash Flow Analysis
For Entire Enterprise</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1"/>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CowCalf!#REF!</c:f>
              <c:strCache>
                <c:ptCount val="1"/>
                <c:pt idx="0">
                  <c:v>1</c:v>
                </c:pt>
              </c:strCache>
            </c:strRef>
          </c:cat>
          <c:val>
            <c:numRef>
              <c:f>CowCalf!#REF!</c:f>
              <c:numCache>
                <c:ptCount val="1"/>
                <c:pt idx="0">
                  <c:v>1</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2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FAPRI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CowCalf!$P$19:$X$19</c:f>
              <c:numCache/>
            </c:numRef>
          </c:cat>
          <c:val>
            <c:numRef>
              <c:f>CowCalf!$P$6:$X$6</c:f>
              <c:numCache/>
            </c:numRef>
          </c:val>
          <c:smooth val="0"/>
        </c:ser>
        <c:ser>
          <c:idx val="1"/>
          <c:order val="1"/>
          <c:tx>
            <c:v>USDA Baseline</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CowCalf!$P$19:$X$19</c:f>
              <c:numCache/>
            </c:numRef>
          </c:cat>
          <c:val>
            <c:numRef>
              <c:f>CowCalf!$P$5:$X$5</c:f>
              <c:numCache/>
            </c:numRef>
          </c:val>
          <c:smooth val="0"/>
        </c:ser>
        <c:axId val="58959587"/>
        <c:axId val="60874236"/>
      </c:lineChart>
      <c:catAx>
        <c:axId val="58959587"/>
        <c:scaling>
          <c:orientation val="minMax"/>
        </c:scaling>
        <c:axPos val="b"/>
        <c:delete val="0"/>
        <c:numFmt formatCode="General" sourceLinked="1"/>
        <c:majorTickMark val="out"/>
        <c:minorTickMark val="none"/>
        <c:tickLblPos val="nextTo"/>
        <c:crossAx val="60874236"/>
        <c:crosses val="autoZero"/>
        <c:auto val="1"/>
        <c:lblOffset val="100"/>
        <c:noMultiLvlLbl val="0"/>
      </c:catAx>
      <c:valAx>
        <c:axId val="60874236"/>
        <c:scaling>
          <c:orientation val="minMax"/>
        </c:scaling>
        <c:axPos val="l"/>
        <c:majorGridlines/>
        <c:delete val="0"/>
        <c:numFmt formatCode="General" sourceLinked="1"/>
        <c:majorTickMark val="out"/>
        <c:minorTickMark val="none"/>
        <c:tickLblPos val="nextTo"/>
        <c:crossAx val="58959587"/>
        <c:crosses val="max"/>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0</xdr:col>
      <xdr:colOff>0</xdr:colOff>
      <xdr:row>74</xdr:row>
      <xdr:rowOff>0</xdr:rowOff>
    </xdr:to>
    <xdr:sp>
      <xdr:nvSpPr>
        <xdr:cNvPr id="1" name="TextBox 3"/>
        <xdr:cNvSpPr txBox="1">
          <a:spLocks noChangeArrowheads="1"/>
        </xdr:cNvSpPr>
      </xdr:nvSpPr>
      <xdr:spPr>
        <a:xfrm>
          <a:off x="0" y="11820525"/>
          <a:ext cx="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Weighted averages are based on the calves that are actually sold.  Replacement heifers are not included in this calculation.</a:t>
          </a:r>
        </a:p>
      </xdr:txBody>
    </xdr:sp>
    <xdr:clientData/>
  </xdr:twoCellAnchor>
  <xdr:twoCellAnchor>
    <xdr:from>
      <xdr:col>0</xdr:col>
      <xdr:colOff>0</xdr:colOff>
      <xdr:row>81</xdr:row>
      <xdr:rowOff>142875</xdr:rowOff>
    </xdr:from>
    <xdr:to>
      <xdr:col>0</xdr:col>
      <xdr:colOff>0</xdr:colOff>
      <xdr:row>95</xdr:row>
      <xdr:rowOff>9525</xdr:rowOff>
    </xdr:to>
    <xdr:sp>
      <xdr:nvSpPr>
        <xdr:cNvPr id="2" name="TextBox 4"/>
        <xdr:cNvSpPr txBox="1">
          <a:spLocks noChangeArrowheads="1"/>
        </xdr:cNvSpPr>
      </xdr:nvSpPr>
      <xdr:spPr>
        <a:xfrm>
          <a:off x="0" y="13258800"/>
          <a:ext cx="0"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This template can be used to estimate the costs of production and break-even prices for 1) Commercial Cow Calf operations (owned or leased), 2) a feeders/backgrounding enterprise, or 3) a yearling/stocker enterprise.  Each of these enterprises can be evaluated independent of the others, or you can start with the cow-calf enterprise and follow through each phase or production cycle to get to the desired end point.  The "Feeders" page tab allows for both short and long term backgrounding and analysis of finished slaughter cattle, however not all at the same time.  You may have to run the Feeders page info for each scenario desired if going to a finished slaughter weight through retained ownership.  
This template can be used for analysis of cost share or cash leasing but if that is not your objective, simply ignore the columns and other information related to leases.  
</a:t>
          </a:r>
          <a:r>
            <a:rPr lang="en-US" cap="none" sz="1000" b="0" i="0" u="none" baseline="0">
              <a:solidFill>
                <a:srgbClr val="FF0000"/>
              </a:solidFill>
              <a:latin typeface="Helv"/>
              <a:ea typeface="Helv"/>
              <a:cs typeface="Helv"/>
            </a:rPr>
            <a:t>Please read</a:t>
          </a:r>
          <a:r>
            <a:rPr lang="en-US" cap="none" sz="1000" b="0" i="0" u="none" baseline="0">
              <a:latin typeface="Helv"/>
              <a:ea typeface="Helv"/>
              <a:cs typeface="Helv"/>
            </a:rPr>
            <a:t> the notes and helps included throughout this template to make sure you understand what number is to be entered or how to interpret a result.  These notes and helps are indicated by a small red triangle in the upper right corner of a cell.  Simple place your cursor on top of the cell to view the help message or note attached to that cell.</a:t>
          </a:r>
        </a:p>
      </xdr:txBody>
    </xdr:sp>
    <xdr:clientData/>
  </xdr:twoCellAnchor>
  <xdr:twoCellAnchor>
    <xdr:from>
      <xdr:col>0</xdr:col>
      <xdr:colOff>476250</xdr:colOff>
      <xdr:row>2</xdr:row>
      <xdr:rowOff>95250</xdr:rowOff>
    </xdr:from>
    <xdr:to>
      <xdr:col>9</xdr:col>
      <xdr:colOff>619125</xdr:colOff>
      <xdr:row>51</xdr:row>
      <xdr:rowOff>104775</xdr:rowOff>
    </xdr:to>
    <xdr:sp>
      <xdr:nvSpPr>
        <xdr:cNvPr id="3" name="TextBox 67"/>
        <xdr:cNvSpPr txBox="1">
          <a:spLocks noChangeArrowheads="1"/>
        </xdr:cNvSpPr>
      </xdr:nvSpPr>
      <xdr:spPr>
        <a:xfrm>
          <a:off x="476250" y="419100"/>
          <a:ext cx="7048500" cy="794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Columns A through G are used to enter your current situation/information and estimate the total income and expenses, per head, for your current operation. Columns J through AD are used to enter information about how you plan to expand or contract your herd size due to drought or the cattle cycle.  This spreadsheet allows you to analyze changes in herd size through 1) holding additional replacement heifers each year, 2) purchasing replacements in one or more years or, 3) selling breeding animals to reduce herd size or 4) a combination of these activities. </a:t>
          </a:r>
          <a:r>
            <a:rPr lang="en-US" cap="none" sz="1000" b="1" i="0" u="none" baseline="0">
              <a:latin typeface="Helv"/>
              <a:ea typeface="Helv"/>
              <a:cs typeface="Helv"/>
            </a:rPr>
            <a:t>The user must carefully work through the herd size numbers in rows 25 through 35, columns L through AD </a:t>
          </a:r>
          <a:r>
            <a:rPr lang="en-US" cap="none" sz="1000" b="0" i="0" u="none" baseline="0">
              <a:latin typeface="Helv"/>
              <a:ea typeface="Helv"/>
              <a:cs typeface="Helv"/>
            </a:rPr>
            <a:t>to make sure that the changes in breeding herd numbers matches the planned response for the operation. The analysis period is 15 years and at some point before the end of the 15 years, you should see a stable number of breeding animals, row 25.  Information in the rows for columns J through AD are spreadout. This is due the summary nature of results calcualted in these columns.  The rows in these columns are placed to match the row in the base year information, columns A through G.  A condensed version of the results in columns J through AD are shown on the Summary tab.  
Columns AI through BH are used to calculate amortized loan payments and depreciation on purchased replacements and bulls that will be required with changes in the breeding herd size. Loan payments for purchased replacements are amortized over a period of years that can be entered by the user, column AN.  Deprecation can also be taken over period of years sepecified by the user, including additional first year deprecation.  Depreciation tables for the MACRS depreciation method are included on the DepreciationTables tab of this spreadsheet.
As herd size changes, the number of bulls are adjusted automatically based on the number of cows per bull specified by the user.  
As the breeding herd size grows, information in columns J through AD, in rows 50 through 275, show the affects of  changing herd size on revenue and expense, the impacts of financing the purchase of additional cows and bulls, if restocking is carried out, at least in part, by purchasing breeding animals and 4) the net present value calculations for the analysis period. 
It is important to note that </a:t>
          </a:r>
          <a:r>
            <a:rPr lang="en-US" cap="none" sz="1000" b="1" i="0" u="none" baseline="0">
              <a:solidFill>
                <a:srgbClr val="FF0000"/>
              </a:solidFill>
              <a:latin typeface="Helv"/>
              <a:ea typeface="Helv"/>
              <a:cs typeface="Helv"/>
            </a:rPr>
            <a:t>this spreadsheet assumes you are matching livestock numbers with the availability of hay and grazing from the resource base.</a:t>
          </a:r>
          <a:r>
            <a:rPr lang="en-US" cap="none" sz="1000" b="0" i="0" u="none" baseline="0">
              <a:latin typeface="Helv"/>
              <a:ea typeface="Helv"/>
              <a:cs typeface="Helv"/>
            </a:rPr>
            <a:t>  It can not be used to analyze general growth plans through the purchase or sale of assets from the cow calf enterprise, like land, machinery, etc.  The only exception to this would be an operation that already owns more hay and pasture capacity than required by their current breeding herd.
Each individuals situation will be fairly unique.  This spreadsheet was designed to allow as much flexibility as possible, but by no means will it handle every possible situation.  It is strongly encouraged that you read the help messages provided during data entry.  Help messages can be viewed by moving the mouse over the top of a cell which has a </a:t>
          </a:r>
          <a:r>
            <a:rPr lang="en-US" cap="none" sz="1000" b="0" i="0" u="none" baseline="0">
              <a:solidFill>
                <a:srgbClr val="FF0000"/>
              </a:solidFill>
              <a:latin typeface="Helv"/>
              <a:ea typeface="Helv"/>
              <a:cs typeface="Helv"/>
            </a:rPr>
            <a:t>red triangle in the upper right corner</a:t>
          </a:r>
          <a:r>
            <a:rPr lang="en-US" cap="none" sz="1000" b="0" i="0" u="none" baseline="0">
              <a:latin typeface="Helv"/>
              <a:ea typeface="Helv"/>
              <a:cs typeface="Helv"/>
            </a:rPr>
            <a:t>.    
Print macros are available on the Marcos tab.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66</xdr:row>
      <xdr:rowOff>171450</xdr:rowOff>
    </xdr:from>
    <xdr:to>
      <xdr:col>9</xdr:col>
      <xdr:colOff>361950</xdr:colOff>
      <xdr:row>69</xdr:row>
      <xdr:rowOff>19050</xdr:rowOff>
    </xdr:to>
    <xdr:sp>
      <xdr:nvSpPr>
        <xdr:cNvPr id="1" name="TextBox 20"/>
        <xdr:cNvSpPr txBox="1">
          <a:spLocks noChangeArrowheads="1"/>
        </xdr:cNvSpPr>
      </xdr:nvSpPr>
      <xdr:spPr>
        <a:xfrm>
          <a:off x="4743450" y="11601450"/>
          <a:ext cx="55054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Weighted averages are based on the calves that are actually sold.  Replacement heifers are not included in this calculation.</a:t>
          </a:r>
        </a:p>
      </xdr:txBody>
    </xdr:sp>
    <xdr:clientData/>
  </xdr:twoCellAnchor>
  <xdr:twoCellAnchor>
    <xdr:from>
      <xdr:col>18</xdr:col>
      <xdr:colOff>333375</xdr:colOff>
      <xdr:row>289</xdr:row>
      <xdr:rowOff>0</xdr:rowOff>
    </xdr:from>
    <xdr:to>
      <xdr:col>24</xdr:col>
      <xdr:colOff>628650</xdr:colOff>
      <xdr:row>289</xdr:row>
      <xdr:rowOff>0</xdr:rowOff>
    </xdr:to>
    <xdr:graphicFrame>
      <xdr:nvGraphicFramePr>
        <xdr:cNvPr id="2" name="Chart 46"/>
        <xdr:cNvGraphicFramePr/>
      </xdr:nvGraphicFramePr>
      <xdr:xfrm>
        <a:off x="18907125" y="49815750"/>
        <a:ext cx="5476875" cy="0"/>
      </xdr:xfrm>
      <a:graphic>
        <a:graphicData uri="http://schemas.openxmlformats.org/drawingml/2006/chart">
          <c:chart xmlns:c="http://schemas.openxmlformats.org/drawingml/2006/chart" r:id="rId1"/>
        </a:graphicData>
      </a:graphic>
    </xdr:graphicFrame>
    <xdr:clientData/>
  </xdr:twoCellAnchor>
  <xdr:twoCellAnchor>
    <xdr:from>
      <xdr:col>18</xdr:col>
      <xdr:colOff>304800</xdr:colOff>
      <xdr:row>289</xdr:row>
      <xdr:rowOff>0</xdr:rowOff>
    </xdr:from>
    <xdr:to>
      <xdr:col>24</xdr:col>
      <xdr:colOff>628650</xdr:colOff>
      <xdr:row>289</xdr:row>
      <xdr:rowOff>0</xdr:rowOff>
    </xdr:to>
    <xdr:graphicFrame>
      <xdr:nvGraphicFramePr>
        <xdr:cNvPr id="3" name="Chart 62"/>
        <xdr:cNvGraphicFramePr/>
      </xdr:nvGraphicFramePr>
      <xdr:xfrm>
        <a:off x="18878550" y="49815750"/>
        <a:ext cx="5505450" cy="0"/>
      </xdr:xfrm>
      <a:graphic>
        <a:graphicData uri="http://schemas.openxmlformats.org/drawingml/2006/chart">
          <c:chart xmlns:c="http://schemas.openxmlformats.org/drawingml/2006/chart" r:id="rId2"/>
        </a:graphicData>
      </a:graphic>
    </xdr:graphicFrame>
    <xdr:clientData/>
  </xdr:twoCellAnchor>
  <xdr:twoCellAnchor>
    <xdr:from>
      <xdr:col>25</xdr:col>
      <xdr:colOff>152400</xdr:colOff>
      <xdr:row>289</xdr:row>
      <xdr:rowOff>0</xdr:rowOff>
    </xdr:from>
    <xdr:to>
      <xdr:col>39</xdr:col>
      <xdr:colOff>9525</xdr:colOff>
      <xdr:row>289</xdr:row>
      <xdr:rowOff>0</xdr:rowOff>
    </xdr:to>
    <xdr:graphicFrame>
      <xdr:nvGraphicFramePr>
        <xdr:cNvPr id="4" name="Chart 66"/>
        <xdr:cNvGraphicFramePr/>
      </xdr:nvGraphicFramePr>
      <xdr:xfrm>
        <a:off x="24631650" y="49815750"/>
        <a:ext cx="10810875" cy="0"/>
      </xdr:xfrm>
      <a:graphic>
        <a:graphicData uri="http://schemas.openxmlformats.org/drawingml/2006/chart">
          <c:chart xmlns:c="http://schemas.openxmlformats.org/drawingml/2006/chart" r:id="rId3"/>
        </a:graphicData>
      </a:graphic>
    </xdr:graphicFrame>
    <xdr:clientData/>
  </xdr:twoCellAnchor>
  <xdr:twoCellAnchor>
    <xdr:from>
      <xdr:col>25</xdr:col>
      <xdr:colOff>180975</xdr:colOff>
      <xdr:row>289</xdr:row>
      <xdr:rowOff>0</xdr:rowOff>
    </xdr:from>
    <xdr:to>
      <xdr:col>39</xdr:col>
      <xdr:colOff>28575</xdr:colOff>
      <xdr:row>289</xdr:row>
      <xdr:rowOff>0</xdr:rowOff>
    </xdr:to>
    <xdr:graphicFrame>
      <xdr:nvGraphicFramePr>
        <xdr:cNvPr id="5" name="Chart 67"/>
        <xdr:cNvGraphicFramePr/>
      </xdr:nvGraphicFramePr>
      <xdr:xfrm>
        <a:off x="24660225" y="49815750"/>
        <a:ext cx="10801350" cy="0"/>
      </xdr:xfrm>
      <a:graphic>
        <a:graphicData uri="http://schemas.openxmlformats.org/drawingml/2006/chart">
          <c:chart xmlns:c="http://schemas.openxmlformats.org/drawingml/2006/chart" r:id="rId4"/>
        </a:graphicData>
      </a:graphic>
    </xdr:graphicFrame>
    <xdr:clientData/>
  </xdr:twoCellAnchor>
  <xdr:twoCellAnchor>
    <xdr:from>
      <xdr:col>1</xdr:col>
      <xdr:colOff>47625</xdr:colOff>
      <xdr:row>4</xdr:row>
      <xdr:rowOff>104775</xdr:rowOff>
    </xdr:from>
    <xdr:to>
      <xdr:col>6</xdr:col>
      <xdr:colOff>1028700</xdr:colOff>
      <xdr:row>8</xdr:row>
      <xdr:rowOff>152400</xdr:rowOff>
    </xdr:to>
    <xdr:sp>
      <xdr:nvSpPr>
        <xdr:cNvPr id="6" name="TextBox 90"/>
        <xdr:cNvSpPr txBox="1">
          <a:spLocks noChangeArrowheads="1"/>
        </xdr:cNvSpPr>
      </xdr:nvSpPr>
      <xdr:spPr>
        <a:xfrm>
          <a:off x="304800" y="876300"/>
          <a:ext cx="709612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Helv"/>
              <a:ea typeface="Helv"/>
              <a:cs typeface="Helv"/>
            </a:rPr>
            <a:t>READ the instructions </a:t>
          </a:r>
          <a:r>
            <a:rPr lang="en-US" cap="none" sz="1000" b="0" i="0" u="none" baseline="0">
              <a:latin typeface="Helv"/>
              <a:ea typeface="Helv"/>
              <a:cs typeface="Helv"/>
            </a:rPr>
            <a:t>on the "Instructions" tab. It may save you a lot of time.
Remember, you are allowed/required to change only cells in </a:t>
          </a:r>
          <a:r>
            <a:rPr lang="en-US" cap="none" sz="1000" b="0" i="0" u="none" baseline="0">
              <a:solidFill>
                <a:srgbClr val="0000FF"/>
              </a:solidFill>
              <a:latin typeface="Helv"/>
              <a:ea typeface="Helv"/>
              <a:cs typeface="Helv"/>
            </a:rPr>
            <a:t>blue text</a:t>
          </a:r>
          <a:r>
            <a:rPr lang="en-US" cap="none" sz="1000" b="0" i="0" u="none" baseline="0">
              <a:latin typeface="Helv"/>
              <a:ea typeface="Helv"/>
              <a:cs typeface="Helv"/>
            </a:rPr>
            <a:t>.
</a:t>
          </a:r>
        </a:p>
      </xdr:txBody>
    </xdr:sp>
    <xdr:clientData/>
  </xdr:twoCellAnchor>
  <xdr:twoCellAnchor>
    <xdr:from>
      <xdr:col>50</xdr:col>
      <xdr:colOff>409575</xdr:colOff>
      <xdr:row>0</xdr:row>
      <xdr:rowOff>133350</xdr:rowOff>
    </xdr:from>
    <xdr:to>
      <xdr:col>59</xdr:col>
      <xdr:colOff>161925</xdr:colOff>
      <xdr:row>19</xdr:row>
      <xdr:rowOff>85725</xdr:rowOff>
    </xdr:to>
    <xdr:graphicFrame>
      <xdr:nvGraphicFramePr>
        <xdr:cNvPr id="7" name="Chart 112"/>
        <xdr:cNvGraphicFramePr/>
      </xdr:nvGraphicFramePr>
      <xdr:xfrm>
        <a:off x="43367325" y="133350"/>
        <a:ext cx="5924550" cy="3295650"/>
      </xdr:xfrm>
      <a:graphic>
        <a:graphicData uri="http://schemas.openxmlformats.org/drawingml/2006/chart">
          <c:chart xmlns:c="http://schemas.openxmlformats.org/drawingml/2006/chart" r:id="rId5"/>
        </a:graphicData>
      </a:graphic>
    </xdr:graphicFrame>
    <xdr:clientData/>
  </xdr:twoCellAnchor>
  <xdr:twoCellAnchor>
    <xdr:from>
      <xdr:col>15</xdr:col>
      <xdr:colOff>161925</xdr:colOff>
      <xdr:row>21</xdr:row>
      <xdr:rowOff>9525</xdr:rowOff>
    </xdr:from>
    <xdr:to>
      <xdr:col>29</xdr:col>
      <xdr:colOff>590550</xdr:colOff>
      <xdr:row>23</xdr:row>
      <xdr:rowOff>76200</xdr:rowOff>
    </xdr:to>
    <xdr:sp>
      <xdr:nvSpPr>
        <xdr:cNvPr id="8" name="TextBox 115"/>
        <xdr:cNvSpPr txBox="1">
          <a:spLocks noChangeArrowheads="1"/>
        </xdr:cNvSpPr>
      </xdr:nvSpPr>
      <xdr:spPr>
        <a:xfrm>
          <a:off x="16163925" y="3724275"/>
          <a:ext cx="118205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The numbers in the table below are shown without decimal points due to the way the number is formatted to display.  However, the calculations are made with the value of the actual number, regardless of how it is formatted to display. This may cause an apparent error in counting livestock numbers in some years.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1"/>
  <sheetViews>
    <sheetView showGridLines="0" workbookViewId="0" topLeftCell="A1">
      <selection activeCell="A1" sqref="A1"/>
    </sheetView>
  </sheetViews>
  <sheetFormatPr defaultColWidth="9.140625" defaultRowHeight="12.75"/>
  <cols>
    <col min="4" max="4" width="15.28125" style="0" customWidth="1"/>
    <col min="5" max="5" width="13.28125" style="0" customWidth="1"/>
    <col min="6" max="6" width="15.421875" style="0" customWidth="1"/>
    <col min="7" max="9" width="10.7109375" style="0" customWidth="1"/>
    <col min="10" max="10" width="17.57421875" style="0" customWidth="1"/>
    <col min="11" max="17" width="10.7109375" style="0" customWidth="1"/>
  </cols>
  <sheetData>
    <row r="166" ht="13.5" customHeight="1"/>
    <row r="167" ht="12.75" customHeight="1"/>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BT885"/>
  <sheetViews>
    <sheetView showGridLines="0" tabSelected="1" zoomScale="80" zoomScaleNormal="80" workbookViewId="0" topLeftCell="A1">
      <selection activeCell="B2" sqref="B2"/>
    </sheetView>
  </sheetViews>
  <sheetFormatPr defaultColWidth="9.7109375" defaultRowHeight="12.75"/>
  <cols>
    <col min="1" max="1" width="3.8515625" style="39" customWidth="1"/>
    <col min="2" max="2" width="16.8515625" style="39" customWidth="1"/>
    <col min="3" max="3" width="37.421875" style="39" customWidth="1"/>
    <col min="4" max="4" width="13.00390625" style="39" customWidth="1"/>
    <col min="5" max="5" width="11.8515625" style="39" customWidth="1"/>
    <col min="6" max="6" width="12.57421875" style="39" customWidth="1"/>
    <col min="7" max="7" width="17.8515625" style="39" customWidth="1"/>
    <col min="8" max="8" width="14.7109375" style="39" customWidth="1"/>
    <col min="9" max="9" width="20.140625" style="39" customWidth="1"/>
    <col min="10" max="10" width="14.7109375" style="39" customWidth="1"/>
    <col min="11" max="11" width="4.28125" style="39" customWidth="1"/>
    <col min="12" max="12" width="23.57421875" style="39" customWidth="1"/>
    <col min="13" max="14" width="16.421875" style="39" customWidth="1"/>
    <col min="15" max="15" width="16.28125" style="39" customWidth="1"/>
    <col min="16" max="16" width="13.28125" style="39" customWidth="1"/>
    <col min="17" max="17" width="12.7109375" style="39" customWidth="1"/>
    <col min="18" max="18" width="12.57421875" style="39" customWidth="1"/>
    <col min="19" max="21" width="14.140625" style="39" bestFit="1" customWidth="1"/>
    <col min="22" max="22" width="13.57421875" style="39" bestFit="1" customWidth="1"/>
    <col min="23" max="28" width="10.8515625" style="39" customWidth="1"/>
    <col min="29" max="30" width="11.140625" style="39" customWidth="1"/>
    <col min="31" max="34" width="9.7109375" style="39" customWidth="1"/>
    <col min="35" max="35" width="13.8515625" style="39" customWidth="1"/>
    <col min="36" max="36" width="10.7109375" style="39" customWidth="1"/>
    <col min="37" max="37" width="12.28125" style="39" customWidth="1"/>
    <col min="38" max="38" width="16.7109375" style="39" customWidth="1"/>
    <col min="39" max="39" width="17.00390625" style="39" customWidth="1"/>
    <col min="40" max="40" width="9.7109375" style="39" customWidth="1"/>
    <col min="41" max="41" width="11.57421875" style="39" customWidth="1"/>
    <col min="42" max="42" width="10.28125" style="39" customWidth="1"/>
    <col min="43" max="44" width="11.7109375" style="39" customWidth="1"/>
    <col min="45" max="45" width="11.140625" style="39" customWidth="1"/>
    <col min="46" max="46" width="11.421875" style="39" customWidth="1"/>
    <col min="47" max="47" width="4.421875" style="39" customWidth="1"/>
    <col min="48" max="62" width="10.28125" style="39" customWidth="1"/>
    <col min="63" max="63" width="12.28125" style="39" customWidth="1"/>
    <col min="64" max="71" width="9.7109375" style="39" customWidth="1"/>
    <col min="72" max="72" width="11.7109375" style="39" customWidth="1"/>
    <col min="73" max="16384" width="9.7109375" style="39" customWidth="1"/>
  </cols>
  <sheetData>
    <row r="1" spans="9:16" ht="13.5" customHeight="1" thickBot="1">
      <c r="I1" s="2" t="s">
        <v>89</v>
      </c>
      <c r="P1" s="551" t="s">
        <v>455</v>
      </c>
    </row>
    <row r="2" spans="9:33" ht="15.75" customHeight="1">
      <c r="I2" s="57" t="s">
        <v>124</v>
      </c>
      <c r="P2" s="60">
        <v>1</v>
      </c>
      <c r="Q2" s="60">
        <v>2</v>
      </c>
      <c r="R2" s="60">
        <v>3</v>
      </c>
      <c r="S2" s="60">
        <v>4</v>
      </c>
      <c r="T2" s="60">
        <v>5</v>
      </c>
      <c r="U2" s="60">
        <v>6</v>
      </c>
      <c r="V2" s="60">
        <v>7</v>
      </c>
      <c r="W2" s="60">
        <v>8</v>
      </c>
      <c r="X2" s="60">
        <v>9</v>
      </c>
      <c r="Y2" s="492">
        <v>10</v>
      </c>
      <c r="Z2" s="60">
        <v>11</v>
      </c>
      <c r="AA2" s="60">
        <v>12</v>
      </c>
      <c r="AB2" s="60">
        <v>13</v>
      </c>
      <c r="AC2" s="60">
        <v>14</v>
      </c>
      <c r="AD2" s="60">
        <v>15</v>
      </c>
      <c r="AG2" s="39" t="s">
        <v>452</v>
      </c>
    </row>
    <row r="3" spans="9:46" ht="15.75" customHeight="1">
      <c r="I3" s="35" t="s">
        <v>264</v>
      </c>
      <c r="P3" s="60">
        <f aca="true" t="shared" si="0" ref="P3:AD3">P19</f>
        <v>2006</v>
      </c>
      <c r="Q3" s="60">
        <f t="shared" si="0"/>
        <v>2007</v>
      </c>
      <c r="R3" s="60">
        <f t="shared" si="0"/>
        <v>2008</v>
      </c>
      <c r="S3" s="60">
        <f t="shared" si="0"/>
        <v>2009</v>
      </c>
      <c r="T3" s="60">
        <f t="shared" si="0"/>
        <v>2010</v>
      </c>
      <c r="U3" s="60">
        <f t="shared" si="0"/>
        <v>2011</v>
      </c>
      <c r="V3" s="60">
        <f t="shared" si="0"/>
        <v>2012</v>
      </c>
      <c r="W3" s="60">
        <f t="shared" si="0"/>
        <v>2013</v>
      </c>
      <c r="X3" s="60">
        <f t="shared" si="0"/>
        <v>2014</v>
      </c>
      <c r="Y3" s="493">
        <f t="shared" si="0"/>
        <v>2015</v>
      </c>
      <c r="Z3" s="60">
        <f t="shared" si="0"/>
        <v>2016</v>
      </c>
      <c r="AA3" s="60">
        <f t="shared" si="0"/>
        <v>2017</v>
      </c>
      <c r="AB3" s="60">
        <f t="shared" si="0"/>
        <v>2018</v>
      </c>
      <c r="AC3" s="60">
        <f t="shared" si="0"/>
        <v>2019</v>
      </c>
      <c r="AD3" s="60">
        <f t="shared" si="0"/>
        <v>2020</v>
      </c>
      <c r="AH3" s="404">
        <v>2003</v>
      </c>
      <c r="AI3" s="404">
        <v>2004</v>
      </c>
      <c r="AJ3" s="404">
        <v>2005</v>
      </c>
      <c r="AK3" s="404">
        <v>2006</v>
      </c>
      <c r="AL3" s="404">
        <v>2007</v>
      </c>
      <c r="AM3" s="404">
        <v>2008</v>
      </c>
      <c r="AN3" s="404">
        <v>2009</v>
      </c>
      <c r="AO3" s="404">
        <v>2010</v>
      </c>
      <c r="AP3" s="404">
        <v>2011</v>
      </c>
      <c r="AQ3" s="404">
        <v>2012</v>
      </c>
      <c r="AR3" s="404">
        <v>2013</v>
      </c>
      <c r="AS3" s="404">
        <v>2014</v>
      </c>
      <c r="AT3" s="404">
        <v>2015</v>
      </c>
    </row>
    <row r="4" spans="2:50" ht="15.75" customHeight="1">
      <c r="B4" s="425" t="s">
        <v>411</v>
      </c>
      <c r="I4" s="35" t="s">
        <v>90</v>
      </c>
      <c r="P4" s="587">
        <v>0.8646616541353384</v>
      </c>
      <c r="Q4" s="588">
        <v>0.7593984962406015</v>
      </c>
      <c r="R4" s="588">
        <v>0.7293233082706767</v>
      </c>
      <c r="S4" s="588">
        <v>0.6917293233082706</v>
      </c>
      <c r="T4" s="588">
        <v>0.6616541353383458</v>
      </c>
      <c r="U4" s="588">
        <v>0.631578947368421</v>
      </c>
      <c r="V4" s="588">
        <v>0.6090225563909775</v>
      </c>
      <c r="W4" s="588">
        <v>0.6090225563909775</v>
      </c>
      <c r="X4" s="588">
        <v>0.6240601503759399</v>
      </c>
      <c r="Y4" s="589">
        <v>0.65</v>
      </c>
      <c r="Z4" s="589">
        <v>0.68</v>
      </c>
      <c r="AA4" s="589">
        <v>0.7</v>
      </c>
      <c r="AB4" s="589">
        <v>0.74</v>
      </c>
      <c r="AC4" s="589">
        <v>0.77</v>
      </c>
      <c r="AD4" s="590">
        <v>0.85</v>
      </c>
      <c r="AG4" s="203" t="s">
        <v>458</v>
      </c>
      <c r="AH4" s="591">
        <v>116</v>
      </c>
      <c r="AI4" s="592">
        <v>130</v>
      </c>
      <c r="AJ4" s="592">
        <v>133</v>
      </c>
      <c r="AK4" s="592">
        <v>115</v>
      </c>
      <c r="AL4" s="592">
        <v>101</v>
      </c>
      <c r="AM4" s="592">
        <v>97</v>
      </c>
      <c r="AN4" s="592">
        <v>92</v>
      </c>
      <c r="AO4" s="592">
        <v>88</v>
      </c>
      <c r="AP4" s="592">
        <v>84</v>
      </c>
      <c r="AQ4" s="592">
        <v>81</v>
      </c>
      <c r="AR4" s="592">
        <v>81</v>
      </c>
      <c r="AS4" s="592">
        <v>83</v>
      </c>
      <c r="AT4" s="579"/>
      <c r="AU4" s="41" t="s">
        <v>459</v>
      </c>
      <c r="AV4" s="41"/>
      <c r="AW4" s="41"/>
      <c r="AX4" s="41"/>
    </row>
    <row r="5" spans="16:47" ht="13.5" customHeight="1">
      <c r="P5" s="583">
        <v>0.9382531527323681</v>
      </c>
      <c r="Q5" s="584">
        <v>0.9191966370854742</v>
      </c>
      <c r="R5" s="584">
        <v>0.8857543204110229</v>
      </c>
      <c r="S5" s="584">
        <v>0.8462400747314339</v>
      </c>
      <c r="T5" s="584">
        <v>0.8090611863615134</v>
      </c>
      <c r="U5" s="584">
        <v>0.7758991125642224</v>
      </c>
      <c r="V5" s="584">
        <v>0.7489957963568427</v>
      </c>
      <c r="W5" s="584">
        <v>0.751331153666511</v>
      </c>
      <c r="X5" s="584">
        <v>0.7658103689864549</v>
      </c>
      <c r="Y5" s="585">
        <v>0.78</v>
      </c>
      <c r="Z5" s="585">
        <v>0.8</v>
      </c>
      <c r="AA5" s="585">
        <v>0.83</v>
      </c>
      <c r="AB5" s="585">
        <v>0.85</v>
      </c>
      <c r="AC5" s="585">
        <v>0.88</v>
      </c>
      <c r="AD5" s="586">
        <v>0.95</v>
      </c>
      <c r="AG5" s="41" t="s">
        <v>401</v>
      </c>
      <c r="AH5" s="580">
        <v>103.55</v>
      </c>
      <c r="AI5" s="581">
        <v>111.79</v>
      </c>
      <c r="AJ5" s="581">
        <v>107.05</v>
      </c>
      <c r="AK5" s="581">
        <v>100.44</v>
      </c>
      <c r="AL5" s="581">
        <v>98.4</v>
      </c>
      <c r="AM5" s="581">
        <v>94.82</v>
      </c>
      <c r="AN5" s="581">
        <v>90.59</v>
      </c>
      <c r="AO5" s="581">
        <v>86.61</v>
      </c>
      <c r="AP5" s="581">
        <v>83.06</v>
      </c>
      <c r="AQ5" s="581">
        <v>80.18</v>
      </c>
      <c r="AR5" s="581">
        <v>80.43</v>
      </c>
      <c r="AS5" s="581">
        <v>81.98</v>
      </c>
      <c r="AT5" s="582"/>
      <c r="AU5" s="39" t="s">
        <v>460</v>
      </c>
    </row>
    <row r="6" spans="16:47" ht="13.5" customHeight="1">
      <c r="P6" s="535">
        <v>0.9459346884371875</v>
      </c>
      <c r="Q6" s="536">
        <v>0.8781239586804398</v>
      </c>
      <c r="R6" s="536">
        <v>0.8366377874041986</v>
      </c>
      <c r="S6" s="536">
        <v>0.7960679773408863</v>
      </c>
      <c r="T6" s="536">
        <v>0.7522492502499166</v>
      </c>
      <c r="U6" s="536">
        <v>0.7120959680106631</v>
      </c>
      <c r="V6" s="536">
        <v>0.6956014661779406</v>
      </c>
      <c r="W6" s="536">
        <v>0.7035988003998667</v>
      </c>
      <c r="X6" s="536">
        <v>0.7234255248250583</v>
      </c>
      <c r="Y6" s="536">
        <v>0.750583138953682</v>
      </c>
      <c r="Z6" s="537">
        <v>0.77</v>
      </c>
      <c r="AA6" s="537">
        <v>0.8</v>
      </c>
      <c r="AB6" s="537">
        <v>0.85</v>
      </c>
      <c r="AC6" s="537">
        <v>0.88</v>
      </c>
      <c r="AD6" s="538">
        <v>0.95</v>
      </c>
      <c r="AG6" s="41" t="s">
        <v>456</v>
      </c>
      <c r="AH6" s="545">
        <v>116</v>
      </c>
      <c r="AI6" s="546">
        <v>130</v>
      </c>
      <c r="AJ6" s="546">
        <v>120.04</v>
      </c>
      <c r="AK6" s="546">
        <v>113.55</v>
      </c>
      <c r="AL6" s="546">
        <v>105.41</v>
      </c>
      <c r="AM6" s="546">
        <v>100.43</v>
      </c>
      <c r="AN6" s="546">
        <v>95.56</v>
      </c>
      <c r="AO6" s="546">
        <v>90.3</v>
      </c>
      <c r="AP6" s="546">
        <v>85.48</v>
      </c>
      <c r="AQ6" s="546">
        <v>83.5</v>
      </c>
      <c r="AR6" s="546">
        <v>84.46</v>
      </c>
      <c r="AS6" s="546">
        <v>86.84</v>
      </c>
      <c r="AT6" s="547">
        <v>90.1</v>
      </c>
      <c r="AU6" s="39" t="s">
        <v>457</v>
      </c>
    </row>
    <row r="7" spans="16:45" ht="13.5" customHeight="1">
      <c r="P7" s="505">
        <f aca="true" t="shared" si="1" ref="P7:AD7">P3</f>
        <v>2006</v>
      </c>
      <c r="Q7" s="505">
        <f t="shared" si="1"/>
        <v>2007</v>
      </c>
      <c r="R7" s="505">
        <f t="shared" si="1"/>
        <v>2008</v>
      </c>
      <c r="S7" s="505">
        <f t="shared" si="1"/>
        <v>2009</v>
      </c>
      <c r="T7" s="505">
        <f t="shared" si="1"/>
        <v>2010</v>
      </c>
      <c r="U7" s="505">
        <f t="shared" si="1"/>
        <v>2011</v>
      </c>
      <c r="V7" s="505">
        <f t="shared" si="1"/>
        <v>2012</v>
      </c>
      <c r="W7" s="505">
        <f t="shared" si="1"/>
        <v>2013</v>
      </c>
      <c r="X7" s="505">
        <f t="shared" si="1"/>
        <v>2014</v>
      </c>
      <c r="Y7" s="505">
        <f t="shared" si="1"/>
        <v>2015</v>
      </c>
      <c r="Z7" s="505">
        <f t="shared" si="1"/>
        <v>2016</v>
      </c>
      <c r="AA7" s="505">
        <f t="shared" si="1"/>
        <v>2017</v>
      </c>
      <c r="AB7" s="505">
        <f t="shared" si="1"/>
        <v>2018</v>
      </c>
      <c r="AC7" s="505">
        <f t="shared" si="1"/>
        <v>2019</v>
      </c>
      <c r="AD7" s="505">
        <f t="shared" si="1"/>
        <v>2020</v>
      </c>
      <c r="AK7" s="457"/>
      <c r="AL7" s="457"/>
      <c r="AM7" s="457"/>
      <c r="AN7" s="457"/>
      <c r="AO7" s="457"/>
      <c r="AP7" s="457"/>
      <c r="AQ7" s="457"/>
      <c r="AR7" s="457"/>
      <c r="AS7" s="457"/>
    </row>
    <row r="8" spans="12:21" ht="13.5" customHeight="1">
      <c r="L8" s="72" t="s">
        <v>399</v>
      </c>
      <c r="M8" s="424">
        <v>300</v>
      </c>
      <c r="O8" s="72"/>
      <c r="P8" s="92"/>
      <c r="Q8" s="92"/>
      <c r="R8" s="92"/>
      <c r="S8" s="92"/>
      <c r="T8" s="92"/>
      <c r="U8" s="92"/>
    </row>
    <row r="9" spans="12:21" ht="13.5" customHeight="1">
      <c r="L9" s="72" t="s">
        <v>396</v>
      </c>
      <c r="M9" s="399">
        <v>45</v>
      </c>
      <c r="O9" s="72"/>
      <c r="P9" s="92"/>
      <c r="Q9" s="92"/>
      <c r="R9" s="92"/>
      <c r="S9" s="92"/>
      <c r="T9" s="92"/>
      <c r="U9" s="92"/>
    </row>
    <row r="10" spans="12:21" ht="13.5" customHeight="1">
      <c r="L10" s="72" t="s">
        <v>400</v>
      </c>
      <c r="M10" s="256">
        <v>0</v>
      </c>
      <c r="O10" s="72"/>
      <c r="P10" s="92"/>
      <c r="Q10" s="92"/>
      <c r="R10" s="92"/>
      <c r="S10" s="92"/>
      <c r="T10" s="92"/>
      <c r="U10" s="92"/>
    </row>
    <row r="11" spans="12:21" ht="13.5" customHeight="1">
      <c r="L11" s="72" t="s">
        <v>394</v>
      </c>
      <c r="M11" s="369">
        <v>15</v>
      </c>
      <c r="O11" s="72"/>
      <c r="P11" s="92"/>
      <c r="Q11" s="92"/>
      <c r="R11" s="92"/>
      <c r="S11" s="92"/>
      <c r="T11" s="92"/>
      <c r="U11" s="92"/>
    </row>
    <row r="12" spans="12:21" ht="13.5" customHeight="1">
      <c r="L12" s="72" t="s">
        <v>395</v>
      </c>
      <c r="M12" s="256">
        <v>0</v>
      </c>
      <c r="O12" s="72"/>
      <c r="P12" s="92"/>
      <c r="Q12" s="92"/>
      <c r="R12" s="92"/>
      <c r="S12" s="92"/>
      <c r="T12" s="92"/>
      <c r="U12" s="92"/>
    </row>
    <row r="13" spans="12:21" ht="13.5" customHeight="1">
      <c r="L13" s="72" t="s">
        <v>378</v>
      </c>
      <c r="M13" s="423">
        <v>0</v>
      </c>
      <c r="O13" s="72"/>
      <c r="P13" s="92"/>
      <c r="Q13" s="92"/>
      <c r="R13" s="92"/>
      <c r="S13" s="92"/>
      <c r="T13" s="92"/>
      <c r="U13" s="92"/>
    </row>
    <row r="14" spans="11:21" ht="13.5" customHeight="1">
      <c r="K14" s="260"/>
      <c r="L14" s="72" t="s">
        <v>265</v>
      </c>
      <c r="M14" s="406">
        <v>0.05</v>
      </c>
      <c r="P14" s="92"/>
      <c r="Q14" s="92"/>
      <c r="R14" s="92"/>
      <c r="S14" s="92"/>
      <c r="T14" s="92"/>
      <c r="U14" s="92"/>
    </row>
    <row r="15" spans="2:13" ht="13.5" customHeight="1">
      <c r="B15" s="494" t="s">
        <v>421</v>
      </c>
      <c r="K15" s="260"/>
      <c r="L15" s="72" t="s">
        <v>2</v>
      </c>
      <c r="M15" s="407">
        <v>0</v>
      </c>
    </row>
    <row r="16" spans="2:21" ht="13.5" customHeight="1">
      <c r="B16" s="495" t="s">
        <v>87</v>
      </c>
      <c r="L16" s="72" t="s">
        <v>4</v>
      </c>
      <c r="M16" s="347">
        <f>M14*(1-M15)</f>
        <v>0.05</v>
      </c>
      <c r="O16" s="36"/>
      <c r="P16" s="36"/>
      <c r="Q16" s="36"/>
      <c r="R16" s="36"/>
      <c r="S16" s="36"/>
      <c r="T16" s="36"/>
      <c r="U16" s="60"/>
    </row>
    <row r="17" spans="1:20" ht="13.5" customHeight="1">
      <c r="A17" s="36"/>
      <c r="B17" s="570" t="s">
        <v>406</v>
      </c>
      <c r="C17" s="570"/>
      <c r="D17" s="570"/>
      <c r="E17" s="570"/>
      <c r="F17" s="570"/>
      <c r="G17" s="570"/>
      <c r="L17" s="72" t="s">
        <v>172</v>
      </c>
      <c r="M17" s="370">
        <v>2005</v>
      </c>
      <c r="O17" s="36"/>
      <c r="P17" s="36"/>
      <c r="Q17" s="36"/>
      <c r="R17" s="36"/>
      <c r="S17" s="36"/>
      <c r="T17" s="36"/>
    </row>
    <row r="18" spans="1:46" ht="13.5" customHeight="1">
      <c r="A18" s="36"/>
      <c r="B18" s="36"/>
      <c r="C18" s="36"/>
      <c r="D18" s="36"/>
      <c r="E18" s="36"/>
      <c r="F18" s="36"/>
      <c r="G18" s="36"/>
      <c r="O18" s="60">
        <v>0</v>
      </c>
      <c r="P18" s="60">
        <v>1</v>
      </c>
      <c r="Q18" s="60">
        <v>2</v>
      </c>
      <c r="R18" s="60">
        <v>3</v>
      </c>
      <c r="S18" s="60">
        <v>4</v>
      </c>
      <c r="T18" s="60">
        <v>5</v>
      </c>
      <c r="U18" s="60">
        <v>6</v>
      </c>
      <c r="V18" s="60">
        <v>7</v>
      </c>
      <c r="W18" s="60">
        <v>8</v>
      </c>
      <c r="X18" s="60">
        <v>9</v>
      </c>
      <c r="Y18" s="60">
        <v>10</v>
      </c>
      <c r="Z18" s="60">
        <v>11</v>
      </c>
      <c r="AA18" s="60">
        <v>12</v>
      </c>
      <c r="AB18" s="60">
        <v>13</v>
      </c>
      <c r="AC18" s="60">
        <v>14</v>
      </c>
      <c r="AD18" s="60">
        <v>15</v>
      </c>
      <c r="AL18" s="36"/>
      <c r="AM18" s="36"/>
      <c r="AN18" s="36"/>
      <c r="AO18" s="36"/>
      <c r="AP18" s="36"/>
      <c r="AQ18" s="36"/>
      <c r="AR18" s="36"/>
      <c r="AS18" s="36"/>
      <c r="AT18" s="36"/>
    </row>
    <row r="19" spans="1:46" ht="13.5" customHeight="1">
      <c r="A19" s="36"/>
      <c r="B19" s="36"/>
      <c r="C19" s="36"/>
      <c r="D19" s="36"/>
      <c r="E19" s="36"/>
      <c r="F19" s="36"/>
      <c r="G19" s="36"/>
      <c r="M19" s="41"/>
      <c r="O19" s="60">
        <f>M17</f>
        <v>2005</v>
      </c>
      <c r="P19" s="60">
        <f>O19+1</f>
        <v>2006</v>
      </c>
      <c r="Q19" s="60">
        <f aca="true" t="shared" si="2" ref="Q19:Y19">P19+1</f>
        <v>2007</v>
      </c>
      <c r="R19" s="60">
        <f t="shared" si="2"/>
        <v>2008</v>
      </c>
      <c r="S19" s="60">
        <f t="shared" si="2"/>
        <v>2009</v>
      </c>
      <c r="T19" s="60">
        <f t="shared" si="2"/>
        <v>2010</v>
      </c>
      <c r="U19" s="60">
        <f t="shared" si="2"/>
        <v>2011</v>
      </c>
      <c r="V19" s="60">
        <f t="shared" si="2"/>
        <v>2012</v>
      </c>
      <c r="W19" s="60">
        <f t="shared" si="2"/>
        <v>2013</v>
      </c>
      <c r="X19" s="60">
        <f t="shared" si="2"/>
        <v>2014</v>
      </c>
      <c r="Y19" s="60">
        <f t="shared" si="2"/>
        <v>2015</v>
      </c>
      <c r="Z19" s="60">
        <f>Y19+1</f>
        <v>2016</v>
      </c>
      <c r="AA19" s="60">
        <f>Z19+1</f>
        <v>2017</v>
      </c>
      <c r="AB19" s="60">
        <f>AA19+1</f>
        <v>2018</v>
      </c>
      <c r="AC19" s="60">
        <f>AB19+1</f>
        <v>2019</v>
      </c>
      <c r="AD19" s="60">
        <f>AC19+1</f>
        <v>2020</v>
      </c>
      <c r="AL19" s="36"/>
      <c r="AM19" s="36"/>
      <c r="AN19" s="36"/>
      <c r="AO19" s="36"/>
      <c r="AP19" s="36"/>
      <c r="AQ19" s="36"/>
      <c r="AR19" s="36"/>
      <c r="AS19" s="36"/>
      <c r="AT19" s="36"/>
    </row>
    <row r="20" spans="1:72" ht="15.75" customHeight="1">
      <c r="A20" s="324"/>
      <c r="B20" s="326" t="s">
        <v>337</v>
      </c>
      <c r="C20" s="326"/>
      <c r="D20" s="36"/>
      <c r="E20" s="260"/>
      <c r="F20" s="327" t="s">
        <v>338</v>
      </c>
      <c r="G20" s="346">
        <v>2005</v>
      </c>
      <c r="L20" s="72"/>
      <c r="M20" s="363"/>
      <c r="N20" s="422" t="s">
        <v>237</v>
      </c>
      <c r="O20" s="117" t="s">
        <v>135</v>
      </c>
      <c r="P20" s="62" t="s">
        <v>125</v>
      </c>
      <c r="Q20" s="62" t="s">
        <v>126</v>
      </c>
      <c r="R20" s="62" t="s">
        <v>127</v>
      </c>
      <c r="S20" s="62" t="s">
        <v>128</v>
      </c>
      <c r="T20" s="62" t="s">
        <v>129</v>
      </c>
      <c r="U20" s="62" t="s">
        <v>130</v>
      </c>
      <c r="V20" s="62" t="s">
        <v>131</v>
      </c>
      <c r="W20" s="62" t="s">
        <v>132</v>
      </c>
      <c r="X20" s="62" t="s">
        <v>133</v>
      </c>
      <c r="Y20" s="62" t="s">
        <v>134</v>
      </c>
      <c r="Z20" s="62" t="s">
        <v>6</v>
      </c>
      <c r="AA20" s="62" t="s">
        <v>7</v>
      </c>
      <c r="AB20" s="62" t="s">
        <v>8</v>
      </c>
      <c r="AC20" s="62" t="s">
        <v>9</v>
      </c>
      <c r="AD20" s="62" t="s">
        <v>10</v>
      </c>
      <c r="AH20" s="500" t="s">
        <v>423</v>
      </c>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row>
    <row r="21" spans="1:72" ht="13.5" customHeight="1">
      <c r="A21" s="325"/>
      <c r="B21" s="408" t="s">
        <v>339</v>
      </c>
      <c r="C21" s="408"/>
      <c r="D21" s="409"/>
      <c r="E21" s="411"/>
      <c r="F21" s="410"/>
      <c r="G21" s="412"/>
      <c r="L21" s="88" t="s">
        <v>319</v>
      </c>
      <c r="M21" s="372">
        <v>1200</v>
      </c>
      <c r="N21" s="373">
        <v>0.8</v>
      </c>
      <c r="O21" s="60"/>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row>
    <row r="22" spans="1:72" ht="13.5" customHeight="1">
      <c r="A22" s="324"/>
      <c r="B22" s="36" t="s">
        <v>362</v>
      </c>
      <c r="C22" s="36"/>
      <c r="D22" s="36"/>
      <c r="E22" s="36"/>
      <c r="F22" s="260"/>
      <c r="G22" s="348">
        <v>200</v>
      </c>
      <c r="L22" s="88" t="s">
        <v>235</v>
      </c>
      <c r="M22" s="371">
        <f>$G$43</f>
        <v>2500</v>
      </c>
      <c r="N22" s="256">
        <v>0.75</v>
      </c>
      <c r="O22" s="60"/>
      <c r="AI22" s="264" t="s">
        <v>241</v>
      </c>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9"/>
    </row>
    <row r="23" spans="1:72" ht="13.5" customHeight="1">
      <c r="A23" s="324"/>
      <c r="B23" s="36" t="s">
        <v>340</v>
      </c>
      <c r="C23" s="36"/>
      <c r="D23" s="36"/>
      <c r="E23" s="36"/>
      <c r="F23" s="260"/>
      <c r="G23" s="349">
        <v>0.92</v>
      </c>
      <c r="L23" s="72" t="s">
        <v>282</v>
      </c>
      <c r="M23" s="262">
        <v>0.07</v>
      </c>
      <c r="O23" s="60"/>
      <c r="AJ23" s="264"/>
      <c r="AK23" s="264"/>
      <c r="AL23" s="311" t="s">
        <v>87</v>
      </c>
      <c r="AM23" s="265" t="s">
        <v>284</v>
      </c>
      <c r="AN23" s="266"/>
      <c r="AO23" s="267"/>
      <c r="AP23" s="267"/>
      <c r="AQ23" s="267"/>
      <c r="AR23" s="267"/>
      <c r="AS23" s="267"/>
      <c r="AT23" s="266"/>
      <c r="AU23" s="266"/>
      <c r="AV23" s="266"/>
      <c r="AW23" s="266"/>
      <c r="AX23" s="266"/>
      <c r="AY23" s="266"/>
      <c r="AZ23" s="266"/>
      <c r="BA23" s="266"/>
      <c r="BB23" s="266"/>
      <c r="BC23" s="98"/>
      <c r="BD23" s="98"/>
      <c r="BE23" s="98"/>
      <c r="BF23" s="98"/>
      <c r="BG23" s="98"/>
      <c r="BH23" s="98"/>
      <c r="BI23" s="98"/>
      <c r="BJ23" s="98"/>
      <c r="BK23" s="98"/>
      <c r="BL23" s="98"/>
      <c r="BM23" s="98"/>
      <c r="BN23" s="98"/>
      <c r="BO23" s="98"/>
      <c r="BP23" s="98"/>
      <c r="BQ23" s="98"/>
      <c r="BR23" s="98"/>
      <c r="BS23" s="98"/>
      <c r="BT23" s="99"/>
    </row>
    <row r="24" spans="1:72" ht="13.5" customHeight="1">
      <c r="A24" s="324"/>
      <c r="B24" s="36" t="s">
        <v>341</v>
      </c>
      <c r="C24" s="36"/>
      <c r="D24" s="331">
        <f>G20-1</f>
        <v>2004</v>
      </c>
      <c r="E24" s="329" t="s">
        <v>342</v>
      </c>
      <c r="F24" s="260"/>
      <c r="G24" s="330">
        <f>G22*G23</f>
        <v>184</v>
      </c>
      <c r="K24" s="65"/>
      <c r="L24" s="35"/>
      <c r="N24" s="35"/>
      <c r="O24" s="60"/>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112"/>
      <c r="BL24" s="112"/>
      <c r="BM24" s="112"/>
      <c r="BN24" s="112"/>
      <c r="BO24" s="112"/>
      <c r="BP24" s="112"/>
      <c r="BQ24" s="112"/>
      <c r="BR24" s="112"/>
      <c r="BS24" s="112"/>
      <c r="BT24" s="99"/>
    </row>
    <row r="25" spans="1:72" ht="13.5" customHeight="1">
      <c r="A25" s="324"/>
      <c r="B25" s="36" t="s">
        <v>343</v>
      </c>
      <c r="C25" s="36"/>
      <c r="D25" s="36"/>
      <c r="E25" s="36"/>
      <c r="F25" s="260"/>
      <c r="G25" s="330">
        <f>G22-G24</f>
        <v>16</v>
      </c>
      <c r="K25" s="35"/>
      <c r="N25" s="391" t="s">
        <v>374</v>
      </c>
      <c r="O25" s="64">
        <f>$G$22</f>
        <v>200</v>
      </c>
      <c r="P25" s="66">
        <f aca="true" t="shared" si="3" ref="P25:AD25">O35</f>
        <v>199</v>
      </c>
      <c r="Q25" s="66">
        <f t="shared" si="3"/>
        <v>200</v>
      </c>
      <c r="R25" s="66">
        <f t="shared" si="3"/>
        <v>200</v>
      </c>
      <c r="S25" s="66">
        <f t="shared" si="3"/>
        <v>200</v>
      </c>
      <c r="T25" s="66">
        <f t="shared" si="3"/>
        <v>200</v>
      </c>
      <c r="U25" s="66">
        <f t="shared" si="3"/>
        <v>200</v>
      </c>
      <c r="V25" s="66">
        <f t="shared" si="3"/>
        <v>200</v>
      </c>
      <c r="W25" s="66">
        <f t="shared" si="3"/>
        <v>200</v>
      </c>
      <c r="X25" s="66">
        <f t="shared" si="3"/>
        <v>200</v>
      </c>
      <c r="Y25" s="66">
        <f t="shared" si="3"/>
        <v>200</v>
      </c>
      <c r="Z25" s="66">
        <f t="shared" si="3"/>
        <v>200</v>
      </c>
      <c r="AA25" s="66">
        <f t="shared" si="3"/>
        <v>200</v>
      </c>
      <c r="AB25" s="66">
        <f t="shared" si="3"/>
        <v>200</v>
      </c>
      <c r="AC25" s="66">
        <f t="shared" si="3"/>
        <v>200</v>
      </c>
      <c r="AD25" s="66">
        <f t="shared" si="3"/>
        <v>200</v>
      </c>
      <c r="AI25" s="98"/>
      <c r="AJ25" s="98"/>
      <c r="AK25" s="98"/>
      <c r="AL25" s="99"/>
      <c r="AM25" s="99" t="s">
        <v>216</v>
      </c>
      <c r="AN25" s="99"/>
      <c r="AO25" s="99"/>
      <c r="AP25" s="99" t="s">
        <v>204</v>
      </c>
      <c r="AQ25" s="99"/>
      <c r="AR25" s="99" t="s">
        <v>198</v>
      </c>
      <c r="AS25" s="99" t="s">
        <v>205</v>
      </c>
      <c r="AT25" s="99" t="s">
        <v>43</v>
      </c>
      <c r="AU25" s="99"/>
      <c r="AV25" s="110" t="s">
        <v>1</v>
      </c>
      <c r="AW25" s="109"/>
      <c r="AX25" s="109"/>
      <c r="AY25" s="109"/>
      <c r="AZ25" s="109"/>
      <c r="BA25" s="109"/>
      <c r="BB25" s="118"/>
      <c r="BC25" s="109"/>
      <c r="BD25" s="118"/>
      <c r="BE25" s="118"/>
      <c r="BF25" s="118"/>
      <c r="BG25" s="118"/>
      <c r="BH25" s="118"/>
      <c r="BI25" s="118"/>
      <c r="BJ25" s="118"/>
      <c r="BK25" s="112"/>
      <c r="BL25" s="112"/>
      <c r="BM25" s="112"/>
      <c r="BN25" s="112"/>
      <c r="BO25" s="112"/>
      <c r="BP25" s="112"/>
      <c r="BQ25" s="112"/>
      <c r="BR25" s="112"/>
      <c r="BS25" s="112"/>
      <c r="BT25" s="99"/>
    </row>
    <row r="26" spans="1:72" ht="13.5" customHeight="1">
      <c r="A26" s="324"/>
      <c r="B26" s="36" t="s">
        <v>344</v>
      </c>
      <c r="C26" s="36"/>
      <c r="D26" s="36"/>
      <c r="E26" s="36"/>
      <c r="F26" s="260"/>
      <c r="G26" s="349">
        <v>0.95</v>
      </c>
      <c r="H26" s="36"/>
      <c r="N26" s="72" t="s">
        <v>391</v>
      </c>
      <c r="O26" s="138"/>
      <c r="P26" s="357">
        <v>0</v>
      </c>
      <c r="Q26" s="358">
        <v>0</v>
      </c>
      <c r="R26" s="358">
        <v>0</v>
      </c>
      <c r="S26" s="358">
        <v>0</v>
      </c>
      <c r="T26" s="358">
        <v>0</v>
      </c>
      <c r="U26" s="358">
        <v>0</v>
      </c>
      <c r="V26" s="358">
        <v>0</v>
      </c>
      <c r="W26" s="358">
        <v>0</v>
      </c>
      <c r="X26" s="358">
        <v>0</v>
      </c>
      <c r="Y26" s="358">
        <v>0</v>
      </c>
      <c r="Z26" s="358">
        <v>0</v>
      </c>
      <c r="AA26" s="358">
        <v>0</v>
      </c>
      <c r="AB26" s="358">
        <v>0</v>
      </c>
      <c r="AC26" s="358">
        <v>0</v>
      </c>
      <c r="AD26" s="359">
        <v>0</v>
      </c>
      <c r="AI26" s="98" t="s">
        <v>214</v>
      </c>
      <c r="AJ26" s="98"/>
      <c r="AK26" s="98"/>
      <c r="AL26" s="100" t="s">
        <v>206</v>
      </c>
      <c r="AM26" s="99" t="s">
        <v>207</v>
      </c>
      <c r="AN26" s="99"/>
      <c r="AO26" s="99" t="s">
        <v>208</v>
      </c>
      <c r="AP26" s="99" t="s">
        <v>209</v>
      </c>
      <c r="AQ26" s="99" t="s">
        <v>202</v>
      </c>
      <c r="AR26" s="99" t="s">
        <v>199</v>
      </c>
      <c r="AS26" s="99" t="s">
        <v>201</v>
      </c>
      <c r="AT26" s="99" t="s">
        <v>218</v>
      </c>
      <c r="AU26" s="99"/>
      <c r="AV26" s="135">
        <v>1</v>
      </c>
      <c r="AW26" s="135">
        <v>2</v>
      </c>
      <c r="AX26" s="135">
        <v>3</v>
      </c>
      <c r="AY26" s="135">
        <v>4</v>
      </c>
      <c r="AZ26" s="135">
        <v>5</v>
      </c>
      <c r="BA26" s="135">
        <v>6</v>
      </c>
      <c r="BB26" s="135">
        <v>7</v>
      </c>
      <c r="BC26" s="135">
        <v>8</v>
      </c>
      <c r="BD26" s="135">
        <v>9</v>
      </c>
      <c r="BE26" s="135">
        <v>10</v>
      </c>
      <c r="BF26" s="135">
        <v>11</v>
      </c>
      <c r="BG26" s="135">
        <v>12</v>
      </c>
      <c r="BH26" s="135">
        <v>13</v>
      </c>
      <c r="BI26" s="135">
        <v>14</v>
      </c>
      <c r="BJ26" s="135">
        <v>15</v>
      </c>
      <c r="BK26" s="114"/>
      <c r="BL26" s="114"/>
      <c r="BM26" s="114"/>
      <c r="BN26" s="114"/>
      <c r="BO26" s="114"/>
      <c r="BP26" s="114"/>
      <c r="BQ26" s="114"/>
      <c r="BR26" s="114"/>
      <c r="BS26" s="114"/>
      <c r="BT26" s="312"/>
    </row>
    <row r="27" spans="1:72" ht="13.5" customHeight="1" thickBot="1">
      <c r="A27" s="325"/>
      <c r="B27" s="36" t="s">
        <v>345</v>
      </c>
      <c r="C27" s="36"/>
      <c r="D27" s="331">
        <f>G20</f>
        <v>2005</v>
      </c>
      <c r="F27" s="260"/>
      <c r="G27" s="330">
        <f>G24*G26</f>
        <v>174.79999999999998</v>
      </c>
      <c r="N27" s="63" t="s">
        <v>366</v>
      </c>
      <c r="O27" s="336">
        <f>$G$38</f>
        <v>0.12600000000000008</v>
      </c>
      <c r="P27" s="389">
        <v>0.13</v>
      </c>
      <c r="Q27" s="360">
        <v>0.13</v>
      </c>
      <c r="R27" s="360">
        <v>0.13</v>
      </c>
      <c r="S27" s="360">
        <v>0.13</v>
      </c>
      <c r="T27" s="360">
        <v>0.13</v>
      </c>
      <c r="U27" s="360">
        <v>0.13</v>
      </c>
      <c r="V27" s="360">
        <v>0.13</v>
      </c>
      <c r="W27" s="360">
        <v>0.13</v>
      </c>
      <c r="X27" s="360">
        <v>0.13</v>
      </c>
      <c r="Y27" s="360">
        <v>0.13</v>
      </c>
      <c r="Z27" s="360">
        <v>0.13</v>
      </c>
      <c r="AA27" s="360">
        <v>0.13</v>
      </c>
      <c r="AB27" s="360">
        <v>0.13</v>
      </c>
      <c r="AC27" s="360">
        <v>0.13</v>
      </c>
      <c r="AD27" s="360">
        <v>0.13</v>
      </c>
      <c r="AH27" s="385" t="s">
        <v>217</v>
      </c>
      <c r="AI27" s="98" t="s">
        <v>215</v>
      </c>
      <c r="AJ27" s="98"/>
      <c r="AK27" s="98"/>
      <c r="AL27" s="100" t="s">
        <v>201</v>
      </c>
      <c r="AM27" s="99" t="s">
        <v>210</v>
      </c>
      <c r="AN27" s="99" t="s">
        <v>200</v>
      </c>
      <c r="AO27" s="99" t="s">
        <v>211</v>
      </c>
      <c r="AP27" s="99" t="s">
        <v>212</v>
      </c>
      <c r="AQ27" s="99" t="s">
        <v>201</v>
      </c>
      <c r="AR27" s="99" t="s">
        <v>213</v>
      </c>
      <c r="AS27" s="99" t="s">
        <v>213</v>
      </c>
      <c r="AT27" s="99" t="s">
        <v>219</v>
      </c>
      <c r="AU27" s="99"/>
      <c r="AV27" s="99" t="s">
        <v>203</v>
      </c>
      <c r="AW27" s="99" t="s">
        <v>203</v>
      </c>
      <c r="AX27" s="99" t="s">
        <v>203</v>
      </c>
      <c r="AY27" s="99" t="s">
        <v>203</v>
      </c>
      <c r="AZ27" s="99" t="s">
        <v>203</v>
      </c>
      <c r="BA27" s="99" t="s">
        <v>203</v>
      </c>
      <c r="BB27" s="99" t="s">
        <v>203</v>
      </c>
      <c r="BC27" s="99" t="s">
        <v>203</v>
      </c>
      <c r="BD27" s="99" t="s">
        <v>203</v>
      </c>
      <c r="BE27" s="99" t="s">
        <v>203</v>
      </c>
      <c r="BF27" s="99" t="s">
        <v>203</v>
      </c>
      <c r="BG27" s="99" t="s">
        <v>203</v>
      </c>
      <c r="BH27" s="99" t="s">
        <v>203</v>
      </c>
      <c r="BI27" s="99" t="s">
        <v>203</v>
      </c>
      <c r="BJ27" s="99" t="s">
        <v>203</v>
      </c>
      <c r="BK27" s="284" t="s">
        <v>43</v>
      </c>
      <c r="BL27" s="114"/>
      <c r="BM27" s="114"/>
      <c r="BN27" s="114"/>
      <c r="BO27" s="114"/>
      <c r="BP27" s="114"/>
      <c r="BQ27" s="114"/>
      <c r="BR27" s="114"/>
      <c r="BS27" s="114"/>
      <c r="BT27" s="99"/>
    </row>
    <row r="28" spans="1:72" ht="13.5" customHeight="1">
      <c r="A28" s="324"/>
      <c r="B28" s="36" t="s">
        <v>346</v>
      </c>
      <c r="C28" s="36"/>
      <c r="D28" s="331">
        <f>G20</f>
        <v>2005</v>
      </c>
      <c r="F28" s="260"/>
      <c r="G28" s="330">
        <f>G24-G27</f>
        <v>9.200000000000017</v>
      </c>
      <c r="J28" s="495" t="s">
        <v>409</v>
      </c>
      <c r="N28" s="63" t="s">
        <v>136</v>
      </c>
      <c r="O28" s="64">
        <f>ROUNDUP($G$29,0)</f>
        <v>26</v>
      </c>
      <c r="P28" s="66">
        <f>ROUND(P25*P27,0)</f>
        <v>26</v>
      </c>
      <c r="Q28" s="66">
        <f aca="true" t="shared" si="4" ref="Q28:AD28">ROUND(Q25*Q27,0)</f>
        <v>26</v>
      </c>
      <c r="R28" s="66">
        <f t="shared" si="4"/>
        <v>26</v>
      </c>
      <c r="S28" s="66">
        <f t="shared" si="4"/>
        <v>26</v>
      </c>
      <c r="T28" s="66">
        <f t="shared" si="4"/>
        <v>26</v>
      </c>
      <c r="U28" s="66">
        <f t="shared" si="4"/>
        <v>26</v>
      </c>
      <c r="V28" s="66">
        <f t="shared" si="4"/>
        <v>26</v>
      </c>
      <c r="W28" s="66">
        <f t="shared" si="4"/>
        <v>26</v>
      </c>
      <c r="X28" s="66">
        <f t="shared" si="4"/>
        <v>26</v>
      </c>
      <c r="Y28" s="66">
        <f t="shared" si="4"/>
        <v>26</v>
      </c>
      <c r="Z28" s="66">
        <f t="shared" si="4"/>
        <v>26</v>
      </c>
      <c r="AA28" s="66">
        <f t="shared" si="4"/>
        <v>26</v>
      </c>
      <c r="AB28" s="66">
        <f t="shared" si="4"/>
        <v>26</v>
      </c>
      <c r="AC28" s="66">
        <f t="shared" si="4"/>
        <v>26</v>
      </c>
      <c r="AD28" s="66">
        <f t="shared" si="4"/>
        <v>26</v>
      </c>
      <c r="AH28" s="60">
        <f>$P$19</f>
        <v>2006</v>
      </c>
      <c r="AI28" s="156" t="s">
        <v>296</v>
      </c>
      <c r="AJ28" s="268"/>
      <c r="AK28" s="268"/>
      <c r="AL28" s="157">
        <f>IF(P30&gt;0,P30*P42*M21*N21,0)</f>
        <v>0</v>
      </c>
      <c r="AM28" s="158">
        <f aca="true" t="shared" si="5" ref="AM28:AM42">$M$23</f>
        <v>0.07</v>
      </c>
      <c r="AN28" s="316">
        <v>5</v>
      </c>
      <c r="AO28" s="159">
        <v>1</v>
      </c>
      <c r="AP28" s="366">
        <f>IF($N$21=0,$P$30*P42*$M$21,AL28/$N$21*(1-$N$21))</f>
        <v>0</v>
      </c>
      <c r="AQ28" s="116">
        <f aca="true" t="shared" si="6" ref="AQ28:AQ42">IF(AO28&gt;0,PMT(AM28/AO28,AN28*AO28,-AL28),0)</f>
        <v>0</v>
      </c>
      <c r="AR28" s="116">
        <f aca="true" t="shared" si="7" ref="AR28:AR42">AQ28*(AN28*AO28)-AL28</f>
        <v>0</v>
      </c>
      <c r="AS28" s="116">
        <f aca="true" t="shared" si="8" ref="AS28:AS42">AQ28*(AN28*AO28)+AP28</f>
        <v>0</v>
      </c>
      <c r="AT28" s="99">
        <f>AN28*AO28</f>
        <v>5</v>
      </c>
      <c r="AU28" s="119">
        <v>1</v>
      </c>
      <c r="AV28" s="120">
        <f>IF(AV26&gt;$AN$28,0,IPMT($AM$28/$AO$28,AV26,$AN$28*$AO$28,$AL$28))</f>
        <v>0</v>
      </c>
      <c r="AW28" s="120">
        <f aca="true" t="shared" si="9" ref="AW28:BJ28">IF(AW26&gt;$AN$28,0,IPMT($AM$28/$AO$28,AW26,$AN$28*$AO$28,$AL$28))</f>
        <v>0</v>
      </c>
      <c r="AX28" s="120">
        <f t="shared" si="9"/>
        <v>0</v>
      </c>
      <c r="AY28" s="120">
        <f t="shared" si="9"/>
        <v>0</v>
      </c>
      <c r="AZ28" s="120">
        <f t="shared" si="9"/>
        <v>0</v>
      </c>
      <c r="BA28" s="120">
        <f t="shared" si="9"/>
        <v>0</v>
      </c>
      <c r="BB28" s="120">
        <f t="shared" si="9"/>
        <v>0</v>
      </c>
      <c r="BC28" s="120">
        <f t="shared" si="9"/>
        <v>0</v>
      </c>
      <c r="BD28" s="120">
        <f t="shared" si="9"/>
        <v>0</v>
      </c>
      <c r="BE28" s="120">
        <f t="shared" si="9"/>
        <v>0</v>
      </c>
      <c r="BF28" s="120">
        <f t="shared" si="9"/>
        <v>0</v>
      </c>
      <c r="BG28" s="120">
        <f t="shared" si="9"/>
        <v>0</v>
      </c>
      <c r="BH28" s="120">
        <f t="shared" si="9"/>
        <v>0</v>
      </c>
      <c r="BI28" s="120">
        <f t="shared" si="9"/>
        <v>0</v>
      </c>
      <c r="BJ28" s="120">
        <f t="shared" si="9"/>
        <v>0</v>
      </c>
      <c r="BK28" s="285">
        <f aca="true" t="shared" si="10" ref="BK28:BK42">SUM(AV28:BJ28)</f>
        <v>0</v>
      </c>
      <c r="BL28" s="120"/>
      <c r="BM28" s="120"/>
      <c r="BN28" s="120"/>
      <c r="BO28" s="120"/>
      <c r="BP28" s="120"/>
      <c r="BQ28" s="120"/>
      <c r="BR28" s="120"/>
      <c r="BS28" s="120"/>
      <c r="BT28" s="130"/>
    </row>
    <row r="29" spans="1:72" ht="13.5" customHeight="1">
      <c r="A29" s="324"/>
      <c r="B29" s="36" t="s">
        <v>347</v>
      </c>
      <c r="C29" s="36"/>
      <c r="D29" s="36"/>
      <c r="E29" s="36"/>
      <c r="F29" s="260"/>
      <c r="G29" s="332">
        <f>G25+G28</f>
        <v>25.200000000000017</v>
      </c>
      <c r="J29" s="495" t="s">
        <v>409</v>
      </c>
      <c r="K29" s="82" t="s">
        <v>46</v>
      </c>
      <c r="N29" s="63" t="s">
        <v>369</v>
      </c>
      <c r="O29" s="64">
        <f>ROUND($G$35,0)</f>
        <v>30</v>
      </c>
      <c r="P29" s="249">
        <v>30</v>
      </c>
      <c r="Q29" s="250">
        <v>30</v>
      </c>
      <c r="R29" s="250">
        <v>30</v>
      </c>
      <c r="S29" s="250">
        <v>30</v>
      </c>
      <c r="T29" s="250">
        <v>30</v>
      </c>
      <c r="U29" s="250">
        <v>30</v>
      </c>
      <c r="V29" s="250">
        <v>30</v>
      </c>
      <c r="W29" s="250">
        <v>30</v>
      </c>
      <c r="X29" s="250">
        <v>30</v>
      </c>
      <c r="Y29" s="250">
        <v>30</v>
      </c>
      <c r="Z29" s="250">
        <v>30</v>
      </c>
      <c r="AA29" s="250">
        <v>30</v>
      </c>
      <c r="AB29" s="250">
        <v>30</v>
      </c>
      <c r="AC29" s="250">
        <v>30</v>
      </c>
      <c r="AD29" s="250">
        <v>30</v>
      </c>
      <c r="AH29" s="60">
        <f>Q19</f>
        <v>2007</v>
      </c>
      <c r="AI29" s="161" t="s">
        <v>298</v>
      </c>
      <c r="AJ29" s="269"/>
      <c r="AK29" s="269"/>
      <c r="AL29" s="364">
        <f>IF($Q$30&gt;0,IF($Q$63&gt;=$Q$30*$Q$42*$M$21,0,($Q$30*$Q$42*$M$21-$Q$63)*$N$21),0)</f>
        <v>0</v>
      </c>
      <c r="AM29" s="163">
        <f t="shared" si="5"/>
        <v>0.07</v>
      </c>
      <c r="AN29" s="263">
        <v>5</v>
      </c>
      <c r="AO29" s="164">
        <v>1</v>
      </c>
      <c r="AP29" s="367">
        <f>IF($N$21=0,$Q$30*Q42*$M$21,AL29/$N$21*(1-$N$21))</f>
        <v>0</v>
      </c>
      <c r="AQ29" s="116">
        <f t="shared" si="6"/>
        <v>0</v>
      </c>
      <c r="AR29" s="116">
        <f t="shared" si="7"/>
        <v>0</v>
      </c>
      <c r="AS29" s="116">
        <f t="shared" si="8"/>
        <v>0</v>
      </c>
      <c r="AT29" s="99">
        <f aca="true" t="shared" si="11" ref="AT29:AT42">AN29*AO29</f>
        <v>5</v>
      </c>
      <c r="AU29" s="121">
        <v>2</v>
      </c>
      <c r="AV29" s="120"/>
      <c r="AW29" s="120">
        <f>IF(AW26-$AV$26&gt;$AN$29,0,IPMT($AM$29/$AO$29,AW26-$AV$26,$AN$29*$AO$29,$AL$29))</f>
        <v>0</v>
      </c>
      <c r="AX29" s="120">
        <f aca="true" t="shared" si="12" ref="AX29:BJ29">IF(AX26-$AV$26&gt;$AN$29,0,IPMT($AM$29/$AO$29,AX26-$AV$26,$AN$29*$AO$29,$AL$29))</f>
        <v>0</v>
      </c>
      <c r="AY29" s="120">
        <f t="shared" si="12"/>
        <v>0</v>
      </c>
      <c r="AZ29" s="120">
        <f t="shared" si="12"/>
        <v>0</v>
      </c>
      <c r="BA29" s="120">
        <f t="shared" si="12"/>
        <v>0</v>
      </c>
      <c r="BB29" s="120">
        <f t="shared" si="12"/>
        <v>0</v>
      </c>
      <c r="BC29" s="120">
        <f t="shared" si="12"/>
        <v>0</v>
      </c>
      <c r="BD29" s="120">
        <f t="shared" si="12"/>
        <v>0</v>
      </c>
      <c r="BE29" s="120">
        <f t="shared" si="12"/>
        <v>0</v>
      </c>
      <c r="BF29" s="120">
        <f t="shared" si="12"/>
        <v>0</v>
      </c>
      <c r="BG29" s="120">
        <f t="shared" si="12"/>
        <v>0</v>
      </c>
      <c r="BH29" s="120">
        <f t="shared" si="12"/>
        <v>0</v>
      </c>
      <c r="BI29" s="120">
        <f t="shared" si="12"/>
        <v>0</v>
      </c>
      <c r="BJ29" s="120">
        <f t="shared" si="12"/>
        <v>0</v>
      </c>
      <c r="BK29" s="286">
        <f t="shared" si="10"/>
        <v>0</v>
      </c>
      <c r="BL29" s="120"/>
      <c r="BM29" s="120"/>
      <c r="BN29" s="120"/>
      <c r="BO29" s="120"/>
      <c r="BP29" s="120"/>
      <c r="BQ29" s="120"/>
      <c r="BR29" s="120"/>
      <c r="BS29" s="120"/>
      <c r="BT29" s="130"/>
    </row>
    <row r="30" spans="1:72" ht="13.5" customHeight="1">
      <c r="A30" s="36"/>
      <c r="B30" s="36" t="s">
        <v>348</v>
      </c>
      <c r="C30" s="36"/>
      <c r="D30" s="36"/>
      <c r="E30" s="36"/>
      <c r="F30" s="260"/>
      <c r="G30" s="349">
        <v>0.01</v>
      </c>
      <c r="J30" s="495" t="s">
        <v>409</v>
      </c>
      <c r="K30" s="83" t="s">
        <v>48</v>
      </c>
      <c r="N30" s="63" t="s">
        <v>370</v>
      </c>
      <c r="O30" s="64">
        <f>$D$62</f>
        <v>0</v>
      </c>
      <c r="P30" s="251">
        <v>0</v>
      </c>
      <c r="Q30" s="252">
        <v>0</v>
      </c>
      <c r="R30" s="252">
        <v>0</v>
      </c>
      <c r="S30" s="252">
        <v>0</v>
      </c>
      <c r="T30" s="252">
        <v>0</v>
      </c>
      <c r="U30" s="252">
        <v>0</v>
      </c>
      <c r="V30" s="252">
        <v>0</v>
      </c>
      <c r="W30" s="252">
        <v>0</v>
      </c>
      <c r="X30" s="252">
        <v>0</v>
      </c>
      <c r="Y30" s="252">
        <v>0</v>
      </c>
      <c r="Z30" s="252">
        <v>0</v>
      </c>
      <c r="AA30" s="252">
        <v>0</v>
      </c>
      <c r="AB30" s="252">
        <v>0</v>
      </c>
      <c r="AC30" s="252">
        <v>0</v>
      </c>
      <c r="AD30" s="253">
        <v>0</v>
      </c>
      <c r="AH30" s="60">
        <f>R19</f>
        <v>2008</v>
      </c>
      <c r="AI30" s="161" t="s">
        <v>299</v>
      </c>
      <c r="AJ30" s="269"/>
      <c r="AK30" s="269"/>
      <c r="AL30" s="364">
        <f>IF($R$30&gt;0,IF($R$63&gt;=$R$30*$R$42*$M$21,0,($R$30*$R$42*$M$21-$R$63)*$N$21),0)</f>
        <v>0</v>
      </c>
      <c r="AM30" s="163">
        <f t="shared" si="5"/>
        <v>0.07</v>
      </c>
      <c r="AN30" s="263">
        <v>5</v>
      </c>
      <c r="AO30" s="164">
        <v>1</v>
      </c>
      <c r="AP30" s="367">
        <f>IF($N$21=0,$R$30*R42*$M$21,AL30/$N$21*(1-$N$21))</f>
        <v>0</v>
      </c>
      <c r="AQ30" s="116">
        <f t="shared" si="6"/>
        <v>0</v>
      </c>
      <c r="AR30" s="116">
        <f t="shared" si="7"/>
        <v>0</v>
      </c>
      <c r="AS30" s="116">
        <f t="shared" si="8"/>
        <v>0</v>
      </c>
      <c r="AT30" s="99">
        <f t="shared" si="11"/>
        <v>5</v>
      </c>
      <c r="AU30" s="121">
        <v>3</v>
      </c>
      <c r="AV30" s="120"/>
      <c r="AW30" s="120"/>
      <c r="AX30" s="120">
        <f>IF(AX26-$AW$26&gt;$AN$30,0,IPMT($AM$30/$AO$30,AX26-$AW$26,$AN$30*$AO$30,$AL$30))</f>
        <v>0</v>
      </c>
      <c r="AY30" s="120">
        <f aca="true" t="shared" si="13" ref="AY30:BJ30">IF(AY26-$AW$26&gt;$AN$30,0,IPMT($AM$30/$AO$30,AY26-$AW$26,$AN$30*$AO$30,$AL$30))</f>
        <v>0</v>
      </c>
      <c r="AZ30" s="120">
        <f t="shared" si="13"/>
        <v>0</v>
      </c>
      <c r="BA30" s="120">
        <f t="shared" si="13"/>
        <v>0</v>
      </c>
      <c r="BB30" s="120">
        <f t="shared" si="13"/>
        <v>0</v>
      </c>
      <c r="BC30" s="120">
        <f t="shared" si="13"/>
        <v>0</v>
      </c>
      <c r="BD30" s="120">
        <f t="shared" si="13"/>
        <v>0</v>
      </c>
      <c r="BE30" s="120">
        <f t="shared" si="13"/>
        <v>0</v>
      </c>
      <c r="BF30" s="120">
        <f t="shared" si="13"/>
        <v>0</v>
      </c>
      <c r="BG30" s="120">
        <f t="shared" si="13"/>
        <v>0</v>
      </c>
      <c r="BH30" s="120">
        <f t="shared" si="13"/>
        <v>0</v>
      </c>
      <c r="BI30" s="120">
        <f t="shared" si="13"/>
        <v>0</v>
      </c>
      <c r="BJ30" s="120">
        <f t="shared" si="13"/>
        <v>0</v>
      </c>
      <c r="BK30" s="286">
        <f t="shared" si="10"/>
        <v>0</v>
      </c>
      <c r="BL30" s="120"/>
      <c r="BM30" s="120"/>
      <c r="BN30" s="120"/>
      <c r="BO30" s="120"/>
      <c r="BP30" s="120"/>
      <c r="BQ30" s="120"/>
      <c r="BR30" s="120"/>
      <c r="BS30" s="120"/>
      <c r="BT30" s="130"/>
    </row>
    <row r="31" spans="1:72" ht="13.5" customHeight="1">
      <c r="A31" s="36"/>
      <c r="B31" s="36" t="s">
        <v>349</v>
      </c>
      <c r="D31" s="331">
        <f>G20</f>
        <v>2005</v>
      </c>
      <c r="E31" s="36"/>
      <c r="F31" s="260"/>
      <c r="G31" s="330">
        <f>G27*(1-G30)</f>
        <v>173.052</v>
      </c>
      <c r="H31" s="36"/>
      <c r="K31" s="82" t="s">
        <v>47</v>
      </c>
      <c r="N31" s="63" t="s">
        <v>96</v>
      </c>
      <c r="O31" s="64">
        <f>$D$65</f>
        <v>0</v>
      </c>
      <c r="P31" s="60">
        <f aca="true" t="shared" si="14" ref="P31:AD31">ROUNDUP(P29*$G$37,0)</f>
        <v>1</v>
      </c>
      <c r="Q31" s="60">
        <f t="shared" si="14"/>
        <v>1</v>
      </c>
      <c r="R31" s="60">
        <f t="shared" si="14"/>
        <v>1</v>
      </c>
      <c r="S31" s="60">
        <f t="shared" si="14"/>
        <v>1</v>
      </c>
      <c r="T31" s="60">
        <f t="shared" si="14"/>
        <v>1</v>
      </c>
      <c r="U31" s="60">
        <f t="shared" si="14"/>
        <v>1</v>
      </c>
      <c r="V31" s="60">
        <f t="shared" si="14"/>
        <v>1</v>
      </c>
      <c r="W31" s="60">
        <f t="shared" si="14"/>
        <v>1</v>
      </c>
      <c r="X31" s="60">
        <f t="shared" si="14"/>
        <v>1</v>
      </c>
      <c r="Y31" s="60">
        <f t="shared" si="14"/>
        <v>1</v>
      </c>
      <c r="Z31" s="60">
        <f t="shared" si="14"/>
        <v>1</v>
      </c>
      <c r="AA31" s="60">
        <f t="shared" si="14"/>
        <v>1</v>
      </c>
      <c r="AB31" s="60">
        <f t="shared" si="14"/>
        <v>1</v>
      </c>
      <c r="AC31" s="60">
        <f t="shared" si="14"/>
        <v>1</v>
      </c>
      <c r="AD31" s="60">
        <f t="shared" si="14"/>
        <v>1</v>
      </c>
      <c r="AH31" s="60">
        <f>S19</f>
        <v>2009</v>
      </c>
      <c r="AI31" s="161" t="s">
        <v>300</v>
      </c>
      <c r="AJ31" s="269"/>
      <c r="AK31" s="269"/>
      <c r="AL31" s="364">
        <f>IF($S$30&gt;0,IF($S$63&gt;=$S$30*$S$42*$M$21,0,($S$30*$S$42*$M$21-$S$63)*$N$21),0)</f>
        <v>0</v>
      </c>
      <c r="AM31" s="163">
        <f t="shared" si="5"/>
        <v>0.07</v>
      </c>
      <c r="AN31" s="263">
        <v>5</v>
      </c>
      <c r="AO31" s="164">
        <v>1</v>
      </c>
      <c r="AP31" s="367">
        <f>IF($N$21=0,$S$30*S42*$M$21,AL31/$N$21*(1-$N$21))</f>
        <v>0</v>
      </c>
      <c r="AQ31" s="116">
        <f t="shared" si="6"/>
        <v>0</v>
      </c>
      <c r="AR31" s="116">
        <f t="shared" si="7"/>
        <v>0</v>
      </c>
      <c r="AS31" s="116">
        <f t="shared" si="8"/>
        <v>0</v>
      </c>
      <c r="AT31" s="99">
        <f t="shared" si="11"/>
        <v>5</v>
      </c>
      <c r="AU31" s="121">
        <v>4</v>
      </c>
      <c r="AV31" s="120"/>
      <c r="AW31" s="120"/>
      <c r="AX31" s="120"/>
      <c r="AY31" s="120">
        <f>IF(AY26-$AX$26&gt;$AN$31,0,IPMT($AM$31/$AO$31,AY26-$AX$26,$AN$31*$AO$31,$AL$31))</f>
        <v>0</v>
      </c>
      <c r="AZ31" s="120">
        <f aca="true" t="shared" si="15" ref="AZ31:BJ31">IF(AZ26-$AX$26&gt;$AN$31,0,IPMT($AM$31/$AO$31,AZ26-$AX$26,$AN$31*$AO$31,$AL$31))</f>
        <v>0</v>
      </c>
      <c r="BA31" s="120">
        <f t="shared" si="15"/>
        <v>0</v>
      </c>
      <c r="BB31" s="120">
        <f t="shared" si="15"/>
        <v>0</v>
      </c>
      <c r="BC31" s="120">
        <f t="shared" si="15"/>
        <v>0</v>
      </c>
      <c r="BD31" s="120">
        <f t="shared" si="15"/>
        <v>0</v>
      </c>
      <c r="BE31" s="120">
        <f t="shared" si="15"/>
        <v>0</v>
      </c>
      <c r="BF31" s="120">
        <f t="shared" si="15"/>
        <v>0</v>
      </c>
      <c r="BG31" s="120">
        <f t="shared" si="15"/>
        <v>0</v>
      </c>
      <c r="BH31" s="120">
        <f t="shared" si="15"/>
        <v>0</v>
      </c>
      <c r="BI31" s="120">
        <f t="shared" si="15"/>
        <v>0</v>
      </c>
      <c r="BJ31" s="120">
        <f t="shared" si="15"/>
        <v>0</v>
      </c>
      <c r="BK31" s="286">
        <f t="shared" si="10"/>
        <v>0</v>
      </c>
      <c r="BL31" s="120"/>
      <c r="BM31" s="120"/>
      <c r="BN31" s="120"/>
      <c r="BO31" s="120"/>
      <c r="BP31" s="120"/>
      <c r="BQ31" s="120"/>
      <c r="BR31" s="120"/>
      <c r="BS31" s="120"/>
      <c r="BT31" s="130"/>
    </row>
    <row r="32" spans="1:72" ht="13.5" customHeight="1">
      <c r="A32" s="36"/>
      <c r="B32" s="36" t="s">
        <v>350</v>
      </c>
      <c r="C32" s="36"/>
      <c r="D32" s="36"/>
      <c r="E32" s="36"/>
      <c r="F32" s="260"/>
      <c r="G32" s="349">
        <v>0.98</v>
      </c>
      <c r="H32" s="36"/>
      <c r="K32" s="82" t="s">
        <v>47</v>
      </c>
      <c r="N32" s="63" t="s">
        <v>168</v>
      </c>
      <c r="O32" s="328">
        <f>$D$54</f>
        <v>4</v>
      </c>
      <c r="P32" s="254">
        <v>2</v>
      </c>
      <c r="Q32" s="255">
        <v>3</v>
      </c>
      <c r="R32" s="255">
        <v>3</v>
      </c>
      <c r="S32" s="255">
        <v>3</v>
      </c>
      <c r="T32" s="255">
        <v>3</v>
      </c>
      <c r="U32" s="255">
        <v>3</v>
      </c>
      <c r="V32" s="255">
        <v>3</v>
      </c>
      <c r="W32" s="255">
        <v>3</v>
      </c>
      <c r="X32" s="255">
        <v>3</v>
      </c>
      <c r="Y32" s="255">
        <v>3</v>
      </c>
      <c r="Z32" s="255">
        <v>3</v>
      </c>
      <c r="AA32" s="255">
        <v>3</v>
      </c>
      <c r="AB32" s="255">
        <v>3</v>
      </c>
      <c r="AC32" s="255">
        <v>3</v>
      </c>
      <c r="AD32" s="255">
        <v>3</v>
      </c>
      <c r="AH32" s="60">
        <f>T19</f>
        <v>2010</v>
      </c>
      <c r="AI32" s="161" t="s">
        <v>301</v>
      </c>
      <c r="AJ32" s="269"/>
      <c r="AK32" s="269"/>
      <c r="AL32" s="364">
        <f>IF($T$30&gt;0,IF($T$63&gt;=$T$30*$T$42*$M$21,0,($T$30*$T$42*$M$21-$T$63)*$N$21),0)</f>
        <v>0</v>
      </c>
      <c r="AM32" s="163">
        <f t="shared" si="5"/>
        <v>0.07</v>
      </c>
      <c r="AN32" s="263">
        <v>5</v>
      </c>
      <c r="AO32" s="164">
        <v>1</v>
      </c>
      <c r="AP32" s="367">
        <f>IF($N$21=0,$T$30*T42*$M$21,AL32/$N$21*(1-$N$21))</f>
        <v>0</v>
      </c>
      <c r="AQ32" s="116">
        <f t="shared" si="6"/>
        <v>0</v>
      </c>
      <c r="AR32" s="116">
        <f t="shared" si="7"/>
        <v>0</v>
      </c>
      <c r="AS32" s="116">
        <f t="shared" si="8"/>
        <v>0</v>
      </c>
      <c r="AT32" s="99">
        <f t="shared" si="11"/>
        <v>5</v>
      </c>
      <c r="AU32" s="121">
        <v>5</v>
      </c>
      <c r="AV32" s="120"/>
      <c r="AW32" s="120"/>
      <c r="AX32" s="120"/>
      <c r="AY32" s="120"/>
      <c r="AZ32" s="122">
        <f>IF(AZ26-$AY$26&gt;$AN$32,0,IPMT($AM$32/$AO$32,AZ26-$AY$26,$AN$32*$AO$32,$AL$32))</f>
        <v>0</v>
      </c>
      <c r="BA32" s="122">
        <f aca="true" t="shared" si="16" ref="BA32:BJ32">IF(BA26-$AY$26&gt;$AN$32,0,IPMT($AM$32/$AO$32,BA26-$AY$26,$AN$32*$AO$32,$AL$32))</f>
        <v>0</v>
      </c>
      <c r="BB32" s="122">
        <f t="shared" si="16"/>
        <v>0</v>
      </c>
      <c r="BC32" s="122">
        <f t="shared" si="16"/>
        <v>0</v>
      </c>
      <c r="BD32" s="122">
        <f t="shared" si="16"/>
        <v>0</v>
      </c>
      <c r="BE32" s="122">
        <f t="shared" si="16"/>
        <v>0</v>
      </c>
      <c r="BF32" s="122">
        <f t="shared" si="16"/>
        <v>0</v>
      </c>
      <c r="BG32" s="122">
        <f t="shared" si="16"/>
        <v>0</v>
      </c>
      <c r="BH32" s="122">
        <f t="shared" si="16"/>
        <v>0</v>
      </c>
      <c r="BI32" s="122">
        <f t="shared" si="16"/>
        <v>0</v>
      </c>
      <c r="BJ32" s="122">
        <f t="shared" si="16"/>
        <v>0</v>
      </c>
      <c r="BK32" s="286">
        <f t="shared" si="10"/>
        <v>0</v>
      </c>
      <c r="BL32" s="120"/>
      <c r="BM32" s="120"/>
      <c r="BN32" s="120"/>
      <c r="BO32" s="120"/>
      <c r="BP32" s="120"/>
      <c r="BQ32" s="120"/>
      <c r="BR32" s="120"/>
      <c r="BS32" s="120"/>
      <c r="BT32" s="130"/>
    </row>
    <row r="33" spans="1:72" ht="13.5" customHeight="1">
      <c r="A33" s="36"/>
      <c r="B33" s="36" t="s">
        <v>351</v>
      </c>
      <c r="D33" s="331">
        <f>G20</f>
        <v>2005</v>
      </c>
      <c r="E33" s="36"/>
      <c r="F33" s="260"/>
      <c r="G33" s="333">
        <f>ROUNDUP(G31*G32,0)</f>
        <v>170</v>
      </c>
      <c r="H33" s="36"/>
      <c r="K33" s="82" t="s">
        <v>47</v>
      </c>
      <c r="N33" s="63" t="s">
        <v>97</v>
      </c>
      <c r="O33" s="64">
        <f>ROUNDUP(G29*G40,0)</f>
        <v>1</v>
      </c>
      <c r="P33" s="328">
        <f>ROUND((P25+P30)*$G$40,0)</f>
        <v>1</v>
      </c>
      <c r="Q33" s="328">
        <f aca="true" t="shared" si="17" ref="Q33:AD33">ROUND((Q25+Q30)*$G$40,0)</f>
        <v>1</v>
      </c>
      <c r="R33" s="328">
        <f t="shared" si="17"/>
        <v>1</v>
      </c>
      <c r="S33" s="328">
        <f t="shared" si="17"/>
        <v>1</v>
      </c>
      <c r="T33" s="328">
        <f t="shared" si="17"/>
        <v>1</v>
      </c>
      <c r="U33" s="328">
        <f t="shared" si="17"/>
        <v>1</v>
      </c>
      <c r="V33" s="328">
        <f t="shared" si="17"/>
        <v>1</v>
      </c>
      <c r="W33" s="328">
        <f t="shared" si="17"/>
        <v>1</v>
      </c>
      <c r="X33" s="328">
        <f t="shared" si="17"/>
        <v>1</v>
      </c>
      <c r="Y33" s="328">
        <f t="shared" si="17"/>
        <v>1</v>
      </c>
      <c r="Z33" s="328">
        <f t="shared" si="17"/>
        <v>1</v>
      </c>
      <c r="AA33" s="328">
        <f t="shared" si="17"/>
        <v>1</v>
      </c>
      <c r="AB33" s="328">
        <f t="shared" si="17"/>
        <v>1</v>
      </c>
      <c r="AC33" s="328">
        <f t="shared" si="17"/>
        <v>1</v>
      </c>
      <c r="AD33" s="328">
        <f t="shared" si="17"/>
        <v>1</v>
      </c>
      <c r="AH33" s="60">
        <f>U19</f>
        <v>2011</v>
      </c>
      <c r="AI33" s="161" t="s">
        <v>302</v>
      </c>
      <c r="AJ33" s="269"/>
      <c r="AK33" s="269"/>
      <c r="AL33" s="364">
        <f>IF($U$30&gt;0,IF($U$63&gt;=$U$30*$U$42*$M$21,0,($U$30*$U$42*$M$21-$U$63)*$N$21),0)</f>
        <v>0</v>
      </c>
      <c r="AM33" s="163">
        <f t="shared" si="5"/>
        <v>0.07</v>
      </c>
      <c r="AN33" s="263">
        <v>5</v>
      </c>
      <c r="AO33" s="164">
        <v>1</v>
      </c>
      <c r="AP33" s="367">
        <f>IF($N$21=0,$U$30*U42*$M$21,AL33/$N$21*(1-$N$21))</f>
        <v>0</v>
      </c>
      <c r="AQ33" s="116">
        <f t="shared" si="6"/>
        <v>0</v>
      </c>
      <c r="AR33" s="116">
        <f t="shared" si="7"/>
        <v>0</v>
      </c>
      <c r="AS33" s="116">
        <f t="shared" si="8"/>
        <v>0</v>
      </c>
      <c r="AT33" s="99">
        <f t="shared" si="11"/>
        <v>5</v>
      </c>
      <c r="AU33" s="121">
        <v>6</v>
      </c>
      <c r="AV33" s="120"/>
      <c r="AW33" s="120"/>
      <c r="AX33" s="120"/>
      <c r="AY33" s="120"/>
      <c r="AZ33" s="120"/>
      <c r="BA33" s="122">
        <f>IF(BA26-$AZ$26&gt;$AN$33,0,IPMT($AM$33/$AO$33,BA26-$AZ$26,$AN$33*$AO$33,$AL$33))</f>
        <v>0</v>
      </c>
      <c r="BB33" s="122">
        <f aca="true" t="shared" si="18" ref="BB33:BJ33">IF(BB26-$AZ$26&gt;$AN$33,0,IPMT($AM$33/$AO$33,BB26-$AZ$26,$AN$33*$AO$33,$AL$33))</f>
        <v>0</v>
      </c>
      <c r="BC33" s="122">
        <f t="shared" si="18"/>
        <v>0</v>
      </c>
      <c r="BD33" s="122">
        <f t="shared" si="18"/>
        <v>0</v>
      </c>
      <c r="BE33" s="122">
        <f t="shared" si="18"/>
        <v>0</v>
      </c>
      <c r="BF33" s="122">
        <f t="shared" si="18"/>
        <v>0</v>
      </c>
      <c r="BG33" s="122">
        <f t="shared" si="18"/>
        <v>0</v>
      </c>
      <c r="BH33" s="122">
        <f t="shared" si="18"/>
        <v>0</v>
      </c>
      <c r="BI33" s="122">
        <f t="shared" si="18"/>
        <v>0</v>
      </c>
      <c r="BJ33" s="122">
        <f t="shared" si="18"/>
        <v>0</v>
      </c>
      <c r="BK33" s="286">
        <f t="shared" si="10"/>
        <v>0</v>
      </c>
      <c r="BL33" s="120"/>
      <c r="BM33" s="120"/>
      <c r="BN33" s="120"/>
      <c r="BO33" s="120"/>
      <c r="BP33" s="120"/>
      <c r="BQ33" s="120"/>
      <c r="BR33" s="120"/>
      <c r="BS33" s="120"/>
      <c r="BT33" s="130"/>
    </row>
    <row r="34" spans="1:72" ht="13.5" customHeight="1">
      <c r="A34" s="36"/>
      <c r="B34" s="36" t="s">
        <v>352</v>
      </c>
      <c r="C34" s="36"/>
      <c r="D34" s="36"/>
      <c r="E34" s="36"/>
      <c r="F34" s="260"/>
      <c r="G34" s="334">
        <f>G29</f>
        <v>25.200000000000017</v>
      </c>
      <c r="H34" s="36"/>
      <c r="K34" s="82" t="s">
        <v>47</v>
      </c>
      <c r="N34" s="63" t="s">
        <v>137</v>
      </c>
      <c r="O34" s="328">
        <f>$D$53</f>
        <v>25.074000000000016</v>
      </c>
      <c r="P34" s="137">
        <f>ROUND(IF(P28&lt;P33,0,P28-P33),0)</f>
        <v>25</v>
      </c>
      <c r="Q34" s="137">
        <f aca="true" t="shared" si="19" ref="Q34:AD34">ROUND(IF(Q28&lt;Q33,0,Q28-Q33),0)</f>
        <v>25</v>
      </c>
      <c r="R34" s="137">
        <f t="shared" si="19"/>
        <v>25</v>
      </c>
      <c r="S34" s="137">
        <f t="shared" si="19"/>
        <v>25</v>
      </c>
      <c r="T34" s="137">
        <f t="shared" si="19"/>
        <v>25</v>
      </c>
      <c r="U34" s="137">
        <f t="shared" si="19"/>
        <v>25</v>
      </c>
      <c r="V34" s="137">
        <f t="shared" si="19"/>
        <v>25</v>
      </c>
      <c r="W34" s="137">
        <f t="shared" si="19"/>
        <v>25</v>
      </c>
      <c r="X34" s="137">
        <f t="shared" si="19"/>
        <v>25</v>
      </c>
      <c r="Y34" s="137">
        <f t="shared" si="19"/>
        <v>25</v>
      </c>
      <c r="Z34" s="137">
        <f t="shared" si="19"/>
        <v>25</v>
      </c>
      <c r="AA34" s="137">
        <f t="shared" si="19"/>
        <v>25</v>
      </c>
      <c r="AB34" s="137">
        <f t="shared" si="19"/>
        <v>25</v>
      </c>
      <c r="AC34" s="137">
        <f t="shared" si="19"/>
        <v>25</v>
      </c>
      <c r="AD34" s="137">
        <f t="shared" si="19"/>
        <v>25</v>
      </c>
      <c r="AH34" s="60">
        <f>V19</f>
        <v>2012</v>
      </c>
      <c r="AI34" s="161" t="s">
        <v>303</v>
      </c>
      <c r="AJ34" s="269"/>
      <c r="AK34" s="269"/>
      <c r="AL34" s="364">
        <f>IF($V$30&gt;0,IF($V$63&gt;=$V$30*$V$42*$M$21,0,($V$30*$V$42*$M$21-$V$63)*$N$21),0)</f>
        <v>0</v>
      </c>
      <c r="AM34" s="163">
        <f t="shared" si="5"/>
        <v>0.07</v>
      </c>
      <c r="AN34" s="263">
        <v>5</v>
      </c>
      <c r="AO34" s="164">
        <v>1</v>
      </c>
      <c r="AP34" s="367">
        <f>IF($N$21=0,$V$30*V42*$M$21,AL34/$N$21*(1-$N$21))</f>
        <v>0</v>
      </c>
      <c r="AQ34" s="116">
        <f t="shared" si="6"/>
        <v>0</v>
      </c>
      <c r="AR34" s="116">
        <f t="shared" si="7"/>
        <v>0</v>
      </c>
      <c r="AS34" s="116">
        <f t="shared" si="8"/>
        <v>0</v>
      </c>
      <c r="AT34" s="99">
        <f t="shared" si="11"/>
        <v>5</v>
      </c>
      <c r="AU34" s="121">
        <v>7</v>
      </c>
      <c r="AV34" s="120"/>
      <c r="AW34" s="120"/>
      <c r="AX34" s="120"/>
      <c r="AY34" s="120"/>
      <c r="AZ34" s="120"/>
      <c r="BB34" s="122">
        <f>IF(BB26-$BA$26&gt;$AN$34,0,IPMT($AM$34/$AO$34,BB26-$BA$26,$AN$34*$AO$34,$AL$34))</f>
        <v>0</v>
      </c>
      <c r="BC34" s="122">
        <f aca="true" t="shared" si="20" ref="BC34:BJ34">IF(BC26-$BA$26&gt;$AN$34,0,IPMT($AM$34/$AO$34,BC26-$BA$26,$AN$34*$AO$34,$AL$34))</f>
        <v>0</v>
      </c>
      <c r="BD34" s="122">
        <f t="shared" si="20"/>
        <v>0</v>
      </c>
      <c r="BE34" s="122">
        <f t="shared" si="20"/>
        <v>0</v>
      </c>
      <c r="BF34" s="122">
        <f t="shared" si="20"/>
        <v>0</v>
      </c>
      <c r="BG34" s="122">
        <f t="shared" si="20"/>
        <v>0</v>
      </c>
      <c r="BH34" s="122">
        <f t="shared" si="20"/>
        <v>0</v>
      </c>
      <c r="BI34" s="122">
        <f t="shared" si="20"/>
        <v>0</v>
      </c>
      <c r="BJ34" s="122">
        <f t="shared" si="20"/>
        <v>0</v>
      </c>
      <c r="BK34" s="286">
        <f t="shared" si="10"/>
        <v>0</v>
      </c>
      <c r="BL34" s="120"/>
      <c r="BM34" s="120"/>
      <c r="BN34" s="120"/>
      <c r="BO34" s="120"/>
      <c r="BP34" s="120"/>
      <c r="BQ34" s="120"/>
      <c r="BR34" s="120"/>
      <c r="BS34" s="120"/>
      <c r="BT34" s="130"/>
    </row>
    <row r="35" spans="1:72" ht="13.5" customHeight="1">
      <c r="A35" s="36"/>
      <c r="B35" s="36" t="s">
        <v>356</v>
      </c>
      <c r="C35" s="36"/>
      <c r="D35" s="36"/>
      <c r="E35" s="36"/>
      <c r="F35" s="260"/>
      <c r="G35" s="531">
        <v>30</v>
      </c>
      <c r="H35" s="45"/>
      <c r="K35" s="361" t="s">
        <v>49</v>
      </c>
      <c r="L35" s="123"/>
      <c r="M35" s="123"/>
      <c r="N35" s="111" t="s">
        <v>410</v>
      </c>
      <c r="O35" s="344">
        <f>ROUNDDOWN(O25+O29-O32+O30-O34-O33-O31,0)</f>
        <v>199</v>
      </c>
      <c r="P35" s="80">
        <f>ROUND(P25+P29-P32+P30-P34-P33-P31-P26,0)</f>
        <v>200</v>
      </c>
      <c r="Q35" s="80">
        <f aca="true" t="shared" si="21" ref="Q35:AD35">ROUND(Q25+Q29-Q32+Q30-Q34-Q33-Q31-Q26,0)</f>
        <v>200</v>
      </c>
      <c r="R35" s="80">
        <f t="shared" si="21"/>
        <v>200</v>
      </c>
      <c r="S35" s="80">
        <f t="shared" si="21"/>
        <v>200</v>
      </c>
      <c r="T35" s="80">
        <f t="shared" si="21"/>
        <v>200</v>
      </c>
      <c r="U35" s="80">
        <f t="shared" si="21"/>
        <v>200</v>
      </c>
      <c r="V35" s="80">
        <f t="shared" si="21"/>
        <v>200</v>
      </c>
      <c r="W35" s="80">
        <f t="shared" si="21"/>
        <v>200</v>
      </c>
      <c r="X35" s="80">
        <f t="shared" si="21"/>
        <v>200</v>
      </c>
      <c r="Y35" s="80">
        <f t="shared" si="21"/>
        <v>200</v>
      </c>
      <c r="Z35" s="80">
        <f t="shared" si="21"/>
        <v>200</v>
      </c>
      <c r="AA35" s="80">
        <f t="shared" si="21"/>
        <v>200</v>
      </c>
      <c r="AB35" s="80">
        <f t="shared" si="21"/>
        <v>200</v>
      </c>
      <c r="AC35" s="80">
        <f t="shared" si="21"/>
        <v>200</v>
      </c>
      <c r="AD35" s="80">
        <f t="shared" si="21"/>
        <v>200</v>
      </c>
      <c r="AH35" s="60">
        <f>W19</f>
        <v>2013</v>
      </c>
      <c r="AI35" s="161" t="s">
        <v>304</v>
      </c>
      <c r="AJ35" s="269"/>
      <c r="AK35" s="269"/>
      <c r="AL35" s="364">
        <f>IF($W$30&gt;0,IF($W$63&gt;=$W$30*$W$42*$M$21,0,($W$30*$W$42*$M$21-$W$63)*$N$21),0)</f>
        <v>0</v>
      </c>
      <c r="AM35" s="163">
        <f t="shared" si="5"/>
        <v>0.07</v>
      </c>
      <c r="AN35" s="263">
        <v>5</v>
      </c>
      <c r="AO35" s="164">
        <v>1</v>
      </c>
      <c r="AP35" s="367">
        <f>IF($N$21=0,$W$30*W42*$M$21,AL35/$N$21*(1-$N$21))</f>
        <v>0</v>
      </c>
      <c r="AQ35" s="116">
        <f t="shared" si="6"/>
        <v>0</v>
      </c>
      <c r="AR35" s="116">
        <f t="shared" si="7"/>
        <v>0</v>
      </c>
      <c r="AS35" s="116">
        <f t="shared" si="8"/>
        <v>0</v>
      </c>
      <c r="AT35" s="99">
        <f t="shared" si="11"/>
        <v>5</v>
      </c>
      <c r="AU35" s="121">
        <v>8</v>
      </c>
      <c r="AV35" s="120"/>
      <c r="AW35" s="120"/>
      <c r="AX35" s="120"/>
      <c r="AY35" s="120"/>
      <c r="AZ35" s="120"/>
      <c r="BB35" s="120"/>
      <c r="BC35" s="122">
        <f>IF(BC26-$BB$26&gt;$AN$35,0,IPMT($AM$35/$AO$35,BC26-$BB$26,$AN$35*$AO$35,$AL$35))</f>
        <v>0</v>
      </c>
      <c r="BD35" s="122">
        <f aca="true" t="shared" si="22" ref="BD35:BJ35">IF(BD26-$BB$26&gt;$AN$35,0,IPMT($AM$35/$AO$35,BD26-$BB$26,$AN$35*$AO$35,$AL$35))</f>
        <v>0</v>
      </c>
      <c r="BE35" s="122">
        <f t="shared" si="22"/>
        <v>0</v>
      </c>
      <c r="BF35" s="122">
        <f t="shared" si="22"/>
        <v>0</v>
      </c>
      <c r="BG35" s="122">
        <f t="shared" si="22"/>
        <v>0</v>
      </c>
      <c r="BH35" s="122">
        <f t="shared" si="22"/>
        <v>0</v>
      </c>
      <c r="BI35" s="122">
        <f t="shared" si="22"/>
        <v>0</v>
      </c>
      <c r="BJ35" s="122">
        <f t="shared" si="22"/>
        <v>0</v>
      </c>
      <c r="BK35" s="286">
        <f t="shared" si="10"/>
        <v>0</v>
      </c>
      <c r="BL35" s="120"/>
      <c r="BM35" s="120"/>
      <c r="BN35" s="120"/>
      <c r="BO35" s="120"/>
      <c r="BP35" s="120"/>
      <c r="BQ35" s="120"/>
      <c r="BR35" s="120"/>
      <c r="BS35" s="120"/>
      <c r="BT35" s="130"/>
    </row>
    <row r="36" spans="1:72" ht="13.5" customHeight="1">
      <c r="A36" s="36"/>
      <c r="B36" s="36" t="s">
        <v>354</v>
      </c>
      <c r="C36" s="36"/>
      <c r="D36" s="36"/>
      <c r="E36" s="36"/>
      <c r="F36" s="260"/>
      <c r="G36" s="350" t="s">
        <v>355</v>
      </c>
      <c r="N36" s="72"/>
      <c r="P36" s="60"/>
      <c r="Q36" s="60"/>
      <c r="R36" s="60"/>
      <c r="S36" s="60"/>
      <c r="T36" s="60"/>
      <c r="U36" s="60"/>
      <c r="V36" s="60"/>
      <c r="W36" s="60"/>
      <c r="X36" s="60"/>
      <c r="Y36" s="60"/>
      <c r="Z36" s="60"/>
      <c r="AA36" s="60"/>
      <c r="AB36" s="60"/>
      <c r="AC36" s="60"/>
      <c r="AD36" s="60"/>
      <c r="AH36" s="60">
        <f>X19</f>
        <v>2014</v>
      </c>
      <c r="AI36" s="161" t="s">
        <v>305</v>
      </c>
      <c r="AJ36" s="269"/>
      <c r="AK36" s="269"/>
      <c r="AL36" s="364">
        <f>IF($X$30&gt;0,IF($X$63&gt;=$X$30*$X$42*$M$21,0,($X$30*$X$42*$M$21-$X$63)*$N$21),0)</f>
        <v>0</v>
      </c>
      <c r="AM36" s="163">
        <f t="shared" si="5"/>
        <v>0.07</v>
      </c>
      <c r="AN36" s="263">
        <v>5</v>
      </c>
      <c r="AO36" s="164">
        <v>1</v>
      </c>
      <c r="AP36" s="367">
        <f>IF($N$21=0,$X$30*X42*$M$21,AL36/$N$21*(1-$N$21))</f>
        <v>0</v>
      </c>
      <c r="AQ36" s="116">
        <f t="shared" si="6"/>
        <v>0</v>
      </c>
      <c r="AR36" s="116">
        <f t="shared" si="7"/>
        <v>0</v>
      </c>
      <c r="AS36" s="116">
        <f t="shared" si="8"/>
        <v>0</v>
      </c>
      <c r="AT36" s="99">
        <f t="shared" si="11"/>
        <v>5</v>
      </c>
      <c r="AU36" s="121">
        <v>9</v>
      </c>
      <c r="AV36" s="120"/>
      <c r="AW36" s="120"/>
      <c r="AX36" s="120"/>
      <c r="AY36" s="120"/>
      <c r="AZ36" s="120"/>
      <c r="BB36" s="120"/>
      <c r="BC36" s="120"/>
      <c r="BD36" s="122">
        <f>IF(BD26-$BC$26&gt;$AN$36,0,IPMT($AM$36/$AO$36,BD26-$BC$26,$AN$36*$AO$36,$AL$36))</f>
        <v>0</v>
      </c>
      <c r="BE36" s="122">
        <f aca="true" t="shared" si="23" ref="BE36:BJ36">IF(BE26-$BC$26&gt;$AN$36,0,IPMT($AM$36/$AO$36,BE26-$BC$26,$AN$36*$AO$36,$AL$36))</f>
        <v>0</v>
      </c>
      <c r="BF36" s="122">
        <f t="shared" si="23"/>
        <v>0</v>
      </c>
      <c r="BG36" s="122">
        <f t="shared" si="23"/>
        <v>0</v>
      </c>
      <c r="BH36" s="122">
        <f t="shared" si="23"/>
        <v>0</v>
      </c>
      <c r="BI36" s="122">
        <f t="shared" si="23"/>
        <v>0</v>
      </c>
      <c r="BJ36" s="122">
        <f t="shared" si="23"/>
        <v>0</v>
      </c>
      <c r="BK36" s="286">
        <f t="shared" si="10"/>
        <v>0</v>
      </c>
      <c r="BL36" s="120"/>
      <c r="BM36" s="120"/>
      <c r="BN36" s="120"/>
      <c r="BO36" s="120"/>
      <c r="BP36" s="120"/>
      <c r="BQ36" s="120"/>
      <c r="BR36" s="120"/>
      <c r="BS36" s="120"/>
      <c r="BT36" s="130"/>
    </row>
    <row r="37" spans="1:72" ht="13.5" customHeight="1">
      <c r="A37" s="36"/>
      <c r="B37" s="36" t="s">
        <v>364</v>
      </c>
      <c r="G37" s="351">
        <v>0.005</v>
      </c>
      <c r="N37" s="63" t="s">
        <v>166</v>
      </c>
      <c r="O37" s="337">
        <f>G45</f>
        <v>6</v>
      </c>
      <c r="P37" s="345">
        <f>ROUND(P25/$G$41*(1-1/$G$44),0)</f>
        <v>5</v>
      </c>
      <c r="Q37" s="345">
        <f>ROUND(Q25/$G$41*(1-1/$G$44),0)</f>
        <v>5</v>
      </c>
      <c r="R37" s="345">
        <f>ROUND(R25/$G$41*(1-1/$G$44),0)</f>
        <v>5</v>
      </c>
      <c r="S37" s="345">
        <f aca="true" t="shared" si="24" ref="S37:AD37">ROUND(S25/$G$41*(1-1/$G$44),0)</f>
        <v>5</v>
      </c>
      <c r="T37" s="345">
        <f t="shared" si="24"/>
        <v>5</v>
      </c>
      <c r="U37" s="345">
        <f t="shared" si="24"/>
        <v>5</v>
      </c>
      <c r="V37" s="345">
        <f t="shared" si="24"/>
        <v>5</v>
      </c>
      <c r="W37" s="345">
        <f t="shared" si="24"/>
        <v>5</v>
      </c>
      <c r="X37" s="345">
        <f t="shared" si="24"/>
        <v>5</v>
      </c>
      <c r="Y37" s="345">
        <f t="shared" si="24"/>
        <v>5</v>
      </c>
      <c r="Z37" s="345">
        <f t="shared" si="24"/>
        <v>5</v>
      </c>
      <c r="AA37" s="345">
        <f t="shared" si="24"/>
        <v>5</v>
      </c>
      <c r="AB37" s="345">
        <f t="shared" si="24"/>
        <v>5</v>
      </c>
      <c r="AC37" s="345">
        <f t="shared" si="24"/>
        <v>5</v>
      </c>
      <c r="AD37" s="345">
        <f t="shared" si="24"/>
        <v>5</v>
      </c>
      <c r="AH37" s="60">
        <f>Y19</f>
        <v>2015</v>
      </c>
      <c r="AI37" s="161" t="s">
        <v>306</v>
      </c>
      <c r="AJ37" s="269"/>
      <c r="AK37" s="269"/>
      <c r="AL37" s="364">
        <f>IF($Y$30&gt;0,IF($Y$63&gt;=$Y$30*$Y$42*$M$21,0,($Y$30*$Y$42*$M$21-$Y$63)*$N$21),0)</f>
        <v>0</v>
      </c>
      <c r="AM37" s="163">
        <f t="shared" si="5"/>
        <v>0.07</v>
      </c>
      <c r="AN37" s="263">
        <v>5</v>
      </c>
      <c r="AO37" s="164">
        <v>1</v>
      </c>
      <c r="AP37" s="367">
        <f>IF($N$21=0,$Y$30*Y42*$M$21,AL37/$N$21*(1-$N$21))</f>
        <v>0</v>
      </c>
      <c r="AQ37" s="116">
        <f t="shared" si="6"/>
        <v>0</v>
      </c>
      <c r="AR37" s="116">
        <f t="shared" si="7"/>
        <v>0</v>
      </c>
      <c r="AS37" s="116">
        <f t="shared" si="8"/>
        <v>0</v>
      </c>
      <c r="AT37" s="99">
        <f t="shared" si="11"/>
        <v>5</v>
      </c>
      <c r="AU37" s="121">
        <v>10</v>
      </c>
      <c r="AV37" s="120"/>
      <c r="AW37" s="120"/>
      <c r="AX37" s="120"/>
      <c r="AY37" s="120"/>
      <c r="AZ37" s="120"/>
      <c r="BB37" s="120"/>
      <c r="BC37" s="120"/>
      <c r="BD37" s="120"/>
      <c r="BE37" s="122">
        <f aca="true" t="shared" si="25" ref="BE37:BJ37">IF(BE26-$BD$26&gt;$AN$37,0,IPMT($AM$37/$AO$37,BE26-$BD$26,$AN$37*$AO$37,$AL$37))</f>
        <v>0</v>
      </c>
      <c r="BF37" s="122">
        <f t="shared" si="25"/>
        <v>0</v>
      </c>
      <c r="BG37" s="122">
        <f t="shared" si="25"/>
        <v>0</v>
      </c>
      <c r="BH37" s="122">
        <f t="shared" si="25"/>
        <v>0</v>
      </c>
      <c r="BI37" s="122">
        <f t="shared" si="25"/>
        <v>0</v>
      </c>
      <c r="BJ37" s="122">
        <f t="shared" si="25"/>
        <v>0</v>
      </c>
      <c r="BK37" s="286">
        <f t="shared" si="10"/>
        <v>0</v>
      </c>
      <c r="BL37" s="120"/>
      <c r="BM37" s="120"/>
      <c r="BN37" s="120"/>
      <c r="BO37" s="120"/>
      <c r="BP37" s="120"/>
      <c r="BQ37" s="120"/>
      <c r="BR37" s="120"/>
      <c r="BS37" s="120"/>
      <c r="BT37" s="130"/>
    </row>
    <row r="38" spans="1:72" ht="13.5" customHeight="1">
      <c r="A38" s="260"/>
      <c r="B38" s="36" t="s">
        <v>353</v>
      </c>
      <c r="C38" s="36"/>
      <c r="D38" s="36"/>
      <c r="E38" s="36"/>
      <c r="F38" s="260"/>
      <c r="G38" s="335">
        <f>G34/G22</f>
        <v>0.12600000000000008</v>
      </c>
      <c r="N38" s="72" t="s">
        <v>167</v>
      </c>
      <c r="O38" s="60">
        <f>ROUNDUP($G$42-$O$37,0)</f>
        <v>2</v>
      </c>
      <c r="P38" s="345">
        <f>ROUND(P25/$G$41*1/$G$44,0)</f>
        <v>3</v>
      </c>
      <c r="Q38" s="345">
        <f>ROUND(Q25/$G$41*1/$G$44,0)</f>
        <v>3</v>
      </c>
      <c r="R38" s="345">
        <f>ROUND(R25/$G$41*1/$G$44,0)</f>
        <v>3</v>
      </c>
      <c r="S38" s="345">
        <f>ROUND(S25/$G$41*1/$G$44,0)</f>
        <v>3</v>
      </c>
      <c r="T38" s="345">
        <f aca="true" t="shared" si="26" ref="T38:AD38">ROUND(T25/$G$41*1/$G$44,0)</f>
        <v>3</v>
      </c>
      <c r="U38" s="345">
        <f t="shared" si="26"/>
        <v>3</v>
      </c>
      <c r="V38" s="345">
        <f t="shared" si="26"/>
        <v>3</v>
      </c>
      <c r="W38" s="345">
        <f t="shared" si="26"/>
        <v>3</v>
      </c>
      <c r="X38" s="345">
        <f t="shared" si="26"/>
        <v>3</v>
      </c>
      <c r="Y38" s="345">
        <f t="shared" si="26"/>
        <v>3</v>
      </c>
      <c r="Z38" s="345">
        <f t="shared" si="26"/>
        <v>3</v>
      </c>
      <c r="AA38" s="345">
        <f t="shared" si="26"/>
        <v>3</v>
      </c>
      <c r="AB38" s="345">
        <f t="shared" si="26"/>
        <v>3</v>
      </c>
      <c r="AC38" s="345">
        <f t="shared" si="26"/>
        <v>3</v>
      </c>
      <c r="AD38" s="345">
        <f t="shared" si="26"/>
        <v>3</v>
      </c>
      <c r="AH38" s="60">
        <f>Z19</f>
        <v>2016</v>
      </c>
      <c r="AI38" s="161" t="s">
        <v>307</v>
      </c>
      <c r="AJ38" s="269"/>
      <c r="AK38" s="269"/>
      <c r="AL38" s="364">
        <f>IF($Z$30&gt;0,IF($Z$63&gt;=$Z$30*$Z$42*$M$21,0,($Z$30*$Z$42*$M$21-$Z$63)*$N$21),0)</f>
        <v>0</v>
      </c>
      <c r="AM38" s="163">
        <f t="shared" si="5"/>
        <v>0.07</v>
      </c>
      <c r="AN38" s="263">
        <v>5</v>
      </c>
      <c r="AO38" s="164">
        <v>1</v>
      </c>
      <c r="AP38" s="367">
        <f>IF($N$21=0,$Z$30*Z42*$M$21,AL38/$N$21*(1-$N$21))</f>
        <v>0</v>
      </c>
      <c r="AQ38" s="116">
        <f t="shared" si="6"/>
        <v>0</v>
      </c>
      <c r="AR38" s="116">
        <f t="shared" si="7"/>
        <v>0</v>
      </c>
      <c r="AS38" s="116">
        <f t="shared" si="8"/>
        <v>0</v>
      </c>
      <c r="AT38" s="99">
        <f t="shared" si="11"/>
        <v>5</v>
      </c>
      <c r="AU38" s="121">
        <v>11</v>
      </c>
      <c r="AV38" s="120"/>
      <c r="AW38" s="120"/>
      <c r="AX38" s="120"/>
      <c r="AY38" s="120"/>
      <c r="AZ38" s="120"/>
      <c r="BB38" s="120"/>
      <c r="BC38" s="120"/>
      <c r="BD38" s="120"/>
      <c r="BE38" s="120"/>
      <c r="BF38" s="122">
        <f>IF(BF26-$BE$26&gt;$AN$38,0,IPMT($AM$38/$AO$38,BF26-$BE$26,$AN$38*$AO$38,$AL$38))</f>
        <v>0</v>
      </c>
      <c r="BG38" s="122">
        <f>IF(BG26-$BE$26&gt;$AN$38,0,IPMT($AM$38/$AO$38,BG26-$BE$26,$AN$38*$AO$38,$AL$38))</f>
        <v>0</v>
      </c>
      <c r="BH38" s="122">
        <f>IF(BH26-$BE$26&gt;$AN$38,0,IPMT($AM$38/$AO$38,BH26-$BE$26,$AN$38*$AO$38,$AL$38))</f>
        <v>0</v>
      </c>
      <c r="BI38" s="122">
        <f>IF(BI26-$BE$26&gt;$AN$38,0,IPMT($AM$38/$AO$38,BI26-$BE$26,$AN$38*$AO$38,$AL$38))</f>
        <v>0</v>
      </c>
      <c r="BJ38" s="122">
        <f>IF(BJ26-$BE$26&gt;$AN$38,0,IPMT($AM$38/$AO$38,BJ26-$BE$26,$AN$38*$AO$38,$AL$38))</f>
        <v>0</v>
      </c>
      <c r="BK38" s="286">
        <f t="shared" si="10"/>
        <v>0</v>
      </c>
      <c r="BL38" s="120"/>
      <c r="BM38" s="120"/>
      <c r="BN38" s="120"/>
      <c r="BO38" s="120"/>
      <c r="BP38" s="120"/>
      <c r="BQ38" s="120"/>
      <c r="BR38" s="120"/>
      <c r="BS38" s="120"/>
      <c r="BT38" s="130"/>
    </row>
    <row r="39" spans="1:72" ht="13.5" customHeight="1">
      <c r="A39" s="260"/>
      <c r="B39" s="36" t="s">
        <v>363</v>
      </c>
      <c r="G39" s="335">
        <f>G34/G24</f>
        <v>0.13695652173913053</v>
      </c>
      <c r="K39" s="45"/>
      <c r="N39" s="72" t="s">
        <v>384</v>
      </c>
      <c r="O39" s="60"/>
      <c r="P39" s="81">
        <f>(P37+P38)-$G$42</f>
        <v>0</v>
      </c>
      <c r="Q39" s="81">
        <f>(Q37+Q38)-$G$42</f>
        <v>0</v>
      </c>
      <c r="R39" s="81">
        <f aca="true" t="shared" si="27" ref="R39:AD39">(R37+R38)-$G$42</f>
        <v>0</v>
      </c>
      <c r="S39" s="81">
        <f t="shared" si="27"/>
        <v>0</v>
      </c>
      <c r="T39" s="81">
        <f t="shared" si="27"/>
        <v>0</v>
      </c>
      <c r="U39" s="81">
        <f t="shared" si="27"/>
        <v>0</v>
      </c>
      <c r="V39" s="81">
        <f t="shared" si="27"/>
        <v>0</v>
      </c>
      <c r="W39" s="81">
        <f t="shared" si="27"/>
        <v>0</v>
      </c>
      <c r="X39" s="81">
        <f t="shared" si="27"/>
        <v>0</v>
      </c>
      <c r="Y39" s="81">
        <f t="shared" si="27"/>
        <v>0</v>
      </c>
      <c r="Z39" s="81">
        <f t="shared" si="27"/>
        <v>0</v>
      </c>
      <c r="AA39" s="81">
        <f t="shared" si="27"/>
        <v>0</v>
      </c>
      <c r="AB39" s="81">
        <f t="shared" si="27"/>
        <v>0</v>
      </c>
      <c r="AC39" s="81">
        <f t="shared" si="27"/>
        <v>0</v>
      </c>
      <c r="AD39" s="81">
        <f t="shared" si="27"/>
        <v>0</v>
      </c>
      <c r="AH39" s="60">
        <f>AA19</f>
        <v>2017</v>
      </c>
      <c r="AI39" s="161" t="s">
        <v>308</v>
      </c>
      <c r="AJ39" s="269"/>
      <c r="AK39" s="269"/>
      <c r="AL39" s="364">
        <f>IF($AA$30&gt;0,IF($AA$63&gt;=$AA$30*$AA$42*$M$21,0,($AA$30*$AA$42*$M$21-$AA$63)*$N$21),0)</f>
        <v>0</v>
      </c>
      <c r="AM39" s="163">
        <f t="shared" si="5"/>
        <v>0.07</v>
      </c>
      <c r="AN39" s="263">
        <v>5</v>
      </c>
      <c r="AO39" s="164">
        <v>1</v>
      </c>
      <c r="AP39" s="367">
        <f>IF($N$21=0,$AA$30*AA42*$M$21,AL39/$N$21*(1-$N$21))</f>
        <v>0</v>
      </c>
      <c r="AQ39" s="116">
        <f t="shared" si="6"/>
        <v>0</v>
      </c>
      <c r="AR39" s="116">
        <f t="shared" si="7"/>
        <v>0</v>
      </c>
      <c r="AS39" s="116">
        <f t="shared" si="8"/>
        <v>0</v>
      </c>
      <c r="AT39" s="99">
        <f t="shared" si="11"/>
        <v>5</v>
      </c>
      <c r="AU39" s="121">
        <v>12</v>
      </c>
      <c r="AV39" s="120"/>
      <c r="AW39" s="120"/>
      <c r="AX39" s="120"/>
      <c r="AY39" s="120"/>
      <c r="AZ39" s="120"/>
      <c r="BB39" s="120"/>
      <c r="BC39" s="120"/>
      <c r="BD39" s="120"/>
      <c r="BE39" s="120"/>
      <c r="BF39" s="120"/>
      <c r="BG39" s="122">
        <f>IF(BG26-$BF$26&gt;$AN$39,0,IPMT($AM$39/$AO$39,BG26-$BF$26,$AN$39*$AO$39,$AL$39))</f>
        <v>0</v>
      </c>
      <c r="BH39" s="122">
        <f>IF(BH26-$BF$26&gt;$AN$39,0,IPMT($AM$39/$AO$39,BH26-$BF$26,$AN$39*$AO$39,$AL$39))</f>
        <v>0</v>
      </c>
      <c r="BI39" s="122">
        <f>IF(BI26-$BF$26&gt;$AN$39,0,IPMT($AM$39/$AO$39,BI26-$BF$26,$AN$39*$AO$39,$AL$39))</f>
        <v>0</v>
      </c>
      <c r="BJ39" s="122">
        <f>IF(BJ26-$BF$26&gt;$AN$39,0,IPMT($AM$39/$AO$39,BJ26-$BF$26,$AN$39*$AO$39,$AL$39))</f>
        <v>0</v>
      </c>
      <c r="BK39" s="288">
        <f t="shared" si="10"/>
        <v>0</v>
      </c>
      <c r="BL39" s="120"/>
      <c r="BM39" s="120"/>
      <c r="BN39" s="120"/>
      <c r="BO39" s="120"/>
      <c r="BP39" s="120"/>
      <c r="BQ39" s="120"/>
      <c r="BR39" s="120"/>
      <c r="BS39" s="120"/>
      <c r="BT39" s="130"/>
    </row>
    <row r="40" spans="2:72" ht="13.5" customHeight="1">
      <c r="B40" s="36" t="s">
        <v>365</v>
      </c>
      <c r="G40" s="351">
        <v>0.005</v>
      </c>
      <c r="K40" s="45"/>
      <c r="N40" s="93" t="s">
        <v>279</v>
      </c>
      <c r="O40" s="343">
        <f>ROUND(G33*0.5,0)</f>
        <v>85</v>
      </c>
      <c r="P40" s="343">
        <f>(P25*$G$23*$G$26*$G$32*(1-$G$30)*0.5)+(P30*$G$26*$G$32*(1-$G$30)*0.5)</f>
        <v>84.3715026</v>
      </c>
      <c r="Q40" s="343">
        <f aca="true" t="shared" si="28" ref="Q40:AD40">(Q25*$G$23*$G$26*$G$32*(1-$G$30)*0.5)+(Q30*$G$26*$G$32*(1-$G$30)*0.5)</f>
        <v>84.79547999999998</v>
      </c>
      <c r="R40" s="343">
        <f t="shared" si="28"/>
        <v>84.79547999999998</v>
      </c>
      <c r="S40" s="343">
        <f t="shared" si="28"/>
        <v>84.79547999999998</v>
      </c>
      <c r="T40" s="343">
        <f t="shared" si="28"/>
        <v>84.79547999999998</v>
      </c>
      <c r="U40" s="343">
        <f t="shared" si="28"/>
        <v>84.79547999999998</v>
      </c>
      <c r="V40" s="343">
        <f t="shared" si="28"/>
        <v>84.79547999999998</v>
      </c>
      <c r="W40" s="343">
        <f t="shared" si="28"/>
        <v>84.79547999999998</v>
      </c>
      <c r="X40" s="343">
        <f t="shared" si="28"/>
        <v>84.79547999999998</v>
      </c>
      <c r="Y40" s="343">
        <f t="shared" si="28"/>
        <v>84.79547999999998</v>
      </c>
      <c r="Z40" s="343">
        <f t="shared" si="28"/>
        <v>84.79547999999998</v>
      </c>
      <c r="AA40" s="343">
        <f t="shared" si="28"/>
        <v>84.79547999999998</v>
      </c>
      <c r="AB40" s="343">
        <f t="shared" si="28"/>
        <v>84.79547999999998</v>
      </c>
      <c r="AC40" s="343">
        <f t="shared" si="28"/>
        <v>84.79547999999998</v>
      </c>
      <c r="AD40" s="343">
        <f t="shared" si="28"/>
        <v>84.79547999999998</v>
      </c>
      <c r="AH40" s="60">
        <f>AB19</f>
        <v>2018</v>
      </c>
      <c r="AI40" s="161" t="s">
        <v>309</v>
      </c>
      <c r="AJ40" s="269"/>
      <c r="AK40" s="269"/>
      <c r="AL40" s="364">
        <f>IF($AB$30&gt;0,IF($AB$63&gt;=$AB$30*$AB$42*$M$21,0,($AB$30*$AB$42*$M$21-$AB$63)*$N$21),0)</f>
        <v>0</v>
      </c>
      <c r="AM40" s="163">
        <f t="shared" si="5"/>
        <v>0.07</v>
      </c>
      <c r="AN40" s="263">
        <v>5</v>
      </c>
      <c r="AO40" s="164">
        <v>1</v>
      </c>
      <c r="AP40" s="367">
        <f>IF($N$21=0,$AB$30*AB42*$M$21,AL40/$N$21*(1-$N$21))</f>
        <v>0</v>
      </c>
      <c r="AQ40" s="116">
        <f t="shared" si="6"/>
        <v>0</v>
      </c>
      <c r="AR40" s="116">
        <f t="shared" si="7"/>
        <v>0</v>
      </c>
      <c r="AS40" s="116">
        <f t="shared" si="8"/>
        <v>0</v>
      </c>
      <c r="AT40" s="99">
        <f t="shared" si="11"/>
        <v>5</v>
      </c>
      <c r="AU40" s="121">
        <v>13</v>
      </c>
      <c r="AV40" s="120"/>
      <c r="AW40" s="120"/>
      <c r="AX40" s="120"/>
      <c r="AY40" s="120"/>
      <c r="AZ40" s="120"/>
      <c r="BB40" s="120"/>
      <c r="BC40" s="120"/>
      <c r="BD40" s="120"/>
      <c r="BE40" s="120"/>
      <c r="BF40" s="120"/>
      <c r="BG40" s="120"/>
      <c r="BH40" s="122">
        <f>IF(BH26-$BG$26&gt;$AN$40,0,IPMT($AM$40/$AO$40,BH26-$BG$26,$AN$40*$AO$40,$AL$40))</f>
        <v>0</v>
      </c>
      <c r="BI40" s="122">
        <f>IF(BI26-$BG$26&gt;$AN$40,0,IPMT($AM$40/$AO$40,BI26-$BG$26,$AN$40*$AO$40,$AL$40))</f>
        <v>0</v>
      </c>
      <c r="BJ40" s="122">
        <f>IF(BJ26-$BG$26&gt;$AN$40,0,IPMT($AM$40/$AO$40,BJ26-$BG$26,$AN$40*$AO$40,$AL$40))</f>
        <v>0</v>
      </c>
      <c r="BK40" s="286">
        <f t="shared" si="10"/>
        <v>0</v>
      </c>
      <c r="BL40" s="120"/>
      <c r="BM40" s="120"/>
      <c r="BN40" s="120"/>
      <c r="BO40" s="120"/>
      <c r="BP40" s="120"/>
      <c r="BQ40" s="120"/>
      <c r="BR40" s="120"/>
      <c r="BS40" s="120"/>
      <c r="BT40" s="130"/>
    </row>
    <row r="41" spans="2:72" ht="13.5" customHeight="1">
      <c r="B41" s="36" t="s">
        <v>357</v>
      </c>
      <c r="C41" s="36"/>
      <c r="D41" s="36"/>
      <c r="E41" s="36"/>
      <c r="F41" s="260"/>
      <c r="G41" s="348">
        <v>25</v>
      </c>
      <c r="L41" s="1"/>
      <c r="M41" s="60"/>
      <c r="N41" s="93" t="s">
        <v>280</v>
      </c>
      <c r="O41" s="343">
        <f>ROUND(G33*0.5-G35,0)</f>
        <v>55</v>
      </c>
      <c r="P41" s="343">
        <f aca="true" t="shared" si="29" ref="P41:AD41">((P25*$G$23*$G$26*$G$32*(1-$G$30)*0.5)+(P30*$G$26*$G$32*(1-$G$30)*0.5))-P29</f>
        <v>54.3715026</v>
      </c>
      <c r="Q41" s="343">
        <f t="shared" si="29"/>
        <v>54.79547999999998</v>
      </c>
      <c r="R41" s="343">
        <f t="shared" si="29"/>
        <v>54.79547999999998</v>
      </c>
      <c r="S41" s="343">
        <f t="shared" si="29"/>
        <v>54.79547999999998</v>
      </c>
      <c r="T41" s="343">
        <f t="shared" si="29"/>
        <v>54.79547999999998</v>
      </c>
      <c r="U41" s="343">
        <f t="shared" si="29"/>
        <v>54.79547999999998</v>
      </c>
      <c r="V41" s="343">
        <f t="shared" si="29"/>
        <v>54.79547999999998</v>
      </c>
      <c r="W41" s="343">
        <f t="shared" si="29"/>
        <v>54.79547999999998</v>
      </c>
      <c r="X41" s="343">
        <f t="shared" si="29"/>
        <v>54.79547999999998</v>
      </c>
      <c r="Y41" s="343">
        <f t="shared" si="29"/>
        <v>54.79547999999998</v>
      </c>
      <c r="Z41" s="343">
        <f t="shared" si="29"/>
        <v>54.79547999999998</v>
      </c>
      <c r="AA41" s="343">
        <f t="shared" si="29"/>
        <v>54.79547999999998</v>
      </c>
      <c r="AB41" s="343">
        <f t="shared" si="29"/>
        <v>54.79547999999998</v>
      </c>
      <c r="AC41" s="343">
        <f t="shared" si="29"/>
        <v>54.79547999999998</v>
      </c>
      <c r="AD41" s="343">
        <f t="shared" si="29"/>
        <v>54.79547999999998</v>
      </c>
      <c r="AH41" s="60">
        <f>AC19</f>
        <v>2019</v>
      </c>
      <c r="AI41" s="161" t="s">
        <v>310</v>
      </c>
      <c r="AJ41" s="269"/>
      <c r="AK41" s="269"/>
      <c r="AL41" s="364">
        <f>IF($AC$30&gt;0,IF($AC$63&gt;=$AC$30*$AC$42*$M$21,0,($AC$30*$AC$42*$M$21-$AC$63)*$N$21),0)</f>
        <v>0</v>
      </c>
      <c r="AM41" s="163">
        <f t="shared" si="5"/>
        <v>0.07</v>
      </c>
      <c r="AN41" s="263">
        <v>5</v>
      </c>
      <c r="AO41" s="164">
        <v>1</v>
      </c>
      <c r="AP41" s="367">
        <f>IF($N$21=0,$AC$30*AC42*$M$21,AL41/$N$21*(1-$N$21))</f>
        <v>0</v>
      </c>
      <c r="AQ41" s="116">
        <f t="shared" si="6"/>
        <v>0</v>
      </c>
      <c r="AR41" s="116">
        <f t="shared" si="7"/>
        <v>0</v>
      </c>
      <c r="AS41" s="116">
        <f t="shared" si="8"/>
        <v>0</v>
      </c>
      <c r="AT41" s="99">
        <f t="shared" si="11"/>
        <v>5</v>
      </c>
      <c r="AU41" s="121">
        <v>14</v>
      </c>
      <c r="AV41" s="120"/>
      <c r="AW41" s="120"/>
      <c r="AX41" s="120"/>
      <c r="AY41" s="120"/>
      <c r="AZ41" s="120"/>
      <c r="BB41" s="120"/>
      <c r="BC41" s="120"/>
      <c r="BD41" s="120"/>
      <c r="BE41" s="120"/>
      <c r="BF41" s="120"/>
      <c r="BG41" s="120"/>
      <c r="BH41" s="120"/>
      <c r="BI41" s="122">
        <f>IF(BI26-$BH$26&gt;$AN$41,0,IPMT($AM$41/$AO$41,BI26-$BH$26,$AN$41*$AO$41,$AL$41))</f>
        <v>0</v>
      </c>
      <c r="BJ41" s="122">
        <f>IF(BJ26-$BH$26&gt;$AN$41,0,IPMT($AM$41/$AO$41,BJ26-$BH$26,$AN$41*$AO$41,$AL$41))</f>
        <v>0</v>
      </c>
      <c r="BK41" s="286">
        <f t="shared" si="10"/>
        <v>0</v>
      </c>
      <c r="BL41" s="120"/>
      <c r="BM41" s="120"/>
      <c r="BN41" s="120"/>
      <c r="BO41" s="120"/>
      <c r="BP41" s="120"/>
      <c r="BQ41" s="120"/>
      <c r="BR41" s="120"/>
      <c r="BS41" s="120"/>
      <c r="BT41" s="130"/>
    </row>
    <row r="42" spans="1:72" ht="13.5" customHeight="1" thickBot="1">
      <c r="A42" s="260"/>
      <c r="B42" s="36" t="s">
        <v>358</v>
      </c>
      <c r="C42" s="36"/>
      <c r="D42" s="36"/>
      <c r="E42" s="36"/>
      <c r="F42" s="260"/>
      <c r="G42" s="330">
        <f>ROUNDUP(G22/G41,0)</f>
        <v>8</v>
      </c>
      <c r="K42" s="66"/>
      <c r="L42" s="66"/>
      <c r="M42" s="66"/>
      <c r="N42" s="88" t="s">
        <v>14</v>
      </c>
      <c r="O42" s="89"/>
      <c r="P42" s="535">
        <v>0.9459346884371875</v>
      </c>
      <c r="Q42" s="536">
        <v>0.8781239586804398</v>
      </c>
      <c r="R42" s="536">
        <v>0.8366377874041986</v>
      </c>
      <c r="S42" s="536">
        <v>0.7960679773408863</v>
      </c>
      <c r="T42" s="536">
        <v>0.7522492502499166</v>
      </c>
      <c r="U42" s="536">
        <v>0.7120959680106631</v>
      </c>
      <c r="V42" s="536">
        <v>0.6956014661779406</v>
      </c>
      <c r="W42" s="536">
        <v>0.7035988003998667</v>
      </c>
      <c r="X42" s="536">
        <v>0.7234255248250583</v>
      </c>
      <c r="Y42" s="536">
        <v>0.750583138953682</v>
      </c>
      <c r="Z42" s="537">
        <v>0.77</v>
      </c>
      <c r="AA42" s="537">
        <v>0.8</v>
      </c>
      <c r="AB42" s="537">
        <v>0.85</v>
      </c>
      <c r="AC42" s="537">
        <v>0.88</v>
      </c>
      <c r="AD42" s="538">
        <v>0.95</v>
      </c>
      <c r="AH42" s="60">
        <f>AD19</f>
        <v>2020</v>
      </c>
      <c r="AI42" s="166" t="s">
        <v>297</v>
      </c>
      <c r="AJ42" s="166"/>
      <c r="AK42" s="166"/>
      <c r="AL42" s="365">
        <f>IF($AD$30&gt;0,IF($AD$63&gt;=$AD$30*$AD$42*$M$21,0,($AD$30*$AD$42*$M$21-$AD$63)*$N$21),0)</f>
        <v>0</v>
      </c>
      <c r="AM42" s="168">
        <f t="shared" si="5"/>
        <v>0.07</v>
      </c>
      <c r="AN42" s="317">
        <v>5</v>
      </c>
      <c r="AO42" s="169">
        <v>1</v>
      </c>
      <c r="AP42" s="368">
        <f>IF($N$21=0,$AD$30*AD42*$M$21,AL42/$N$21*(1-$N$21))</f>
        <v>0</v>
      </c>
      <c r="AQ42" s="116">
        <f t="shared" si="6"/>
        <v>0</v>
      </c>
      <c r="AR42" s="116">
        <f t="shared" si="7"/>
        <v>0</v>
      </c>
      <c r="AS42" s="116">
        <f t="shared" si="8"/>
        <v>0</v>
      </c>
      <c r="AT42" s="99">
        <f t="shared" si="11"/>
        <v>5</v>
      </c>
      <c r="AU42" s="124">
        <v>15</v>
      </c>
      <c r="AV42" s="125"/>
      <c r="AW42" s="126"/>
      <c r="AX42" s="126"/>
      <c r="AY42" s="126"/>
      <c r="AZ42" s="126"/>
      <c r="BA42" s="127"/>
      <c r="BB42" s="126"/>
      <c r="BC42" s="126"/>
      <c r="BD42" s="126"/>
      <c r="BE42" s="126"/>
      <c r="BF42" s="126"/>
      <c r="BG42" s="126"/>
      <c r="BH42" s="126"/>
      <c r="BI42" s="126"/>
      <c r="BJ42" s="128">
        <f>IF(BJ26-$BI$26&gt;$AN$42,0,IPMT($AM$42/$AO$42,BJ26-$BI$26,$AN$42*$AO$42,$AL$42))</f>
        <v>0</v>
      </c>
      <c r="BK42" s="287">
        <f t="shared" si="10"/>
        <v>0</v>
      </c>
      <c r="BL42" s="120"/>
      <c r="BM42" s="120"/>
      <c r="BN42" s="120"/>
      <c r="BO42" s="120"/>
      <c r="BP42" s="120"/>
      <c r="BQ42" s="120"/>
      <c r="BR42" s="120"/>
      <c r="BS42" s="120"/>
      <c r="BT42" s="313"/>
    </row>
    <row r="43" spans="1:72" ht="13.5" customHeight="1">
      <c r="A43" s="260"/>
      <c r="B43" s="36" t="s">
        <v>359</v>
      </c>
      <c r="C43" s="36"/>
      <c r="D43" s="36"/>
      <c r="E43" s="36"/>
      <c r="F43" s="260"/>
      <c r="G43" s="352">
        <v>2500</v>
      </c>
      <c r="K43" s="66"/>
      <c r="P43" s="362" t="s">
        <v>386</v>
      </c>
      <c r="Q43" s="354"/>
      <c r="R43" s="354"/>
      <c r="S43" s="354"/>
      <c r="T43" s="354"/>
      <c r="U43" s="354"/>
      <c r="V43" s="354"/>
      <c r="W43" s="354"/>
      <c r="X43" s="354"/>
      <c r="Y43" s="354"/>
      <c r="Z43" s="354"/>
      <c r="AA43" s="354"/>
      <c r="AB43" s="354"/>
      <c r="AC43" s="354"/>
      <c r="AD43" s="355"/>
      <c r="AI43" s="129" t="s">
        <v>0</v>
      </c>
      <c r="AJ43" s="270"/>
      <c r="AK43" s="270"/>
      <c r="AL43" s="115">
        <f>SUM(AL28:AL42)</f>
        <v>0</v>
      </c>
      <c r="AM43" s="101"/>
      <c r="AN43" s="102"/>
      <c r="AO43" s="103"/>
      <c r="AP43" s="104"/>
      <c r="AQ43" s="107"/>
      <c r="AR43" s="107"/>
      <c r="AS43" s="107"/>
      <c r="AT43" s="98"/>
      <c r="AU43" s="98"/>
      <c r="AV43" s="130">
        <f aca="true" t="shared" si="30" ref="AV43:BJ43">SUM(AV28:AV42)</f>
        <v>0</v>
      </c>
      <c r="AW43" s="130">
        <f t="shared" si="30"/>
        <v>0</v>
      </c>
      <c r="AX43" s="130">
        <f t="shared" si="30"/>
        <v>0</v>
      </c>
      <c r="AY43" s="130">
        <f t="shared" si="30"/>
        <v>0</v>
      </c>
      <c r="AZ43" s="130">
        <f t="shared" si="30"/>
        <v>0</v>
      </c>
      <c r="BA43" s="130">
        <f t="shared" si="30"/>
        <v>0</v>
      </c>
      <c r="BB43" s="130">
        <f t="shared" si="30"/>
        <v>0</v>
      </c>
      <c r="BC43" s="130">
        <f t="shared" si="30"/>
        <v>0</v>
      </c>
      <c r="BD43" s="130">
        <f t="shared" si="30"/>
        <v>0</v>
      </c>
      <c r="BE43" s="130">
        <f t="shared" si="30"/>
        <v>0</v>
      </c>
      <c r="BF43" s="130">
        <f t="shared" si="30"/>
        <v>0</v>
      </c>
      <c r="BG43" s="130">
        <f t="shared" si="30"/>
        <v>0</v>
      </c>
      <c r="BH43" s="130">
        <f t="shared" si="30"/>
        <v>0</v>
      </c>
      <c r="BI43" s="130">
        <f t="shared" si="30"/>
        <v>0</v>
      </c>
      <c r="BJ43" s="130">
        <f t="shared" si="30"/>
        <v>0</v>
      </c>
      <c r="BK43" s="98"/>
      <c r="BL43" s="98"/>
      <c r="BM43" s="98"/>
      <c r="BN43" s="98"/>
      <c r="BO43" s="98"/>
      <c r="BP43" s="98"/>
      <c r="BQ43" s="98"/>
      <c r="BR43" s="98"/>
      <c r="BS43" s="314"/>
      <c r="BT43" s="313"/>
    </row>
    <row r="44" spans="1:72" ht="13.5" customHeight="1">
      <c r="A44" s="36"/>
      <c r="B44" s="36" t="s">
        <v>360</v>
      </c>
      <c r="C44" s="19"/>
      <c r="D44" s="40"/>
      <c r="E44" s="40"/>
      <c r="F44" s="40"/>
      <c r="G44" s="353">
        <v>3</v>
      </c>
      <c r="K44" s="66"/>
      <c r="L44" s="66"/>
      <c r="M44" s="66"/>
      <c r="N44" s="88" t="s">
        <v>389</v>
      </c>
      <c r="O44" s="336">
        <f>$G$136</f>
        <v>0.03</v>
      </c>
      <c r="P44" s="131">
        <f>(1+$O$44)</f>
        <v>1.03</v>
      </c>
      <c r="Q44" s="94">
        <f aca="true" t="shared" si="31" ref="Q44:Y44">P44+(P44*$O$44)</f>
        <v>1.0609</v>
      </c>
      <c r="R44" s="94">
        <f t="shared" si="31"/>
        <v>1.092727</v>
      </c>
      <c r="S44" s="94">
        <f t="shared" si="31"/>
        <v>1.12550881</v>
      </c>
      <c r="T44" s="94">
        <f t="shared" si="31"/>
        <v>1.1592740742999998</v>
      </c>
      <c r="U44" s="94">
        <f t="shared" si="31"/>
        <v>1.194052296529</v>
      </c>
      <c r="V44" s="94">
        <f t="shared" si="31"/>
        <v>1.22987386542487</v>
      </c>
      <c r="W44" s="94">
        <f t="shared" si="31"/>
        <v>1.2667700813876162</v>
      </c>
      <c r="X44" s="94">
        <f t="shared" si="31"/>
        <v>1.3047731838292447</v>
      </c>
      <c r="Y44" s="94">
        <f t="shared" si="31"/>
        <v>1.343916379344122</v>
      </c>
      <c r="Z44" s="94">
        <f>Y44+(Y44*$O$44)</f>
        <v>1.3842338707244457</v>
      </c>
      <c r="AA44" s="94">
        <f>Z44+(Z44*$O$44)</f>
        <v>1.425760886846179</v>
      </c>
      <c r="AB44" s="94">
        <f>AA44+(AA44*$O$44)</f>
        <v>1.4685337134515644</v>
      </c>
      <c r="AC44" s="94">
        <f>AB44+(AB44*$O$44)</f>
        <v>1.5125897248551112</v>
      </c>
      <c r="AD44" s="94">
        <f>AC44+(AC44*$O$44)</f>
        <v>1.5579674166007647</v>
      </c>
      <c r="AI44" s="98"/>
      <c r="AJ44" s="98"/>
      <c r="AK44" s="98"/>
      <c r="AL44" s="104"/>
      <c r="AM44" s="101"/>
      <c r="AN44" s="105"/>
      <c r="AO44" s="103"/>
      <c r="AP44" s="104"/>
      <c r="AQ44" s="108"/>
      <c r="AR44" s="107"/>
      <c r="AS44" s="107"/>
      <c r="AT44" s="98"/>
      <c r="AU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row>
    <row r="45" spans="2:72" ht="13.5" customHeight="1">
      <c r="B45" s="36" t="s">
        <v>361</v>
      </c>
      <c r="C45" s="40"/>
      <c r="D45" s="40"/>
      <c r="E45" s="40"/>
      <c r="F45" s="40"/>
      <c r="G45" s="61">
        <f>ROUNDUP($G$42*(1-1/$G$44),0)</f>
        <v>6</v>
      </c>
      <c r="K45" s="66"/>
      <c r="L45" s="66"/>
      <c r="M45" s="66"/>
      <c r="N45" s="88" t="s">
        <v>390</v>
      </c>
      <c r="O45" s="421">
        <v>0</v>
      </c>
      <c r="P45" s="131">
        <f>(1+$O$45)</f>
        <v>1</v>
      </c>
      <c r="Q45" s="94">
        <f aca="true" t="shared" si="32" ref="Q45:Y45">P45+(P45*$O$45)</f>
        <v>1</v>
      </c>
      <c r="R45" s="94">
        <f t="shared" si="32"/>
        <v>1</v>
      </c>
      <c r="S45" s="94">
        <f t="shared" si="32"/>
        <v>1</v>
      </c>
      <c r="T45" s="94">
        <f t="shared" si="32"/>
        <v>1</v>
      </c>
      <c r="U45" s="94">
        <f t="shared" si="32"/>
        <v>1</v>
      </c>
      <c r="V45" s="94">
        <f t="shared" si="32"/>
        <v>1</v>
      </c>
      <c r="W45" s="94">
        <f t="shared" si="32"/>
        <v>1</v>
      </c>
      <c r="X45" s="94">
        <f t="shared" si="32"/>
        <v>1</v>
      </c>
      <c r="Y45" s="94">
        <f t="shared" si="32"/>
        <v>1</v>
      </c>
      <c r="Z45" s="94">
        <f>Y45+(Y45*$O$45)</f>
        <v>1</v>
      </c>
      <c r="AA45" s="94">
        <f>Z45+(Z45*$O$45)</f>
        <v>1</v>
      </c>
      <c r="AB45" s="94">
        <f>AA45+(AA45*$O$45)</f>
        <v>1</v>
      </c>
      <c r="AC45" s="94">
        <f>AB45+(AB45*$O$45)</f>
        <v>1</v>
      </c>
      <c r="AD45" s="94">
        <f>AC45+(AC45*$O$45)</f>
        <v>1</v>
      </c>
      <c r="BB45" s="132" t="s">
        <v>3</v>
      </c>
      <c r="BK45" s="41"/>
      <c r="BL45" s="41"/>
      <c r="BM45" s="41"/>
      <c r="BN45" s="41"/>
      <c r="BO45" s="41"/>
      <c r="BP45" s="41"/>
      <c r="BQ45" s="41"/>
      <c r="BR45" s="41"/>
      <c r="BS45" s="41"/>
      <c r="BT45" s="98"/>
    </row>
    <row r="46" spans="2:72" ht="13.5" customHeight="1">
      <c r="B46" s="409" t="s">
        <v>19</v>
      </c>
      <c r="C46" s="413"/>
      <c r="D46" s="382"/>
      <c r="E46" s="382"/>
      <c r="F46" s="382"/>
      <c r="G46" s="414">
        <v>800</v>
      </c>
      <c r="K46" s="66"/>
      <c r="L46" s="66"/>
      <c r="M46" s="66"/>
      <c r="P46" s="96"/>
      <c r="Q46" s="96"/>
      <c r="R46" s="96"/>
      <c r="S46" s="96"/>
      <c r="T46" s="96"/>
      <c r="U46" s="133"/>
      <c r="V46" s="133"/>
      <c r="W46" s="133"/>
      <c r="X46" s="133"/>
      <c r="Y46" s="133"/>
      <c r="Z46" s="133"/>
      <c r="AA46" s="133"/>
      <c r="AB46" s="133"/>
      <c r="AC46" s="133"/>
      <c r="AD46" s="133"/>
      <c r="AM46" s="98"/>
      <c r="AN46" s="98"/>
      <c r="AO46" s="98"/>
      <c r="AP46" s="112"/>
      <c r="AV46" s="110" t="s">
        <v>1</v>
      </c>
      <c r="AW46" s="109"/>
      <c r="AX46" s="109"/>
      <c r="AY46" s="109"/>
      <c r="AZ46" s="109"/>
      <c r="BA46" s="109"/>
      <c r="BB46" s="118"/>
      <c r="BC46" s="109"/>
      <c r="BD46" s="118"/>
      <c r="BE46" s="118"/>
      <c r="BF46" s="118"/>
      <c r="BG46" s="118"/>
      <c r="BH46" s="118"/>
      <c r="BI46" s="118"/>
      <c r="BJ46" s="118"/>
      <c r="BK46" s="112"/>
      <c r="BL46" s="112"/>
      <c r="BM46" s="112"/>
      <c r="BN46" s="112"/>
      <c r="BO46" s="112"/>
      <c r="BP46" s="112"/>
      <c r="BQ46" s="112"/>
      <c r="BR46" s="112"/>
      <c r="BS46" s="112"/>
      <c r="BT46" s="98"/>
    </row>
    <row r="47" spans="2:71" ht="13.5" customHeight="1">
      <c r="B47" s="45"/>
      <c r="C47" s="36"/>
      <c r="D47" s="36"/>
      <c r="E47" s="36"/>
      <c r="F47" s="36"/>
      <c r="G47" s="36"/>
      <c r="H47" s="36"/>
      <c r="I47" s="36"/>
      <c r="L47" s="60"/>
      <c r="M47" s="40"/>
      <c r="N47" s="186" t="s">
        <v>245</v>
      </c>
      <c r="O47" s="60">
        <v>1</v>
      </c>
      <c r="P47" s="200">
        <f aca="true" t="shared" si="33" ref="P47:AD47">1/(1+$M$16)^P18</f>
        <v>0.9523809523809523</v>
      </c>
      <c r="Q47" s="200">
        <f t="shared" si="33"/>
        <v>0.9070294784580498</v>
      </c>
      <c r="R47" s="200">
        <f t="shared" si="33"/>
        <v>0.863837598531476</v>
      </c>
      <c r="S47" s="200">
        <f t="shared" si="33"/>
        <v>0.822702474791882</v>
      </c>
      <c r="T47" s="200">
        <f t="shared" si="33"/>
        <v>0.783526166468459</v>
      </c>
      <c r="U47" s="200">
        <f t="shared" si="33"/>
        <v>0.7462153966366276</v>
      </c>
      <c r="V47" s="200">
        <f t="shared" si="33"/>
        <v>0.7106813301301215</v>
      </c>
      <c r="W47" s="200">
        <f t="shared" si="33"/>
        <v>0.6768393620286872</v>
      </c>
      <c r="X47" s="200">
        <f t="shared" si="33"/>
        <v>0.6446089162177973</v>
      </c>
      <c r="Y47" s="200">
        <f t="shared" si="33"/>
        <v>0.6139132535407593</v>
      </c>
      <c r="Z47" s="200">
        <f t="shared" si="33"/>
        <v>0.5846792890864374</v>
      </c>
      <c r="AA47" s="200">
        <f t="shared" si="33"/>
        <v>0.5568374181775595</v>
      </c>
      <c r="AB47" s="200">
        <f t="shared" si="33"/>
        <v>0.5303213506452946</v>
      </c>
      <c r="AC47" s="200">
        <f t="shared" si="33"/>
        <v>0.5050679529955189</v>
      </c>
      <c r="AD47" s="200">
        <f t="shared" si="33"/>
        <v>0.4810170980909702</v>
      </c>
      <c r="AL47" s="36"/>
      <c r="AM47" s="36"/>
      <c r="AN47" s="36"/>
      <c r="AO47" s="36"/>
      <c r="AP47" s="134"/>
      <c r="AQ47" s="98"/>
      <c r="AR47" s="106"/>
      <c r="AS47" s="106"/>
      <c r="AT47" s="98"/>
      <c r="AU47" s="98"/>
      <c r="AV47" s="135">
        <v>1</v>
      </c>
      <c r="AW47" s="135">
        <v>2</v>
      </c>
      <c r="AX47" s="135">
        <v>3</v>
      </c>
      <c r="AY47" s="135">
        <v>4</v>
      </c>
      <c r="AZ47" s="135">
        <v>5</v>
      </c>
      <c r="BA47" s="135">
        <v>6</v>
      </c>
      <c r="BB47" s="135">
        <v>7</v>
      </c>
      <c r="BC47" s="135">
        <v>8</v>
      </c>
      <c r="BD47" s="135">
        <v>9</v>
      </c>
      <c r="BE47" s="135">
        <v>10</v>
      </c>
      <c r="BF47" s="135">
        <v>11</v>
      </c>
      <c r="BG47" s="135">
        <v>12</v>
      </c>
      <c r="BH47" s="135">
        <v>13</v>
      </c>
      <c r="BI47" s="135">
        <v>14</v>
      </c>
      <c r="BJ47" s="135">
        <v>15</v>
      </c>
      <c r="BK47" s="284" t="s">
        <v>43</v>
      </c>
      <c r="BL47" s="114"/>
      <c r="BM47" s="114"/>
      <c r="BN47" s="114"/>
      <c r="BO47" s="114"/>
      <c r="BP47" s="114"/>
      <c r="BQ47" s="114"/>
      <c r="BR47" s="114"/>
      <c r="BS47" s="114"/>
    </row>
    <row r="48" spans="2:71" ht="13.5" customHeight="1">
      <c r="B48" s="37"/>
      <c r="C48" s="36"/>
      <c r="D48" s="36"/>
      <c r="E48" s="36"/>
      <c r="F48" s="36"/>
      <c r="G48" s="36"/>
      <c r="H48" s="36"/>
      <c r="I48" s="36"/>
      <c r="K48" s="92"/>
      <c r="L48" s="60"/>
      <c r="M48" s="60"/>
      <c r="N48" s="60"/>
      <c r="O48" s="60"/>
      <c r="P48" s="60"/>
      <c r="Q48" s="60"/>
      <c r="R48" s="60"/>
      <c r="S48" s="60"/>
      <c r="T48" s="60"/>
      <c r="AL48" s="36"/>
      <c r="AM48" s="36"/>
      <c r="AN48" s="36"/>
      <c r="AO48" s="36"/>
      <c r="AP48" s="134"/>
      <c r="AR48" s="175" t="str">
        <f aca="true" t="shared" si="34" ref="AR48:AR62">AI28</f>
        <v>Rep. Bred Lvstk Financed in yr 1</v>
      </c>
      <c r="AS48" s="171"/>
      <c r="AT48" s="172"/>
      <c r="AU48" s="119">
        <v>1</v>
      </c>
      <c r="AV48" s="120">
        <f>IF(AV28=0,0,$AQ$28+AV28)</f>
        <v>0</v>
      </c>
      <c r="AW48" s="120">
        <f>IF(AW28=0,0,$AQ$28+AW28)</f>
        <v>0</v>
      </c>
      <c r="AX48" s="120">
        <f>IF(AX28=0,0,$AQ$28+AX28)</f>
        <v>0</v>
      </c>
      <c r="AY48" s="120">
        <f>IF(AY28=0,0,$AQ$28+AY28)</f>
        <v>0</v>
      </c>
      <c r="AZ48" s="120">
        <f>IF(AZ28=0,0,$AQ$28+AZ28)</f>
        <v>0</v>
      </c>
      <c r="BA48" s="120">
        <f aca="true" t="shared" si="35" ref="BA48:BJ48">IF(BA28=0,0,$AQ$28+BA28)</f>
        <v>0</v>
      </c>
      <c r="BB48" s="120">
        <f t="shared" si="35"/>
        <v>0</v>
      </c>
      <c r="BC48" s="120">
        <f t="shared" si="35"/>
        <v>0</v>
      </c>
      <c r="BD48" s="120">
        <f t="shared" si="35"/>
        <v>0</v>
      </c>
      <c r="BE48" s="120">
        <f t="shared" si="35"/>
        <v>0</v>
      </c>
      <c r="BF48" s="120">
        <f t="shared" si="35"/>
        <v>0</v>
      </c>
      <c r="BG48" s="120">
        <f t="shared" si="35"/>
        <v>0</v>
      </c>
      <c r="BH48" s="120">
        <f t="shared" si="35"/>
        <v>0</v>
      </c>
      <c r="BI48" s="120">
        <f t="shared" si="35"/>
        <v>0</v>
      </c>
      <c r="BJ48" s="120">
        <f t="shared" si="35"/>
        <v>0</v>
      </c>
      <c r="BK48" s="285">
        <f aca="true" t="shared" si="36" ref="BK48:BK62">SUM(AV48:BJ48)</f>
        <v>0</v>
      </c>
      <c r="BL48" s="136"/>
      <c r="BM48" s="136"/>
      <c r="BN48" s="136"/>
      <c r="BO48" s="136"/>
      <c r="BP48" s="136"/>
      <c r="BQ48" s="136"/>
      <c r="BR48" s="136"/>
      <c r="BS48" s="136"/>
    </row>
    <row r="49" spans="2:71" ht="13.5" customHeight="1">
      <c r="B49" s="35"/>
      <c r="C49" s="35"/>
      <c r="D49" s="35"/>
      <c r="E49" s="4" t="s">
        <v>91</v>
      </c>
      <c r="F49" s="4" t="s">
        <v>20</v>
      </c>
      <c r="G49" s="4" t="s">
        <v>21</v>
      </c>
      <c r="H49" s="4" t="s">
        <v>22</v>
      </c>
      <c r="I49" s="35"/>
      <c r="K49" s="440"/>
      <c r="L49" s="177"/>
      <c r="M49" s="185"/>
      <c r="N49" s="185"/>
      <c r="O49" s="40"/>
      <c r="P49" s="60"/>
      <c r="Q49" s="60"/>
      <c r="R49" s="60"/>
      <c r="S49" s="60"/>
      <c r="T49" s="60"/>
      <c r="AL49" s="36"/>
      <c r="AM49" s="36"/>
      <c r="AN49" s="36"/>
      <c r="AO49" s="36"/>
      <c r="AP49" s="134"/>
      <c r="AR49" s="175" t="str">
        <f t="shared" si="34"/>
        <v>Rep. Bred Lvstk Financed in yr 2</v>
      </c>
      <c r="AS49" s="173"/>
      <c r="AT49" s="174"/>
      <c r="AU49" s="121">
        <v>2</v>
      </c>
      <c r="AV49" s="120"/>
      <c r="AW49" s="120">
        <f>IF(AW29=0,0,$AQ$29+AW29)</f>
        <v>0</v>
      </c>
      <c r="AX49" s="120">
        <f>IF(AX29=0,0,$AQ$29+AX29)</f>
        <v>0</v>
      </c>
      <c r="AY49" s="120">
        <f>IF(AY29=0,0,$AQ$29+AY29)</f>
        <v>0</v>
      </c>
      <c r="AZ49" s="120">
        <f>IF(AZ29=0,0,$AQ$29+AZ29)</f>
        <v>0</v>
      </c>
      <c r="BA49" s="120">
        <f>IF(BA29=0,0,$AQ$29+BA29)</f>
        <v>0</v>
      </c>
      <c r="BB49" s="120">
        <f aca="true" t="shared" si="37" ref="BB49:BJ49">IF(BB29=0,0,$AQ$29+BB29)</f>
        <v>0</v>
      </c>
      <c r="BC49" s="120">
        <f t="shared" si="37"/>
        <v>0</v>
      </c>
      <c r="BD49" s="120">
        <f t="shared" si="37"/>
        <v>0</v>
      </c>
      <c r="BE49" s="120">
        <f t="shared" si="37"/>
        <v>0</v>
      </c>
      <c r="BF49" s="120">
        <f t="shared" si="37"/>
        <v>0</v>
      </c>
      <c r="BG49" s="120">
        <f t="shared" si="37"/>
        <v>0</v>
      </c>
      <c r="BH49" s="120">
        <f t="shared" si="37"/>
        <v>0</v>
      </c>
      <c r="BI49" s="120">
        <f t="shared" si="37"/>
        <v>0</v>
      </c>
      <c r="BJ49" s="120">
        <f t="shared" si="37"/>
        <v>0</v>
      </c>
      <c r="BK49" s="286">
        <f t="shared" si="36"/>
        <v>0</v>
      </c>
      <c r="BL49" s="120"/>
      <c r="BM49" s="120"/>
      <c r="BN49" s="120"/>
      <c r="BO49" s="120"/>
      <c r="BP49" s="120"/>
      <c r="BQ49" s="120"/>
      <c r="BR49" s="120"/>
      <c r="BS49" s="120"/>
    </row>
    <row r="50" spans="2:71" ht="13.5" customHeight="1">
      <c r="B50" s="35"/>
      <c r="C50" s="35"/>
      <c r="D50" s="4" t="s">
        <v>23</v>
      </c>
      <c r="E50" s="4" t="s">
        <v>24</v>
      </c>
      <c r="F50" s="4" t="s">
        <v>25</v>
      </c>
      <c r="G50" s="4" t="s">
        <v>26</v>
      </c>
      <c r="H50" s="4" t="s">
        <v>27</v>
      </c>
      <c r="I50" s="2" t="s">
        <v>28</v>
      </c>
      <c r="K50" s="204"/>
      <c r="L50" s="36"/>
      <c r="M50" s="36"/>
      <c r="N50" s="36"/>
      <c r="AL50" s="36"/>
      <c r="AM50" s="36"/>
      <c r="AN50" s="36"/>
      <c r="AO50" s="36"/>
      <c r="AP50" s="134"/>
      <c r="AR50" s="175" t="str">
        <f t="shared" si="34"/>
        <v>Rep. Bred Lvstk Financed in yr 3</v>
      </c>
      <c r="AS50" s="173"/>
      <c r="AT50" s="174"/>
      <c r="AU50" s="121">
        <v>3</v>
      </c>
      <c r="AV50" s="120"/>
      <c r="AW50" s="120"/>
      <c r="AX50" s="120">
        <f>IF(AX30=0,0,$AQ$30+AX30)</f>
        <v>0</v>
      </c>
      <c r="AY50" s="120">
        <f>IF(AY30=0,0,$AQ$30+AY30)</f>
        <v>0</v>
      </c>
      <c r="AZ50" s="120">
        <f>IF(AZ30=0,0,$AQ$30+AZ30)</f>
        <v>0</v>
      </c>
      <c r="BA50" s="120">
        <f>IF(BA30=0,0,$AQ$30+BA30)</f>
        <v>0</v>
      </c>
      <c r="BB50" s="120">
        <f>IF(BB30=0,0,$AQ$30+BB30)</f>
        <v>0</v>
      </c>
      <c r="BC50" s="120">
        <f aca="true" t="shared" si="38" ref="BC50:BJ50">IF(BC30=0,0,$AQ$30+BC30)</f>
        <v>0</v>
      </c>
      <c r="BD50" s="120">
        <f t="shared" si="38"/>
        <v>0</v>
      </c>
      <c r="BE50" s="120">
        <f t="shared" si="38"/>
        <v>0</v>
      </c>
      <c r="BF50" s="120">
        <f t="shared" si="38"/>
        <v>0</v>
      </c>
      <c r="BG50" s="120">
        <f t="shared" si="38"/>
        <v>0</v>
      </c>
      <c r="BH50" s="120">
        <f t="shared" si="38"/>
        <v>0</v>
      </c>
      <c r="BI50" s="120">
        <f t="shared" si="38"/>
        <v>0</v>
      </c>
      <c r="BJ50" s="120">
        <f t="shared" si="38"/>
        <v>0</v>
      </c>
      <c r="BK50" s="286">
        <f t="shared" si="36"/>
        <v>0</v>
      </c>
      <c r="BL50" s="120"/>
      <c r="BM50" s="120"/>
      <c r="BN50" s="120"/>
      <c r="BO50" s="120"/>
      <c r="BP50" s="120"/>
      <c r="BQ50" s="120"/>
      <c r="BR50" s="120"/>
      <c r="BS50" s="120"/>
    </row>
    <row r="51" spans="2:71" ht="13.5" customHeight="1">
      <c r="B51" s="2" t="s">
        <v>29</v>
      </c>
      <c r="C51" s="8"/>
      <c r="D51" s="48">
        <f>G33*0.5</f>
        <v>85</v>
      </c>
      <c r="E51" s="502">
        <v>625</v>
      </c>
      <c r="F51" s="415">
        <v>1.3</v>
      </c>
      <c r="G51" s="43">
        <f aca="true" t="shared" si="39" ref="G51:H56">D51*E51</f>
        <v>53125</v>
      </c>
      <c r="H51" s="20">
        <f t="shared" si="39"/>
        <v>812.5</v>
      </c>
      <c r="I51" s="20">
        <f aca="true" t="shared" si="40" ref="I51:I56">D51*E51*F51</f>
        <v>69062.5</v>
      </c>
      <c r="K51" s="91"/>
      <c r="L51" s="36"/>
      <c r="M51" s="40"/>
      <c r="N51" s="186" t="s">
        <v>183</v>
      </c>
      <c r="O51" s="182">
        <f>I51</f>
        <v>69062.5</v>
      </c>
      <c r="P51" s="182">
        <f aca="true" t="shared" si="41" ref="P51:AD51">P40*$E$51*$F$51*P42</f>
        <v>64845.56895773805</v>
      </c>
      <c r="Q51" s="182">
        <f t="shared" si="41"/>
        <v>60499.51584284403</v>
      </c>
      <c r="R51" s="182">
        <f t="shared" si="41"/>
        <v>57641.27099987503</v>
      </c>
      <c r="S51" s="182">
        <f t="shared" si="41"/>
        <v>54846.16007914027</v>
      </c>
      <c r="T51" s="182">
        <f t="shared" si="41"/>
        <v>51827.2107068477</v>
      </c>
      <c r="U51" s="182">
        <f t="shared" si="41"/>
        <v>49060.79702349216</v>
      </c>
      <c r="V51" s="182">
        <f t="shared" si="41"/>
        <v>47924.38642327556</v>
      </c>
      <c r="W51" s="182">
        <f t="shared" si="41"/>
        <v>48475.373380956335</v>
      </c>
      <c r="X51" s="182">
        <f t="shared" si="41"/>
        <v>49841.36188020658</v>
      </c>
      <c r="Y51" s="182">
        <f t="shared" si="41"/>
        <v>51712.42175733087</v>
      </c>
      <c r="Z51" s="182">
        <f t="shared" si="41"/>
        <v>53050.17217499999</v>
      </c>
      <c r="AA51" s="182">
        <f t="shared" si="41"/>
        <v>55117.06199999999</v>
      </c>
      <c r="AB51" s="182">
        <f t="shared" si="41"/>
        <v>58561.878374999986</v>
      </c>
      <c r="AC51" s="182">
        <f t="shared" si="41"/>
        <v>60628.768199999984</v>
      </c>
      <c r="AD51" s="182">
        <f t="shared" si="41"/>
        <v>65451.51112499998</v>
      </c>
      <c r="AL51" s="36"/>
      <c r="AM51" s="36"/>
      <c r="AN51" s="36"/>
      <c r="AO51" s="36"/>
      <c r="AP51" s="134"/>
      <c r="AR51" s="175" t="str">
        <f t="shared" si="34"/>
        <v>Rep. Bred Lvstk Financed in yr 4</v>
      </c>
      <c r="AS51" s="173"/>
      <c r="AT51" s="174"/>
      <c r="AU51" s="121">
        <v>4</v>
      </c>
      <c r="AV51" s="120"/>
      <c r="AW51" s="120"/>
      <c r="AX51" s="120"/>
      <c r="AY51" s="120">
        <f>IF(AY31=0,0,$AQ$31+AY31)</f>
        <v>0</v>
      </c>
      <c r="AZ51" s="120">
        <f>IF(AZ31=0,0,$AQ$31+AZ31)</f>
        <v>0</v>
      </c>
      <c r="BA51" s="120">
        <f>IF(BA31=0,0,$AQ$31+BA31)</f>
        <v>0</v>
      </c>
      <c r="BB51" s="120">
        <f>IF(BB31=0,0,$AQ$31+BB31)</f>
        <v>0</v>
      </c>
      <c r="BC51" s="120">
        <f>IF(BC31=0,0,$AQ$31+BC31)</f>
        <v>0</v>
      </c>
      <c r="BD51" s="120">
        <f aca="true" t="shared" si="42" ref="BD51:BJ51">IF(BD31=0,0,$AQ$31+BD31)</f>
        <v>0</v>
      </c>
      <c r="BE51" s="120">
        <f t="shared" si="42"/>
        <v>0</v>
      </c>
      <c r="BF51" s="120">
        <f t="shared" si="42"/>
        <v>0</v>
      </c>
      <c r="BG51" s="120">
        <f t="shared" si="42"/>
        <v>0</v>
      </c>
      <c r="BH51" s="120">
        <f t="shared" si="42"/>
        <v>0</v>
      </c>
      <c r="BI51" s="120">
        <f t="shared" si="42"/>
        <v>0</v>
      </c>
      <c r="BJ51" s="120">
        <f t="shared" si="42"/>
        <v>0</v>
      </c>
      <c r="BK51" s="286">
        <f t="shared" si="36"/>
        <v>0</v>
      </c>
      <c r="BL51" s="120"/>
      <c r="BM51" s="120"/>
      <c r="BN51" s="120"/>
      <c r="BO51" s="120"/>
      <c r="BP51" s="120"/>
      <c r="BQ51" s="120"/>
      <c r="BR51" s="120"/>
      <c r="BS51" s="120"/>
    </row>
    <row r="52" spans="2:71" ht="13.5" customHeight="1">
      <c r="B52" s="2" t="s">
        <v>31</v>
      </c>
      <c r="C52" s="3"/>
      <c r="D52" s="48">
        <f>G33*0.5-G35</f>
        <v>55</v>
      </c>
      <c r="E52" s="532">
        <v>575</v>
      </c>
      <c r="F52" s="533">
        <v>1.25</v>
      </c>
      <c r="G52" s="43">
        <f t="shared" si="39"/>
        <v>31625</v>
      </c>
      <c r="H52" s="20">
        <f t="shared" si="39"/>
        <v>718.75</v>
      </c>
      <c r="I52" s="20">
        <f t="shared" si="40"/>
        <v>39531.25</v>
      </c>
      <c r="K52" s="92"/>
      <c r="L52" s="36"/>
      <c r="M52" s="40"/>
      <c r="N52" s="186" t="s">
        <v>184</v>
      </c>
      <c r="O52" s="182">
        <f>I52</f>
        <v>39531.25</v>
      </c>
      <c r="P52" s="182">
        <f aca="true" t="shared" si="43" ref="P52:AD52">P41*$E$52*$F$52*P42</f>
        <v>36966.67120472602</v>
      </c>
      <c r="Q52" s="182">
        <f t="shared" si="43"/>
        <v>34584.25461731505</v>
      </c>
      <c r="R52" s="182">
        <f t="shared" si="43"/>
        <v>32950.35282437103</v>
      </c>
      <c r="S52" s="182">
        <f t="shared" si="43"/>
        <v>31352.541231672763</v>
      </c>
      <c r="T52" s="182">
        <f t="shared" si="43"/>
        <v>29626.77347446683</v>
      </c>
      <c r="U52" s="182">
        <f t="shared" si="43"/>
        <v>28045.366518243907</v>
      </c>
      <c r="V52" s="182">
        <f t="shared" si="43"/>
        <v>27395.74291382038</v>
      </c>
      <c r="W52" s="182">
        <f t="shared" si="43"/>
        <v>27710.71193414694</v>
      </c>
      <c r="X52" s="182">
        <f t="shared" si="43"/>
        <v>28491.572630373197</v>
      </c>
      <c r="Y52" s="182">
        <f t="shared" si="43"/>
        <v>29561.154928565466</v>
      </c>
      <c r="Z52" s="182">
        <f t="shared" si="43"/>
        <v>30325.87346249999</v>
      </c>
      <c r="AA52" s="182">
        <f t="shared" si="43"/>
        <v>31507.40099999999</v>
      </c>
      <c r="AB52" s="182">
        <f t="shared" si="43"/>
        <v>33476.61356249999</v>
      </c>
      <c r="AC52" s="182">
        <f t="shared" si="43"/>
        <v>34658.141099999986</v>
      </c>
      <c r="AD52" s="182">
        <f t="shared" si="43"/>
        <v>37415.03868749998</v>
      </c>
      <c r="AL52" s="36"/>
      <c r="AM52" s="36"/>
      <c r="AN52" s="36"/>
      <c r="AO52" s="36"/>
      <c r="AP52" s="134"/>
      <c r="AR52" s="175" t="str">
        <f t="shared" si="34"/>
        <v>Rep. Bred Lvstk Financed in yr 5</v>
      </c>
      <c r="AS52" s="173"/>
      <c r="AT52" s="174"/>
      <c r="AU52" s="121">
        <v>5</v>
      </c>
      <c r="AV52" s="120"/>
      <c r="AW52" s="120"/>
      <c r="AX52" s="120"/>
      <c r="AY52" s="120"/>
      <c r="AZ52" s="120">
        <f>IF(AZ32=0,0,$AQ$32+AZ32)</f>
        <v>0</v>
      </c>
      <c r="BA52" s="120">
        <f>IF(BA32=0,0,$AQ$32+BA32)</f>
        <v>0</v>
      </c>
      <c r="BB52" s="120">
        <f>IF(BB32=0,0,$AQ$32+BB32)</f>
        <v>0</v>
      </c>
      <c r="BC52" s="120">
        <f>IF(BC32=0,0,$AQ$32+BC32)</f>
        <v>0</v>
      </c>
      <c r="BD52" s="120">
        <f>IF(BD32=0,0,$AQ$32+BD32)</f>
        <v>0</v>
      </c>
      <c r="BE52" s="120">
        <f aca="true" t="shared" si="44" ref="BE52:BJ52">IF(BE32=0,0,$AQ$32+BE32)</f>
        <v>0</v>
      </c>
      <c r="BF52" s="120">
        <f t="shared" si="44"/>
        <v>0</v>
      </c>
      <c r="BG52" s="120">
        <f t="shared" si="44"/>
        <v>0</v>
      </c>
      <c r="BH52" s="120">
        <f t="shared" si="44"/>
        <v>0</v>
      </c>
      <c r="BI52" s="120">
        <f t="shared" si="44"/>
        <v>0</v>
      </c>
      <c r="BJ52" s="120">
        <f t="shared" si="44"/>
        <v>0</v>
      </c>
      <c r="BK52" s="286">
        <f t="shared" si="36"/>
        <v>0</v>
      </c>
      <c r="BL52" s="120"/>
      <c r="BM52" s="120"/>
      <c r="BN52" s="120"/>
      <c r="BO52" s="120"/>
      <c r="BP52" s="120"/>
      <c r="BQ52" s="120"/>
      <c r="BR52" s="120"/>
      <c r="BS52" s="120"/>
    </row>
    <row r="53" spans="2:71" ht="13.5" customHeight="1">
      <c r="B53" s="2" t="s">
        <v>367</v>
      </c>
      <c r="C53" s="3"/>
      <c r="D53" s="338">
        <f>$G$29*(1-G40)</f>
        <v>25.074000000000016</v>
      </c>
      <c r="E53" s="416">
        <v>1300</v>
      </c>
      <c r="F53" s="417">
        <v>0.55</v>
      </c>
      <c r="G53" s="43">
        <f t="shared" si="39"/>
        <v>32596.20000000002</v>
      </c>
      <c r="H53" s="20">
        <f t="shared" si="39"/>
        <v>715.0000000000001</v>
      </c>
      <c r="I53" s="20">
        <f t="shared" si="40"/>
        <v>17927.91000000001</v>
      </c>
      <c r="K53" s="92"/>
      <c r="L53" s="36"/>
      <c r="M53" s="40"/>
      <c r="N53" s="186" t="s">
        <v>185</v>
      </c>
      <c r="O53" s="182">
        <f>I53</f>
        <v>17927.91000000001</v>
      </c>
      <c r="P53" s="182">
        <f>IF(P34&lt;=0,0,P34*$E$53*$F$53*P42)</f>
        <v>16908.582555814726</v>
      </c>
      <c r="Q53" s="182">
        <f aca="true" t="shared" si="45" ref="Q53:AD53">IF(Q34&lt;=0,0,Q34*$E$53*$F$53*Q42)</f>
        <v>15696.465761412861</v>
      </c>
      <c r="R53" s="182">
        <f t="shared" si="45"/>
        <v>14954.900449850049</v>
      </c>
      <c r="S53" s="182">
        <f t="shared" si="45"/>
        <v>14229.715094968342</v>
      </c>
      <c r="T53" s="182">
        <f t="shared" si="45"/>
        <v>13446.45534821726</v>
      </c>
      <c r="U53" s="182">
        <f t="shared" si="45"/>
        <v>12728.715428190602</v>
      </c>
      <c r="V53" s="182">
        <f t="shared" si="45"/>
        <v>12433.876207930689</v>
      </c>
      <c r="W53" s="182">
        <f t="shared" si="45"/>
        <v>12576.828557147617</v>
      </c>
      <c r="X53" s="182">
        <f t="shared" si="45"/>
        <v>12931.231256247916</v>
      </c>
      <c r="Y53" s="182">
        <f t="shared" si="45"/>
        <v>13416.673608797066</v>
      </c>
      <c r="Z53" s="182">
        <f t="shared" si="45"/>
        <v>13763.75</v>
      </c>
      <c r="AA53" s="182">
        <f t="shared" si="45"/>
        <v>14300</v>
      </c>
      <c r="AB53" s="182">
        <f t="shared" si="45"/>
        <v>15193.75</v>
      </c>
      <c r="AC53" s="182">
        <f t="shared" si="45"/>
        <v>15730</v>
      </c>
      <c r="AD53" s="182">
        <f t="shared" si="45"/>
        <v>16981.25</v>
      </c>
      <c r="AL53" s="36"/>
      <c r="AM53" s="36"/>
      <c r="AN53" s="36"/>
      <c r="AO53" s="36"/>
      <c r="AP53" s="134"/>
      <c r="AR53" s="175" t="str">
        <f t="shared" si="34"/>
        <v>Rep. Bred Lvstk Financed in yr 6</v>
      </c>
      <c r="AS53" s="173"/>
      <c r="AT53" s="174"/>
      <c r="AU53" s="121">
        <v>6</v>
      </c>
      <c r="AV53" s="120"/>
      <c r="AW53" s="120"/>
      <c r="AX53" s="120"/>
      <c r="AY53" s="120"/>
      <c r="AZ53" s="120"/>
      <c r="BA53" s="120">
        <f aca="true" t="shared" si="46" ref="BA53:BJ53">IF(BA33=0,0,$AQ$33+BA33)</f>
        <v>0</v>
      </c>
      <c r="BB53" s="120">
        <f t="shared" si="46"/>
        <v>0</v>
      </c>
      <c r="BC53" s="120">
        <f t="shared" si="46"/>
        <v>0</v>
      </c>
      <c r="BD53" s="120">
        <f t="shared" si="46"/>
        <v>0</v>
      </c>
      <c r="BE53" s="120">
        <f t="shared" si="46"/>
        <v>0</v>
      </c>
      <c r="BF53" s="120">
        <f t="shared" si="46"/>
        <v>0</v>
      </c>
      <c r="BG53" s="120">
        <f t="shared" si="46"/>
        <v>0</v>
      </c>
      <c r="BH53" s="120">
        <f t="shared" si="46"/>
        <v>0</v>
      </c>
      <c r="BI53" s="120">
        <f t="shared" si="46"/>
        <v>0</v>
      </c>
      <c r="BJ53" s="120">
        <f t="shared" si="46"/>
        <v>0</v>
      </c>
      <c r="BK53" s="286">
        <f t="shared" si="36"/>
        <v>0</v>
      </c>
      <c r="BL53" s="120"/>
      <c r="BM53" s="120"/>
      <c r="BN53" s="120"/>
      <c r="BO53" s="120"/>
      <c r="BP53" s="120"/>
      <c r="BQ53" s="120"/>
      <c r="BR53" s="120"/>
      <c r="BS53" s="120"/>
    </row>
    <row r="54" spans="2:71" ht="13.5" customHeight="1">
      <c r="B54" s="2" t="s">
        <v>368</v>
      </c>
      <c r="C54" s="3"/>
      <c r="D54" s="338">
        <f>ROUNDDOWN($G$35-$G$34-(G35*G37),)</f>
        <v>4</v>
      </c>
      <c r="E54" s="416">
        <v>900</v>
      </c>
      <c r="F54" s="417">
        <v>1</v>
      </c>
      <c r="G54" s="43">
        <f t="shared" si="39"/>
        <v>3600</v>
      </c>
      <c r="H54" s="20">
        <f t="shared" si="39"/>
        <v>900</v>
      </c>
      <c r="I54" s="20">
        <f t="shared" si="40"/>
        <v>3600</v>
      </c>
      <c r="J54" s="4" t="s">
        <v>32</v>
      </c>
      <c r="K54" s="92"/>
      <c r="L54" s="36"/>
      <c r="M54" s="40"/>
      <c r="N54" s="186" t="s">
        <v>186</v>
      </c>
      <c r="O54" s="182">
        <f>I54</f>
        <v>3600</v>
      </c>
      <c r="P54" s="182">
        <f>P32*$E$54*$F$54*P42</f>
        <v>1702.6824391869375</v>
      </c>
      <c r="Q54" s="182">
        <f aca="true" t="shared" si="47" ref="Q54:Y54">Q32*$E$54*$F$54*Q42</f>
        <v>2370.9346884371876</v>
      </c>
      <c r="R54" s="182">
        <f t="shared" si="47"/>
        <v>2258.9220259913363</v>
      </c>
      <c r="S54" s="182">
        <f>S32*$E$54*$F$54*S42</f>
        <v>2149.383538820393</v>
      </c>
      <c r="T54" s="182">
        <f t="shared" si="47"/>
        <v>2031.0729756747749</v>
      </c>
      <c r="U54" s="182">
        <f t="shared" si="47"/>
        <v>1922.6591136287905</v>
      </c>
      <c r="V54" s="182">
        <f t="shared" si="47"/>
        <v>1878.1239586804397</v>
      </c>
      <c r="W54" s="182">
        <f t="shared" si="47"/>
        <v>1899.71676107964</v>
      </c>
      <c r="X54" s="182">
        <f t="shared" si="47"/>
        <v>1953.2489170276574</v>
      </c>
      <c r="Y54" s="182">
        <f t="shared" si="47"/>
        <v>2026.5744751749414</v>
      </c>
      <c r="Z54" s="182">
        <f>Z32*$E$54*$F$54*Z42</f>
        <v>2079</v>
      </c>
      <c r="AA54" s="182">
        <f>AA32*$E$54*$F$54*AA42</f>
        <v>2160</v>
      </c>
      <c r="AB54" s="182">
        <f>AB32*$E$54*$F$54*AB42</f>
        <v>2295</v>
      </c>
      <c r="AC54" s="182">
        <f>AC32*$E$54*$F$54*AC42</f>
        <v>2376</v>
      </c>
      <c r="AD54" s="182">
        <f>AD32*$E$54*$F$54*AD42</f>
        <v>2565</v>
      </c>
      <c r="AL54" s="36"/>
      <c r="AM54" s="36"/>
      <c r="AN54" s="36"/>
      <c r="AO54" s="36"/>
      <c r="AP54" s="134"/>
      <c r="AR54" s="175" t="str">
        <f t="shared" si="34"/>
        <v>Rep. Bred Lvstk Financed in yr 7</v>
      </c>
      <c r="AS54" s="173"/>
      <c r="AT54" s="174"/>
      <c r="AU54" s="121">
        <v>7</v>
      </c>
      <c r="AV54" s="120"/>
      <c r="AW54" s="120"/>
      <c r="AX54" s="120"/>
      <c r="AY54" s="120"/>
      <c r="AZ54" s="120"/>
      <c r="BA54" s="120"/>
      <c r="BB54" s="120">
        <f aca="true" t="shared" si="48" ref="BB54:BJ54">IF(BB34=0,0,$AQ$34+BB34)</f>
        <v>0</v>
      </c>
      <c r="BC54" s="120">
        <f t="shared" si="48"/>
        <v>0</v>
      </c>
      <c r="BD54" s="120">
        <f t="shared" si="48"/>
        <v>0</v>
      </c>
      <c r="BE54" s="120">
        <f t="shared" si="48"/>
        <v>0</v>
      </c>
      <c r="BF54" s="120">
        <f t="shared" si="48"/>
        <v>0</v>
      </c>
      <c r="BG54" s="120">
        <f t="shared" si="48"/>
        <v>0</v>
      </c>
      <c r="BH54" s="120">
        <f t="shared" si="48"/>
        <v>0</v>
      </c>
      <c r="BI54" s="120">
        <f t="shared" si="48"/>
        <v>0</v>
      </c>
      <c r="BJ54" s="120">
        <f t="shared" si="48"/>
        <v>0</v>
      </c>
      <c r="BK54" s="286">
        <f t="shared" si="36"/>
        <v>0</v>
      </c>
      <c r="BL54" s="120"/>
      <c r="BM54" s="120"/>
      <c r="BN54" s="120"/>
      <c r="BO54" s="120"/>
      <c r="BP54" s="120"/>
      <c r="BQ54" s="120"/>
      <c r="BR54" s="120"/>
      <c r="BS54" s="120"/>
    </row>
    <row r="55" spans="2:71" ht="13.5" customHeight="1">
      <c r="B55" s="565" t="s">
        <v>34</v>
      </c>
      <c r="C55" s="568"/>
      <c r="D55" s="338">
        <f>ROUNDDOWN($G$42/$G$44,0)</f>
        <v>2</v>
      </c>
      <c r="E55" s="416">
        <v>1800</v>
      </c>
      <c r="F55" s="417">
        <v>0.55</v>
      </c>
      <c r="G55" s="43">
        <f t="shared" si="39"/>
        <v>3600</v>
      </c>
      <c r="H55" s="20">
        <f t="shared" si="39"/>
        <v>990.0000000000001</v>
      </c>
      <c r="I55" s="20">
        <f t="shared" si="40"/>
        <v>1980.0000000000002</v>
      </c>
      <c r="J55" s="4" t="s">
        <v>33</v>
      </c>
      <c r="K55" s="92"/>
      <c r="L55" s="36"/>
      <c r="M55" s="40"/>
      <c r="N55" s="186" t="s">
        <v>187</v>
      </c>
      <c r="O55" s="182">
        <f>I55</f>
        <v>1980.0000000000002</v>
      </c>
      <c r="P55" s="182">
        <f>(P38*$E$55*$F$55*P42)+IF((P37+P38)&gt;=(O37+O38),0,(O37+O38-P37-P38)*($E$55*$F$55*P42))</f>
        <v>2809.426024658447</v>
      </c>
      <c r="Q55" s="182">
        <f>(Q38*$E$55*$F$55*Q42)+IF((Q37+Q38)&gt;=(P37+P38),0,(P37+P38-Q37-Q38)*($E$55*$F$55*Q42))</f>
        <v>2608.0281572809067</v>
      </c>
      <c r="R55" s="182">
        <f>(R38*$E$55*$F$55*R42)+IF((R37+R38)&gt;=(Q37+Q38),0,(Q37+Q38-R37-R38)*($E$55*$F$55*R42))</f>
        <v>2484.81422859047</v>
      </c>
      <c r="S55" s="182">
        <f aca="true" t="shared" si="49" ref="S55:AD55">(S38*$E$55*$F$55*S42)+IF((S37+S38)&gt;=(R37+R38),0,(R37+R38-S37-S38)*($E$55*$F$55*S42))</f>
        <v>2364.3218927024327</v>
      </c>
      <c r="T55" s="182">
        <f t="shared" si="49"/>
        <v>2234.1802732422525</v>
      </c>
      <c r="U55" s="182">
        <f t="shared" si="49"/>
        <v>2114.92502499167</v>
      </c>
      <c r="V55" s="182">
        <f t="shared" si="49"/>
        <v>2065.936354548484</v>
      </c>
      <c r="W55" s="182">
        <f t="shared" si="49"/>
        <v>2089.6884371876044</v>
      </c>
      <c r="X55" s="182">
        <f t="shared" si="49"/>
        <v>2148.5738087304235</v>
      </c>
      <c r="Y55" s="182">
        <f t="shared" si="49"/>
        <v>2229.231922692436</v>
      </c>
      <c r="Z55" s="182">
        <f t="shared" si="49"/>
        <v>2286.9000000000005</v>
      </c>
      <c r="AA55" s="182">
        <f t="shared" si="49"/>
        <v>2376.0000000000005</v>
      </c>
      <c r="AB55" s="182">
        <f t="shared" si="49"/>
        <v>2524.5000000000005</v>
      </c>
      <c r="AC55" s="182">
        <f t="shared" si="49"/>
        <v>2613.6000000000004</v>
      </c>
      <c r="AD55" s="182">
        <f t="shared" si="49"/>
        <v>2821.5000000000005</v>
      </c>
      <c r="AL55" s="36"/>
      <c r="AM55" s="36"/>
      <c r="AN55" s="36"/>
      <c r="AO55" s="36"/>
      <c r="AP55" s="134"/>
      <c r="AR55" s="175" t="str">
        <f t="shared" si="34"/>
        <v>Rep. Bred Lvstk Financed in yr 8</v>
      </c>
      <c r="AS55" s="173"/>
      <c r="AT55" s="174"/>
      <c r="AU55" s="121">
        <v>8</v>
      </c>
      <c r="AV55" s="120"/>
      <c r="AW55" s="120"/>
      <c r="AX55" s="120"/>
      <c r="AY55" s="120"/>
      <c r="AZ55" s="120"/>
      <c r="BA55" s="120"/>
      <c r="BB55" s="120"/>
      <c r="BC55" s="120">
        <f aca="true" t="shared" si="50" ref="BC55:BJ55">IF(BC35=0,0,$AQ$35+BC35)</f>
        <v>0</v>
      </c>
      <c r="BD55" s="120">
        <f t="shared" si="50"/>
        <v>0</v>
      </c>
      <c r="BE55" s="120">
        <f t="shared" si="50"/>
        <v>0</v>
      </c>
      <c r="BF55" s="120">
        <f t="shared" si="50"/>
        <v>0</v>
      </c>
      <c r="BG55" s="120">
        <f t="shared" si="50"/>
        <v>0</v>
      </c>
      <c r="BH55" s="120">
        <f t="shared" si="50"/>
        <v>0</v>
      </c>
      <c r="BI55" s="120">
        <f t="shared" si="50"/>
        <v>0</v>
      </c>
      <c r="BJ55" s="120">
        <f t="shared" si="50"/>
        <v>0</v>
      </c>
      <c r="BK55" s="286">
        <f t="shared" si="36"/>
        <v>0</v>
      </c>
      <c r="BL55" s="120"/>
      <c r="BM55" s="120"/>
      <c r="BN55" s="120"/>
      <c r="BO55" s="120"/>
      <c r="BP55" s="120"/>
      <c r="BQ55" s="120"/>
      <c r="BR55" s="120"/>
      <c r="BS55" s="120"/>
    </row>
    <row r="56" spans="2:71" ht="13.5" customHeight="1">
      <c r="B56" s="35" t="s">
        <v>99</v>
      </c>
      <c r="D56" s="419">
        <v>0</v>
      </c>
      <c r="E56" s="420">
        <v>0</v>
      </c>
      <c r="F56" s="418">
        <v>0</v>
      </c>
      <c r="G56" s="43">
        <f t="shared" si="39"/>
        <v>0</v>
      </c>
      <c r="H56" s="20">
        <f t="shared" si="39"/>
        <v>0</v>
      </c>
      <c r="I56" s="20">
        <f t="shared" si="40"/>
        <v>0</v>
      </c>
      <c r="J56" s="4" t="s">
        <v>35</v>
      </c>
      <c r="K56" s="92"/>
      <c r="L56" s="40"/>
      <c r="M56" s="92"/>
      <c r="N56" s="356" t="s">
        <v>15</v>
      </c>
      <c r="O56" s="182">
        <f>I56+M13</f>
        <v>0</v>
      </c>
      <c r="P56" s="508">
        <f>$E$56*$F$56*P42+$M$13*P42+IF(P25+P30&gt;=$M$8,0,($M$8-P25-P30)*$E$78*($F$78-$M$9)*$M$10)+IF(P29&gt;=$O$29,0,($O$29-P29)*$E$89*($F$89-$M$9)*$M$10)+IF($O$37+$O$38-P37-P38&lt;=0,0,(($O$37+$O$38-P37-P38)*$E$96*($F$96-$M$9)*$M$10))+IF(P25+P30&gt;=$M$8,0,($M$8-P25-P30)*$E$79*$M$11*$M$12)+IF(P29&gt;=$O$29,0,($O$29-P29)*$E$90*$M$11*$M$12)+IF($O$37+$O$38-P37-P38&lt;=0,0,($O$37+$O$38-P37-P38)*$E$97*$M$11*$M$12)</f>
        <v>0</v>
      </c>
      <c r="Q56" s="508">
        <f aca="true" t="shared" si="51" ref="Q56:AD56">$E$56*$F$56*Q42+$M$13*Q42+IF(Q25+Q30&gt;=$M$8,0,($M$8-Q25-Q30)*$E$78*($F$78-$M$9)*$M$10)+IF(Q29&gt;=$O$29,0,($O$29-Q29)*$E$89*($F$89-$M$9)*$M$10)+IF($O$37+$O$38-Q37-Q38&lt;=0,0,(($O$37+$O$38-Q37-Q38)*$E$96*($F$96-$M$9)*$M$10))+IF(Q25+Q30&gt;=$M$8,0,($M$8-Q25-Q30)*$E$79*$M$11*$M$12)+IF(Q29&gt;=$O$29,0,($O$29-Q29)*$E$90*$M$11*$M$12)+IF($O$37+$O$38-Q37-Q38&lt;=0,0,($O$37+$O$38-Q37-Q38)*$E$97*$M$11*$M$12)</f>
        <v>0</v>
      </c>
      <c r="R56" s="508">
        <f t="shared" si="51"/>
        <v>0</v>
      </c>
      <c r="S56" s="508">
        <f t="shared" si="51"/>
        <v>0</v>
      </c>
      <c r="T56" s="508">
        <f t="shared" si="51"/>
        <v>0</v>
      </c>
      <c r="U56" s="508">
        <f t="shared" si="51"/>
        <v>0</v>
      </c>
      <c r="V56" s="508">
        <f t="shared" si="51"/>
        <v>0</v>
      </c>
      <c r="W56" s="508">
        <f t="shared" si="51"/>
        <v>0</v>
      </c>
      <c r="X56" s="508">
        <f t="shared" si="51"/>
        <v>0</v>
      </c>
      <c r="Y56" s="508">
        <f t="shared" si="51"/>
        <v>0</v>
      </c>
      <c r="Z56" s="508">
        <f t="shared" si="51"/>
        <v>0</v>
      </c>
      <c r="AA56" s="508">
        <f t="shared" si="51"/>
        <v>0</v>
      </c>
      <c r="AB56" s="508">
        <f t="shared" si="51"/>
        <v>0</v>
      </c>
      <c r="AC56" s="508">
        <f t="shared" si="51"/>
        <v>0</v>
      </c>
      <c r="AD56" s="508">
        <f t="shared" si="51"/>
        <v>0</v>
      </c>
      <c r="AE56" s="40"/>
      <c r="AF56" s="40"/>
      <c r="AL56" s="36"/>
      <c r="AM56" s="36"/>
      <c r="AN56" s="36"/>
      <c r="AO56" s="36"/>
      <c r="AP56" s="134"/>
      <c r="AR56" s="175" t="str">
        <f t="shared" si="34"/>
        <v>Rep. Bred Lvstk Financed in yr 9</v>
      </c>
      <c r="AS56" s="173"/>
      <c r="AT56" s="174"/>
      <c r="AU56" s="121">
        <v>9</v>
      </c>
      <c r="AV56" s="120"/>
      <c r="AW56" s="120"/>
      <c r="AX56" s="120"/>
      <c r="AY56" s="120"/>
      <c r="AZ56" s="120"/>
      <c r="BA56" s="120"/>
      <c r="BB56" s="120"/>
      <c r="BC56" s="120"/>
      <c r="BD56" s="120">
        <f aca="true" t="shared" si="52" ref="BD56:BJ56">IF(BD36=0,0,$AQ$36+BD36)</f>
        <v>0</v>
      </c>
      <c r="BE56" s="120">
        <f t="shared" si="52"/>
        <v>0</v>
      </c>
      <c r="BF56" s="120">
        <f t="shared" si="52"/>
        <v>0</v>
      </c>
      <c r="BG56" s="120">
        <f t="shared" si="52"/>
        <v>0</v>
      </c>
      <c r="BH56" s="120">
        <f t="shared" si="52"/>
        <v>0</v>
      </c>
      <c r="BI56" s="120">
        <f t="shared" si="52"/>
        <v>0</v>
      </c>
      <c r="BJ56" s="120">
        <f t="shared" si="52"/>
        <v>0</v>
      </c>
      <c r="BK56" s="286">
        <f t="shared" si="36"/>
        <v>0</v>
      </c>
      <c r="BL56" s="120"/>
      <c r="BM56" s="120"/>
      <c r="BN56" s="120"/>
      <c r="BO56" s="120"/>
      <c r="BP56" s="120"/>
      <c r="BQ56" s="120"/>
      <c r="BR56" s="120"/>
      <c r="BS56" s="120"/>
    </row>
    <row r="57" spans="2:71" ht="13.5" customHeight="1" thickBot="1">
      <c r="B57" s="3"/>
      <c r="C57" s="9" t="s">
        <v>36</v>
      </c>
      <c r="D57" s="58">
        <f>ROUND(SUM(D51:D55),0)</f>
        <v>171</v>
      </c>
      <c r="E57" s="47"/>
      <c r="F57" s="47"/>
      <c r="G57" s="50">
        <f>SUM(G51:G56)</f>
        <v>124546.20000000001</v>
      </c>
      <c r="H57" s="51"/>
      <c r="I57" s="441">
        <f>SUM(I51:I56)</f>
        <v>132101.66</v>
      </c>
      <c r="J57" s="441">
        <f>I57/$G$22</f>
        <v>660.5083</v>
      </c>
      <c r="K57" s="92"/>
      <c r="L57" s="40"/>
      <c r="M57" s="127"/>
      <c r="N57" s="496" t="s">
        <v>379</v>
      </c>
      <c r="O57" s="490"/>
      <c r="P57" s="183">
        <f>IF(P26&gt;0,P26*$G$46*$M$14*0.25,0)</f>
        <v>0</v>
      </c>
      <c r="Q57" s="183">
        <f>IF(Q26&gt;0,Q26*$G$46*$M$14*0.25+SUM($P$57:P57)*$M$14,0)</f>
        <v>0</v>
      </c>
      <c r="R57" s="183">
        <f>IF(R26&gt;0,R26*$G$46*$M$14*0.25+SUM($P$57:Q57)*$M$14,0)</f>
        <v>0</v>
      </c>
      <c r="S57" s="183">
        <f>IF(S26&gt;0,S26*$G$46*$M$14*0.25+SUM($P$57:R57)*$M$14,0)</f>
        <v>0</v>
      </c>
      <c r="T57" s="183">
        <f>IF(T26&gt;0,T26*$G$46*$M$14*0.25+SUM($P$57:S57)*$M$14,0)</f>
        <v>0</v>
      </c>
      <c r="U57" s="183">
        <f>IF(U26&gt;0,U26*$G$46*$M$14*0.25+SUM($P$57:T57)*$M$14,0)</f>
        <v>0</v>
      </c>
      <c r="V57" s="183">
        <f>IF(V26&gt;0,V26*$G$46*$M$14*0.25+SUM($P$57:U57)*$M$14,0)</f>
        <v>0</v>
      </c>
      <c r="W57" s="183">
        <f>IF(W26&gt;0,W26*$G$46*$M$14*0.25+SUM($P$57:V57)*$M$14,0)</f>
        <v>0</v>
      </c>
      <c r="X57" s="183">
        <f>IF(X26&gt;0,X26*$G$46*$M$14*0.25+SUM($P$57:W57)*$M$14,0)</f>
        <v>0</v>
      </c>
      <c r="Y57" s="183">
        <f>IF(Y26&gt;0,Y26*$G$46*$M$14*0.25+SUM($P$57:X57)*$M$14,0)</f>
        <v>0</v>
      </c>
      <c r="Z57" s="183">
        <f>IF(Z26&gt;0,Z26*$G$46*$M$14*0.25+SUM($P$57:Y57)*$M$14,0)</f>
        <v>0</v>
      </c>
      <c r="AA57" s="183">
        <f>IF(AA26&gt;0,AA26*$G$46*$M$14*0.25+SUM($P$57:Z57)*$M$14,0)</f>
        <v>0</v>
      </c>
      <c r="AB57" s="183">
        <f>IF(AB26&gt;0,AB26*$G$46*$M$14*0.25+SUM($P$57:AA57)*$M$14,0)</f>
        <v>0</v>
      </c>
      <c r="AC57" s="183">
        <f>IF(AC26&gt;0,AC26*$G$46*$M$14*0.25+SUM($P$57:AB57)*$M$14,0)</f>
        <v>0</v>
      </c>
      <c r="AD57" s="183">
        <f>IF(AD26&gt;0,AD26*$G$46*$M$14*0.25+SUM($P$57:AC57)*$M$14,0)</f>
        <v>0</v>
      </c>
      <c r="AL57" s="36"/>
      <c r="AM57" s="36"/>
      <c r="AN57" s="36"/>
      <c r="AO57" s="36"/>
      <c r="AP57" s="134"/>
      <c r="AR57" s="175" t="str">
        <f t="shared" si="34"/>
        <v>Rep. Bred Lvstk Financed in yr 10</v>
      </c>
      <c r="AS57" s="173"/>
      <c r="AT57" s="174"/>
      <c r="AU57" s="121">
        <v>10</v>
      </c>
      <c r="AV57" s="120"/>
      <c r="AW57" s="120"/>
      <c r="AX57" s="120"/>
      <c r="AY57" s="120"/>
      <c r="AZ57" s="120"/>
      <c r="BA57" s="120"/>
      <c r="BB57" s="120"/>
      <c r="BC57" s="120"/>
      <c r="BD57" s="120"/>
      <c r="BE57" s="120">
        <f aca="true" t="shared" si="53" ref="BE57:BJ57">IF(BE37=0,0,$AQ$37+BE37)</f>
        <v>0</v>
      </c>
      <c r="BF57" s="120">
        <f t="shared" si="53"/>
        <v>0</v>
      </c>
      <c r="BG57" s="120">
        <f t="shared" si="53"/>
        <v>0</v>
      </c>
      <c r="BH57" s="120">
        <f t="shared" si="53"/>
        <v>0</v>
      </c>
      <c r="BI57" s="120">
        <f t="shared" si="53"/>
        <v>0</v>
      </c>
      <c r="BJ57" s="120">
        <f t="shared" si="53"/>
        <v>0</v>
      </c>
      <c r="BK57" s="286">
        <f t="shared" si="36"/>
        <v>0</v>
      </c>
      <c r="BL57" s="120"/>
      <c r="BM57" s="120"/>
      <c r="BN57" s="120"/>
      <c r="BO57" s="120"/>
      <c r="BP57" s="120"/>
      <c r="BQ57" s="120"/>
      <c r="BR57" s="120"/>
      <c r="BS57" s="120"/>
    </row>
    <row r="58" spans="2:71" ht="13.5" customHeight="1" thickTop="1">
      <c r="B58" s="3"/>
      <c r="C58" s="3"/>
      <c r="D58" s="35"/>
      <c r="E58" s="35"/>
      <c r="F58" s="52" t="s">
        <v>37</v>
      </c>
      <c r="G58" s="43">
        <f>G51+G52</f>
        <v>84750</v>
      </c>
      <c r="H58" s="46" t="s">
        <v>38</v>
      </c>
      <c r="I58" s="20">
        <f>I51+I52</f>
        <v>108593.75</v>
      </c>
      <c r="J58" s="35"/>
      <c r="K58" s="92"/>
      <c r="L58" s="40"/>
      <c r="M58" s="40"/>
      <c r="N58" s="208" t="s">
        <v>246</v>
      </c>
      <c r="O58" s="257">
        <f>SUM(O51:O57)</f>
        <v>132101.66</v>
      </c>
      <c r="P58" s="257">
        <f aca="true" t="shared" si="54" ref="P58:AD58">SUM(P51:P57)</f>
        <v>123232.93118212417</v>
      </c>
      <c r="Q58" s="257">
        <f t="shared" si="54"/>
        <v>115759.19906729004</v>
      </c>
      <c r="R58" s="257">
        <f t="shared" si="54"/>
        <v>110290.26052867791</v>
      </c>
      <c r="S58" s="257">
        <f t="shared" si="54"/>
        <v>104942.12183730419</v>
      </c>
      <c r="T58" s="257">
        <f t="shared" si="54"/>
        <v>99165.69277844882</v>
      </c>
      <c r="U58" s="257">
        <f t="shared" si="54"/>
        <v>93872.46310854712</v>
      </c>
      <c r="V58" s="257">
        <f t="shared" si="54"/>
        <v>91698.06585825556</v>
      </c>
      <c r="W58" s="257">
        <f t="shared" si="54"/>
        <v>92752.31907051815</v>
      </c>
      <c r="X58" s="257">
        <f t="shared" si="54"/>
        <v>95365.98849258578</v>
      </c>
      <c r="Y58" s="257">
        <f t="shared" si="54"/>
        <v>98946.05669256077</v>
      </c>
      <c r="Z58" s="257">
        <f t="shared" si="54"/>
        <v>101505.69563749997</v>
      </c>
      <c r="AA58" s="257">
        <f t="shared" si="54"/>
        <v>105460.46299999999</v>
      </c>
      <c r="AB58" s="257">
        <f t="shared" si="54"/>
        <v>112051.74193749997</v>
      </c>
      <c r="AC58" s="257">
        <f t="shared" si="54"/>
        <v>116006.50929999998</v>
      </c>
      <c r="AD58" s="257">
        <f t="shared" si="54"/>
        <v>125234.29981249996</v>
      </c>
      <c r="AL58" s="36"/>
      <c r="AM58" s="36"/>
      <c r="AN58" s="36"/>
      <c r="AO58" s="36"/>
      <c r="AP58" s="134"/>
      <c r="AR58" s="175" t="str">
        <f t="shared" si="34"/>
        <v>Rep. Bred Lvstk Financed in yr 11</v>
      </c>
      <c r="AS58" s="175"/>
      <c r="AT58" s="174"/>
      <c r="AU58" s="121">
        <v>11</v>
      </c>
      <c r="AV58" s="120"/>
      <c r="AW58" s="120"/>
      <c r="AX58" s="120"/>
      <c r="AY58" s="120"/>
      <c r="AZ58" s="120"/>
      <c r="BA58" s="120"/>
      <c r="BB58" s="120"/>
      <c r="BC58" s="120"/>
      <c r="BD58" s="120"/>
      <c r="BE58" s="120"/>
      <c r="BF58" s="120">
        <f>IF(BF38=0,0,$AQ$38+BF38)</f>
        <v>0</v>
      </c>
      <c r="BG58" s="120">
        <f>IF(BG38=0,0,$AQ$38+BG38)</f>
        <v>0</v>
      </c>
      <c r="BH58" s="120">
        <f>IF(BH38=0,0,$AQ$38+BH38)</f>
        <v>0</v>
      </c>
      <c r="BI58" s="120">
        <f>IF(BI38=0,0,$AQ$38+BI38)</f>
        <v>0</v>
      </c>
      <c r="BJ58" s="120">
        <f>IF(BJ38=0,0,$AQ$38+BJ38)</f>
        <v>0</v>
      </c>
      <c r="BK58" s="286">
        <f t="shared" si="36"/>
        <v>0</v>
      </c>
      <c r="BL58" s="120"/>
      <c r="BM58" s="120"/>
      <c r="BN58" s="120"/>
      <c r="BO58" s="120"/>
      <c r="BP58" s="120"/>
      <c r="BQ58" s="120"/>
      <c r="BR58" s="120"/>
      <c r="BS58" s="120"/>
    </row>
    <row r="59" spans="2:71" ht="13.5" customHeight="1">
      <c r="B59" s="53"/>
      <c r="C59" s="45"/>
      <c r="D59" s="47"/>
      <c r="E59" s="47"/>
      <c r="F59" s="47"/>
      <c r="G59" s="47"/>
      <c r="H59" s="47"/>
      <c r="I59" s="47"/>
      <c r="J59" s="47"/>
      <c r="K59" s="92"/>
      <c r="L59" s="40"/>
      <c r="M59" s="40"/>
      <c r="N59" s="186" t="s">
        <v>188</v>
      </c>
      <c r="O59" s="88">
        <f>$I$58</f>
        <v>108593.75</v>
      </c>
      <c r="P59" s="88">
        <f aca="true" t="shared" si="55" ref="P59:AD59">P51+P52</f>
        <v>101812.24016246406</v>
      </c>
      <c r="Q59" s="88">
        <f t="shared" si="55"/>
        <v>95083.77046015908</v>
      </c>
      <c r="R59" s="88">
        <f t="shared" si="55"/>
        <v>90591.62382424605</v>
      </c>
      <c r="S59" s="88">
        <f t="shared" si="55"/>
        <v>86198.70131081303</v>
      </c>
      <c r="T59" s="88">
        <f t="shared" si="55"/>
        <v>81453.98418131453</v>
      </c>
      <c r="U59" s="88">
        <f t="shared" si="55"/>
        <v>77106.16354173607</v>
      </c>
      <c r="V59" s="88">
        <f t="shared" si="55"/>
        <v>75320.12933709595</v>
      </c>
      <c r="W59" s="88">
        <f t="shared" si="55"/>
        <v>76186.08531510328</v>
      </c>
      <c r="X59" s="88">
        <f t="shared" si="55"/>
        <v>78332.93451057978</v>
      </c>
      <c r="Y59" s="88">
        <f t="shared" si="55"/>
        <v>81273.57668589633</v>
      </c>
      <c r="Z59" s="88">
        <f t="shared" si="55"/>
        <v>83376.04563749998</v>
      </c>
      <c r="AA59" s="88">
        <f t="shared" si="55"/>
        <v>86624.46299999999</v>
      </c>
      <c r="AB59" s="88">
        <f t="shared" si="55"/>
        <v>92038.49193749997</v>
      </c>
      <c r="AC59" s="88">
        <f t="shared" si="55"/>
        <v>95286.90929999997</v>
      </c>
      <c r="AD59" s="88">
        <f t="shared" si="55"/>
        <v>102866.54981249996</v>
      </c>
      <c r="AP59" s="41"/>
      <c r="AR59" s="175" t="str">
        <f t="shared" si="34"/>
        <v>Rep. Bred Lvstk Financed in yr 12</v>
      </c>
      <c r="AS59" s="175"/>
      <c r="AT59" s="174"/>
      <c r="AU59" s="121">
        <v>12</v>
      </c>
      <c r="AV59" s="120"/>
      <c r="AW59" s="120"/>
      <c r="AX59" s="120"/>
      <c r="AY59" s="120"/>
      <c r="AZ59" s="120"/>
      <c r="BA59" s="120"/>
      <c r="BB59" s="120"/>
      <c r="BC59" s="120"/>
      <c r="BD59" s="120"/>
      <c r="BE59" s="120"/>
      <c r="BF59" s="120"/>
      <c r="BG59" s="120">
        <f>IF(BG39=0,0,$AQ$39+BG39)</f>
        <v>0</v>
      </c>
      <c r="BH59" s="120">
        <f>IF(BH39=0,0,$AQ$39+BH39)</f>
        <v>0</v>
      </c>
      <c r="BI59" s="120">
        <f>IF(BI39=0,0,$AQ$39+BI39)</f>
        <v>0</v>
      </c>
      <c r="BJ59" s="120">
        <f>IF(BJ39=0,0,$AQ$39+BJ39)</f>
        <v>0</v>
      </c>
      <c r="BK59" s="286">
        <f t="shared" si="36"/>
        <v>0</v>
      </c>
      <c r="BL59" s="120"/>
      <c r="BM59" s="120"/>
      <c r="BN59" s="120"/>
      <c r="BO59" s="120"/>
      <c r="BP59" s="120"/>
      <c r="BQ59" s="120"/>
      <c r="BR59" s="120"/>
      <c r="BS59" s="120"/>
    </row>
    <row r="60" spans="2:71" ht="13.5" customHeight="1">
      <c r="B60" s="19"/>
      <c r="C60" s="34"/>
      <c r="D60" s="3"/>
      <c r="E60" s="3"/>
      <c r="F60" s="4" t="s">
        <v>20</v>
      </c>
      <c r="G60" s="4" t="s">
        <v>21</v>
      </c>
      <c r="H60" s="4" t="s">
        <v>39</v>
      </c>
      <c r="I60" s="3"/>
      <c r="J60" s="442"/>
      <c r="K60" s="92"/>
      <c r="L60" s="40"/>
      <c r="M60" s="40"/>
      <c r="N60" s="208" t="s">
        <v>283</v>
      </c>
      <c r="O60" s="257">
        <f>O58/IF(O25=0,1,O25)</f>
        <v>660.5083</v>
      </c>
      <c r="P60" s="257">
        <f>P58/IF(P25=0,1,P25)</f>
        <v>619.2609607141918</v>
      </c>
      <c r="Q60" s="257">
        <f>Q58/IF(Q25=0,1,Q25)</f>
        <v>578.7959953364502</v>
      </c>
      <c r="R60" s="257">
        <f>R58/IF(R25=0,1,R25)</f>
        <v>551.4513026433896</v>
      </c>
      <c r="S60" s="257">
        <f aca="true" t="shared" si="56" ref="S60:AD60">S58/IF(S25=0,1,S25)</f>
        <v>524.710609186521</v>
      </c>
      <c r="T60" s="257">
        <f t="shared" si="56"/>
        <v>495.8284638922441</v>
      </c>
      <c r="U60" s="257">
        <f t="shared" si="56"/>
        <v>469.3623155427356</v>
      </c>
      <c r="V60" s="257">
        <f t="shared" si="56"/>
        <v>458.4903292912778</v>
      </c>
      <c r="W60" s="257">
        <f t="shared" si="56"/>
        <v>463.76159535259075</v>
      </c>
      <c r="X60" s="257">
        <f t="shared" si="56"/>
        <v>476.8299424629289</v>
      </c>
      <c r="Y60" s="257">
        <f t="shared" si="56"/>
        <v>494.73028346280387</v>
      </c>
      <c r="Z60" s="257">
        <f t="shared" si="56"/>
        <v>507.52847818749984</v>
      </c>
      <c r="AA60" s="257">
        <f t="shared" si="56"/>
        <v>527.3023149999999</v>
      </c>
      <c r="AB60" s="257">
        <f t="shared" si="56"/>
        <v>560.2587096874998</v>
      </c>
      <c r="AC60" s="257">
        <f t="shared" si="56"/>
        <v>580.0325464999999</v>
      </c>
      <c r="AD60" s="257">
        <f t="shared" si="56"/>
        <v>626.1714990624998</v>
      </c>
      <c r="AP60" s="41"/>
      <c r="AR60" s="175" t="str">
        <f t="shared" si="34"/>
        <v>Rep. Bred Lvstk Financed in yr 13</v>
      </c>
      <c r="AS60" s="175"/>
      <c r="AT60" s="174"/>
      <c r="AU60" s="121">
        <v>13</v>
      </c>
      <c r="AV60" s="120"/>
      <c r="AW60" s="120"/>
      <c r="AX60" s="120"/>
      <c r="AY60" s="120"/>
      <c r="AZ60" s="120"/>
      <c r="BA60" s="120"/>
      <c r="BB60" s="120"/>
      <c r="BC60" s="120"/>
      <c r="BD60" s="120"/>
      <c r="BE60" s="120"/>
      <c r="BF60" s="120"/>
      <c r="BG60" s="120"/>
      <c r="BH60" s="120">
        <f>IF(BH40=0,0,$AQ$40+BH40)</f>
        <v>0</v>
      </c>
      <c r="BI60" s="120">
        <f>IF(BI40=0,0,$AQ$40+BI40)</f>
        <v>0</v>
      </c>
      <c r="BJ60" s="120">
        <f>IF(BJ40=0,0,$AQ$40+BJ40)</f>
        <v>0</v>
      </c>
      <c r="BK60" s="286">
        <f t="shared" si="36"/>
        <v>0</v>
      </c>
      <c r="BL60" s="120"/>
      <c r="BM60" s="120"/>
      <c r="BN60" s="120"/>
      <c r="BO60" s="120"/>
      <c r="BP60" s="120"/>
      <c r="BQ60" s="120"/>
      <c r="BR60" s="120"/>
      <c r="BS60" s="120"/>
    </row>
    <row r="61" spans="2:71" ht="13.5" customHeight="1">
      <c r="B61" s="578" t="s">
        <v>40</v>
      </c>
      <c r="C61" s="578"/>
      <c r="D61" s="4" t="s">
        <v>23</v>
      </c>
      <c r="E61" s="59" t="s">
        <v>24</v>
      </c>
      <c r="F61" s="4" t="s">
        <v>25</v>
      </c>
      <c r="G61" s="4" t="s">
        <v>26</v>
      </c>
      <c r="H61" s="4" t="s">
        <v>41</v>
      </c>
      <c r="I61" s="2" t="s">
        <v>28</v>
      </c>
      <c r="J61" s="442"/>
      <c r="K61" s="92"/>
      <c r="L61" s="40"/>
      <c r="M61" s="40"/>
      <c r="N61" s="186" t="s">
        <v>375</v>
      </c>
      <c r="O61" s="138"/>
      <c r="P61" s="88">
        <f aca="true" t="shared" si="57" ref="P61:AD61">P26*$M$21*P42</f>
        <v>0</v>
      </c>
      <c r="Q61" s="88">
        <f t="shared" si="57"/>
        <v>0</v>
      </c>
      <c r="R61" s="88">
        <f t="shared" si="57"/>
        <v>0</v>
      </c>
      <c r="S61" s="88">
        <f t="shared" si="57"/>
        <v>0</v>
      </c>
      <c r="T61" s="88">
        <f t="shared" si="57"/>
        <v>0</v>
      </c>
      <c r="U61" s="88">
        <f t="shared" si="57"/>
        <v>0</v>
      </c>
      <c r="V61" s="88">
        <f t="shared" si="57"/>
        <v>0</v>
      </c>
      <c r="W61" s="88">
        <f t="shared" si="57"/>
        <v>0</v>
      </c>
      <c r="X61" s="88">
        <f t="shared" si="57"/>
        <v>0</v>
      </c>
      <c r="Y61" s="88">
        <f t="shared" si="57"/>
        <v>0</v>
      </c>
      <c r="Z61" s="88">
        <f t="shared" si="57"/>
        <v>0</v>
      </c>
      <c r="AA61" s="88">
        <f t="shared" si="57"/>
        <v>0</v>
      </c>
      <c r="AB61" s="88">
        <f t="shared" si="57"/>
        <v>0</v>
      </c>
      <c r="AC61" s="88">
        <f t="shared" si="57"/>
        <v>0</v>
      </c>
      <c r="AD61" s="88">
        <f t="shared" si="57"/>
        <v>0</v>
      </c>
      <c r="AP61" s="41"/>
      <c r="AR61" s="175" t="str">
        <f t="shared" si="34"/>
        <v>Rep. Bred Lvstk Financed in yr 14</v>
      </c>
      <c r="AS61" s="175"/>
      <c r="AU61" s="121">
        <v>14</v>
      </c>
      <c r="AV61" s="120"/>
      <c r="AW61" s="120"/>
      <c r="AX61" s="120"/>
      <c r="AY61" s="120"/>
      <c r="AZ61" s="120"/>
      <c r="BA61" s="120"/>
      <c r="BB61" s="120"/>
      <c r="BC61" s="120"/>
      <c r="BD61" s="120"/>
      <c r="BE61" s="120"/>
      <c r="BF61" s="120"/>
      <c r="BG61" s="120"/>
      <c r="BH61" s="120"/>
      <c r="BI61" s="120">
        <f>IF(BI41=0,0,$AQ$41+BI41)</f>
        <v>0</v>
      </c>
      <c r="BJ61" s="120">
        <f>IF(BJ41=0,0,$AQ$41+BJ41)</f>
        <v>0</v>
      </c>
      <c r="BK61" s="286">
        <f t="shared" si="36"/>
        <v>0</v>
      </c>
      <c r="BL61" s="120"/>
      <c r="BM61" s="120"/>
      <c r="BN61" s="120"/>
      <c r="BO61" s="120"/>
      <c r="BP61" s="120"/>
      <c r="BQ61" s="120"/>
      <c r="BR61" s="120"/>
      <c r="BS61" s="120"/>
    </row>
    <row r="62" spans="2:71" ht="13.5" customHeight="1" thickBot="1">
      <c r="B62" s="566" t="s">
        <v>42</v>
      </c>
      <c r="C62" s="567"/>
      <c r="D62" s="539">
        <v>0</v>
      </c>
      <c r="E62" s="540">
        <v>0</v>
      </c>
      <c r="F62" s="541">
        <v>0</v>
      </c>
      <c r="G62" s="16"/>
      <c r="H62" s="20">
        <f>E62*F62</f>
        <v>0</v>
      </c>
      <c r="I62" s="28">
        <f>D62*E62*F62</f>
        <v>0</v>
      </c>
      <c r="J62" s="4" t="s">
        <v>43</v>
      </c>
      <c r="K62" s="92"/>
      <c r="L62" s="40"/>
      <c r="M62" s="40"/>
      <c r="N62" s="40"/>
      <c r="O62" s="72" t="s">
        <v>376</v>
      </c>
      <c r="P62" s="138"/>
      <c r="Q62" s="88">
        <f>P61+Q61</f>
        <v>0</v>
      </c>
      <c r="R62" s="88">
        <f>Q62-Q63+R61</f>
        <v>0</v>
      </c>
      <c r="S62" s="88">
        <f aca="true" t="shared" si="58" ref="S62:AD62">R62-R63+S61</f>
        <v>0</v>
      </c>
      <c r="T62" s="88">
        <f t="shared" si="58"/>
        <v>0</v>
      </c>
      <c r="U62" s="88">
        <f t="shared" si="58"/>
        <v>0</v>
      </c>
      <c r="V62" s="88">
        <f t="shared" si="58"/>
        <v>0</v>
      </c>
      <c r="W62" s="88">
        <f t="shared" si="58"/>
        <v>0</v>
      </c>
      <c r="X62" s="88">
        <f t="shared" si="58"/>
        <v>0</v>
      </c>
      <c r="Y62" s="88">
        <f t="shared" si="58"/>
        <v>0</v>
      </c>
      <c r="Z62" s="88">
        <f t="shared" si="58"/>
        <v>0</v>
      </c>
      <c r="AA62" s="88">
        <f t="shared" si="58"/>
        <v>0</v>
      </c>
      <c r="AB62" s="88">
        <f t="shared" si="58"/>
        <v>0</v>
      </c>
      <c r="AC62" s="88">
        <f t="shared" si="58"/>
        <v>0</v>
      </c>
      <c r="AD62" s="88">
        <f t="shared" si="58"/>
        <v>0</v>
      </c>
      <c r="AR62" s="175" t="str">
        <f t="shared" si="34"/>
        <v>Rep. Bred Lvstk Financed in yr 15</v>
      </c>
      <c r="AS62" s="175"/>
      <c r="AU62" s="124">
        <v>15</v>
      </c>
      <c r="AV62" s="126"/>
      <c r="AW62" s="126"/>
      <c r="AX62" s="126"/>
      <c r="AY62" s="126"/>
      <c r="AZ62" s="126"/>
      <c r="BA62" s="126"/>
      <c r="BB62" s="126"/>
      <c r="BC62" s="126"/>
      <c r="BD62" s="126"/>
      <c r="BE62" s="126"/>
      <c r="BF62" s="126"/>
      <c r="BG62" s="126"/>
      <c r="BH62" s="126"/>
      <c r="BI62" s="126"/>
      <c r="BJ62" s="126">
        <f>IF(BJ42=0,0,$AQ$42+BJ42)</f>
        <v>0</v>
      </c>
      <c r="BK62" s="287">
        <f t="shared" si="36"/>
        <v>0</v>
      </c>
      <c r="BL62" s="120"/>
      <c r="BM62" s="120"/>
      <c r="BN62" s="120"/>
      <c r="BO62" s="120"/>
      <c r="BP62" s="120"/>
      <c r="BQ62" s="120"/>
      <c r="BR62" s="120"/>
      <c r="BS62" s="120"/>
    </row>
    <row r="63" spans="2:62" ht="13.5" customHeight="1" thickTop="1">
      <c r="B63" s="29" t="s">
        <v>88</v>
      </c>
      <c r="C63" s="54"/>
      <c r="D63" s="30" t="s">
        <v>44</v>
      </c>
      <c r="E63" s="31"/>
      <c r="F63" s="31"/>
      <c r="G63" s="32"/>
      <c r="H63" s="55"/>
      <c r="I63" s="443"/>
      <c r="J63" s="4" t="s">
        <v>33</v>
      </c>
      <c r="K63" s="92"/>
      <c r="L63" s="40"/>
      <c r="M63" s="40"/>
      <c r="N63" s="40"/>
      <c r="P63" s="72" t="s">
        <v>377</v>
      </c>
      <c r="Q63" s="88">
        <f>IF(Q62&gt;$M$21*Q30*Q42,$M$21*Q30*Q42,Q62)</f>
        <v>0</v>
      </c>
      <c r="R63" s="88">
        <f aca="true" t="shared" si="59" ref="R63:AD63">IF(R62&gt;$M$21*R30*R42,$M$21*R30*R42,R62)</f>
        <v>0</v>
      </c>
      <c r="S63" s="88">
        <f t="shared" si="59"/>
        <v>0</v>
      </c>
      <c r="T63" s="88">
        <f t="shared" si="59"/>
        <v>0</v>
      </c>
      <c r="U63" s="88">
        <f t="shared" si="59"/>
        <v>0</v>
      </c>
      <c r="V63" s="88">
        <f t="shared" si="59"/>
        <v>0</v>
      </c>
      <c r="W63" s="88">
        <f t="shared" si="59"/>
        <v>0</v>
      </c>
      <c r="X63" s="88">
        <f t="shared" si="59"/>
        <v>0</v>
      </c>
      <c r="Y63" s="88">
        <f t="shared" si="59"/>
        <v>0</v>
      </c>
      <c r="Z63" s="88">
        <f t="shared" si="59"/>
        <v>0</v>
      </c>
      <c r="AA63" s="88">
        <f t="shared" si="59"/>
        <v>0</v>
      </c>
      <c r="AB63" s="88">
        <f t="shared" si="59"/>
        <v>0</v>
      </c>
      <c r="AC63" s="88">
        <f t="shared" si="59"/>
        <v>0</v>
      </c>
      <c r="AD63" s="88">
        <f t="shared" si="59"/>
        <v>0</v>
      </c>
      <c r="AQ63" s="41"/>
      <c r="AR63" s="41"/>
      <c r="AS63" s="41"/>
      <c r="AV63" s="130">
        <f aca="true" t="shared" si="60" ref="AV63:BJ63">SUM(AV48:AV62)</f>
        <v>0</v>
      </c>
      <c r="AW63" s="130">
        <f t="shared" si="60"/>
        <v>0</v>
      </c>
      <c r="AX63" s="130">
        <f t="shared" si="60"/>
        <v>0</v>
      </c>
      <c r="AY63" s="130">
        <f t="shared" si="60"/>
        <v>0</v>
      </c>
      <c r="AZ63" s="130">
        <f t="shared" si="60"/>
        <v>0</v>
      </c>
      <c r="BA63" s="130">
        <f t="shared" si="60"/>
        <v>0</v>
      </c>
      <c r="BB63" s="130">
        <f t="shared" si="60"/>
        <v>0</v>
      </c>
      <c r="BC63" s="130">
        <f t="shared" si="60"/>
        <v>0</v>
      </c>
      <c r="BD63" s="130">
        <f t="shared" si="60"/>
        <v>0</v>
      </c>
      <c r="BE63" s="130">
        <f t="shared" si="60"/>
        <v>0</v>
      </c>
      <c r="BF63" s="130">
        <f t="shared" si="60"/>
        <v>0</v>
      </c>
      <c r="BG63" s="130">
        <f t="shared" si="60"/>
        <v>0</v>
      </c>
      <c r="BH63" s="130">
        <f t="shared" si="60"/>
        <v>0</v>
      </c>
      <c r="BI63" s="130">
        <f t="shared" si="60"/>
        <v>0</v>
      </c>
      <c r="BJ63" s="130">
        <f t="shared" si="60"/>
        <v>0</v>
      </c>
    </row>
    <row r="64" spans="2:48" ht="13.5" customHeight="1">
      <c r="B64" s="2" t="s">
        <v>266</v>
      </c>
      <c r="C64" s="3"/>
      <c r="D64" s="497">
        <f>ROUNDDOWN(G34,0)</f>
        <v>25</v>
      </c>
      <c r="E64" s="217">
        <v>530</v>
      </c>
      <c r="F64" s="216">
        <v>1</v>
      </c>
      <c r="G64" s="43">
        <f>D64*E64</f>
        <v>13250</v>
      </c>
      <c r="H64" s="20">
        <f>E64*F64</f>
        <v>530</v>
      </c>
      <c r="I64" s="20">
        <f>D64*E64*F64</f>
        <v>13250</v>
      </c>
      <c r="J64" s="4" t="s">
        <v>432</v>
      </c>
      <c r="K64" s="92"/>
      <c r="L64" s="40"/>
      <c r="M64" s="40"/>
      <c r="N64" s="72" t="s">
        <v>449</v>
      </c>
      <c r="AV64" s="130"/>
    </row>
    <row r="65" spans="2:47" ht="13.5" customHeight="1">
      <c r="B65" s="2" t="s">
        <v>95</v>
      </c>
      <c r="C65" s="3"/>
      <c r="D65" s="498">
        <f>ROUNDDOWN(G35*G37,0)</f>
        <v>0</v>
      </c>
      <c r="E65" s="218">
        <v>700</v>
      </c>
      <c r="F65" s="215">
        <v>1</v>
      </c>
      <c r="G65" s="43">
        <f>D65*E65</f>
        <v>0</v>
      </c>
      <c r="H65" s="20">
        <f>E65*F65</f>
        <v>700</v>
      </c>
      <c r="I65" s="20">
        <f>-(D65*E65*F65)</f>
        <v>0</v>
      </c>
      <c r="J65" s="4" t="s">
        <v>45</v>
      </c>
      <c r="K65" s="92"/>
      <c r="L65" s="40"/>
      <c r="M65" s="40"/>
      <c r="N65" s="72" t="s">
        <v>451</v>
      </c>
      <c r="O65" s="261">
        <f>O40*$E$51+O41*$E$52</f>
        <v>84750</v>
      </c>
      <c r="P65" s="261">
        <f aca="true" t="shared" si="61" ref="P65:AD65">P40*$E$51+P41*$E$52</f>
        <v>83995.80312</v>
      </c>
      <c r="Q65" s="261">
        <f t="shared" si="61"/>
        <v>84504.57599999997</v>
      </c>
      <c r="R65" s="261">
        <f t="shared" si="61"/>
        <v>84504.57599999997</v>
      </c>
      <c r="S65" s="261">
        <f t="shared" si="61"/>
        <v>84504.57599999997</v>
      </c>
      <c r="T65" s="261">
        <f t="shared" si="61"/>
        <v>84504.57599999997</v>
      </c>
      <c r="U65" s="261">
        <f t="shared" si="61"/>
        <v>84504.57599999997</v>
      </c>
      <c r="V65" s="261">
        <f t="shared" si="61"/>
        <v>84504.57599999997</v>
      </c>
      <c r="W65" s="261">
        <f t="shared" si="61"/>
        <v>84504.57599999997</v>
      </c>
      <c r="X65" s="261">
        <f t="shared" si="61"/>
        <v>84504.57599999997</v>
      </c>
      <c r="Y65" s="261">
        <f t="shared" si="61"/>
        <v>84504.57599999997</v>
      </c>
      <c r="Z65" s="261">
        <f t="shared" si="61"/>
        <v>84504.57599999997</v>
      </c>
      <c r="AA65" s="261">
        <f t="shared" si="61"/>
        <v>84504.57599999997</v>
      </c>
      <c r="AB65" s="261">
        <f t="shared" si="61"/>
        <v>84504.57599999997</v>
      </c>
      <c r="AC65" s="261">
        <f t="shared" si="61"/>
        <v>84504.57599999997</v>
      </c>
      <c r="AD65" s="261">
        <f t="shared" si="61"/>
        <v>84504.57599999997</v>
      </c>
      <c r="AI65" s="574" t="s">
        <v>242</v>
      </c>
      <c r="AJ65" s="574"/>
      <c r="AK65" s="574"/>
      <c r="AL65" s="574"/>
      <c r="AM65" s="574"/>
      <c r="AU65" s="571" t="s">
        <v>311</v>
      </c>
    </row>
    <row r="66" spans="2:47" ht="13.5" customHeight="1">
      <c r="B66" s="35"/>
      <c r="C66" s="3"/>
      <c r="D66" s="37"/>
      <c r="E66" s="35"/>
      <c r="F66" s="35"/>
      <c r="G66" s="35"/>
      <c r="H66" s="33" t="s">
        <v>86</v>
      </c>
      <c r="I66" s="20">
        <f>SUM(I51:I56)+I64+I65</f>
        <v>145351.66</v>
      </c>
      <c r="J66" s="20">
        <f>I66/$G$22</f>
        <v>726.7583</v>
      </c>
      <c r="K66" s="92"/>
      <c r="L66" s="40"/>
      <c r="M66" s="374"/>
      <c r="N66" s="72" t="s">
        <v>450</v>
      </c>
      <c r="AJ66" s="60"/>
      <c r="AK66" s="60" t="s">
        <v>286</v>
      </c>
      <c r="AL66" s="60" t="s">
        <v>289</v>
      </c>
      <c r="AM66" s="291" t="s">
        <v>292</v>
      </c>
      <c r="AN66" s="575" t="s">
        <v>12</v>
      </c>
      <c r="AO66" s="576"/>
      <c r="AP66" s="576"/>
      <c r="AQ66" s="576"/>
      <c r="AR66" s="576"/>
      <c r="AS66" s="576"/>
      <c r="AT66" s="576"/>
      <c r="AU66" s="572"/>
    </row>
    <row r="67" spans="2:62" ht="13.5" customHeight="1">
      <c r="B67" s="35"/>
      <c r="C67" s="3"/>
      <c r="D67" s="37"/>
      <c r="E67" s="35"/>
      <c r="F67" s="35"/>
      <c r="G67" s="35"/>
      <c r="H67" s="33"/>
      <c r="I67" s="20"/>
      <c r="K67" s="92"/>
      <c r="L67" s="40"/>
      <c r="M67" s="400"/>
      <c r="N67" s="187"/>
      <c r="AI67" s="60"/>
      <c r="AJ67" s="60"/>
      <c r="AK67" s="60" t="s">
        <v>287</v>
      </c>
      <c r="AL67" s="60" t="s">
        <v>70</v>
      </c>
      <c r="AM67" s="60" t="s">
        <v>293</v>
      </c>
      <c r="AN67" s="60">
        <v>1</v>
      </c>
      <c r="AO67" s="60">
        <v>2</v>
      </c>
      <c r="AP67" s="60">
        <v>3</v>
      </c>
      <c r="AQ67" s="60">
        <v>4</v>
      </c>
      <c r="AR67" s="60">
        <v>5</v>
      </c>
      <c r="AS67" s="60">
        <v>6</v>
      </c>
      <c r="AT67" s="60">
        <v>7</v>
      </c>
      <c r="AU67" s="572"/>
      <c r="AV67" s="276">
        <v>1</v>
      </c>
      <c r="AW67" s="276">
        <v>2</v>
      </c>
      <c r="AX67" s="276">
        <v>3</v>
      </c>
      <c r="AY67" s="276">
        <v>4</v>
      </c>
      <c r="AZ67" s="276">
        <v>5</v>
      </c>
      <c r="BA67" s="276">
        <v>6</v>
      </c>
      <c r="BB67" s="276">
        <v>7</v>
      </c>
      <c r="BC67" s="276">
        <v>8</v>
      </c>
      <c r="BD67" s="276">
        <v>9</v>
      </c>
      <c r="BE67" s="276">
        <v>10</v>
      </c>
      <c r="BF67" s="276">
        <v>11</v>
      </c>
      <c r="BG67" s="276">
        <v>12</v>
      </c>
      <c r="BH67" s="276">
        <v>13</v>
      </c>
      <c r="BI67" s="276">
        <v>14</v>
      </c>
      <c r="BJ67" s="276">
        <v>15</v>
      </c>
    </row>
    <row r="68" spans="2:63" ht="13.5" customHeight="1">
      <c r="B68" s="59" t="s">
        <v>169</v>
      </c>
      <c r="C68" s="84"/>
      <c r="D68" s="56">
        <f>(($F$51*$G$51/$G$58)+($F$52*$G$52/$G$58))*100</f>
        <v>128.13421828908557</v>
      </c>
      <c r="E68" s="38"/>
      <c r="F68" s="38"/>
      <c r="G68" s="35"/>
      <c r="H68" s="33"/>
      <c r="I68" s="20"/>
      <c r="K68" s="92"/>
      <c r="L68" s="40"/>
      <c r="M68" s="374"/>
      <c r="N68" s="40"/>
      <c r="AI68" s="60" t="s">
        <v>238</v>
      </c>
      <c r="AJ68" s="60" t="s">
        <v>13</v>
      </c>
      <c r="AK68" s="60" t="s">
        <v>288</v>
      </c>
      <c r="AL68" s="60" t="s">
        <v>290</v>
      </c>
      <c r="AM68" s="291" t="s">
        <v>294</v>
      </c>
      <c r="AN68" s="575" t="s">
        <v>11</v>
      </c>
      <c r="AO68" s="576"/>
      <c r="AP68" s="576"/>
      <c r="AQ68" s="576"/>
      <c r="AR68" s="576"/>
      <c r="AS68" s="576"/>
      <c r="AT68" s="576"/>
      <c r="AU68" s="573"/>
      <c r="AV68" s="60">
        <f aca="true" t="shared" si="62" ref="AV68:BJ68">P19</f>
        <v>2006</v>
      </c>
      <c r="AW68" s="60">
        <f t="shared" si="62"/>
        <v>2007</v>
      </c>
      <c r="AX68" s="60">
        <f t="shared" si="62"/>
        <v>2008</v>
      </c>
      <c r="AY68" s="60">
        <f t="shared" si="62"/>
        <v>2009</v>
      </c>
      <c r="AZ68" s="60">
        <f t="shared" si="62"/>
        <v>2010</v>
      </c>
      <c r="BA68" s="60">
        <f t="shared" si="62"/>
        <v>2011</v>
      </c>
      <c r="BB68" s="60">
        <f t="shared" si="62"/>
        <v>2012</v>
      </c>
      <c r="BC68" s="60">
        <f t="shared" si="62"/>
        <v>2013</v>
      </c>
      <c r="BD68" s="60">
        <f t="shared" si="62"/>
        <v>2014</v>
      </c>
      <c r="BE68" s="60">
        <f t="shared" si="62"/>
        <v>2015</v>
      </c>
      <c r="BF68" s="60">
        <f t="shared" si="62"/>
        <v>2016</v>
      </c>
      <c r="BG68" s="60">
        <f t="shared" si="62"/>
        <v>2017</v>
      </c>
      <c r="BH68" s="60">
        <f t="shared" si="62"/>
        <v>2018</v>
      </c>
      <c r="BI68" s="60">
        <f t="shared" si="62"/>
        <v>2019</v>
      </c>
      <c r="BJ68" s="60">
        <f t="shared" si="62"/>
        <v>2020</v>
      </c>
      <c r="BK68" s="60" t="s">
        <v>43</v>
      </c>
    </row>
    <row r="69" spans="2:63" ht="13.5" customHeight="1">
      <c r="B69" s="59" t="s">
        <v>170</v>
      </c>
      <c r="C69" s="84"/>
      <c r="D69" s="95">
        <f>($G$51+$G$52)/($D$51+$D$52)</f>
        <v>605.3571428571429</v>
      </c>
      <c r="F69" s="86"/>
      <c r="I69" s="20"/>
      <c r="K69" s="92"/>
      <c r="L69" s="40"/>
      <c r="M69" s="374"/>
      <c r="N69" s="40"/>
      <c r="AH69" s="155" t="s">
        <v>217</v>
      </c>
      <c r="AI69" s="155" t="s">
        <v>217</v>
      </c>
      <c r="AJ69" s="155" t="s">
        <v>5</v>
      </c>
      <c r="AK69" s="60" t="s">
        <v>70</v>
      </c>
      <c r="AL69" s="60" t="s">
        <v>291</v>
      </c>
      <c r="AM69" s="292" t="s">
        <v>295</v>
      </c>
      <c r="AN69" s="303">
        <v>0.2625</v>
      </c>
      <c r="AO69" s="304">
        <v>0.2213</v>
      </c>
      <c r="AP69" s="304">
        <v>0.1652</v>
      </c>
      <c r="AQ69" s="304">
        <v>0.1652</v>
      </c>
      <c r="AR69" s="305">
        <v>0.1652</v>
      </c>
      <c r="AS69" s="305">
        <v>0.0206</v>
      </c>
      <c r="AT69" s="306">
        <v>0</v>
      </c>
      <c r="AU69" s="302">
        <f>SUM(AN69:AT69)</f>
        <v>1</v>
      </c>
      <c r="AV69" s="290"/>
      <c r="AW69" s="138"/>
      <c r="AX69" s="138"/>
      <c r="AY69" s="138"/>
      <c r="AZ69" s="138"/>
      <c r="BA69" s="138"/>
      <c r="BB69" s="138"/>
      <c r="BC69" s="138"/>
      <c r="BD69" s="138"/>
      <c r="BE69" s="138"/>
      <c r="BF69" s="138"/>
      <c r="BG69" s="138"/>
      <c r="BH69" s="138"/>
      <c r="BI69" s="138"/>
      <c r="BJ69" s="138"/>
      <c r="BK69" s="60" t="s">
        <v>70</v>
      </c>
    </row>
    <row r="70" spans="2:63" ht="13.5" customHeight="1">
      <c r="B70" s="342" t="s">
        <v>171</v>
      </c>
      <c r="F70" s="38"/>
      <c r="I70" s="20"/>
      <c r="K70" s="92"/>
      <c r="L70" s="40"/>
      <c r="M70" s="40"/>
      <c r="N70" s="40"/>
      <c r="AH70" s="60">
        <f aca="true" t="shared" si="63" ref="AH70:AH84">AH28</f>
        <v>2006</v>
      </c>
      <c r="AI70" s="60">
        <v>1</v>
      </c>
      <c r="AJ70" s="139">
        <f>AL28+AP28</f>
        <v>0</v>
      </c>
      <c r="AK70" s="318">
        <v>0</v>
      </c>
      <c r="AL70" s="319">
        <v>0</v>
      </c>
      <c r="AM70" s="273">
        <f>IF(AJ70-AK70-AL70&lt;0,0,AJ70-AK70-AL70)</f>
        <v>0</v>
      </c>
      <c r="AN70" s="66">
        <f>IF(AK70+AL70&gt;AJ70,AJ70,(AK70+AL70)+AM70*$AN$69)</f>
        <v>0</v>
      </c>
      <c r="AO70" s="66">
        <f>AM70*$AO$69</f>
        <v>0</v>
      </c>
      <c r="AP70" s="66">
        <f>AM70*$AP$69</f>
        <v>0</v>
      </c>
      <c r="AQ70" s="66">
        <f>AM70*$AQ$69</f>
        <v>0</v>
      </c>
      <c r="AR70" s="66">
        <f>AM70*$AR$69</f>
        <v>0</v>
      </c>
      <c r="AS70" s="66">
        <f>AM70*$AS$69</f>
        <v>0</v>
      </c>
      <c r="AT70" s="66">
        <f>AM70*$AT$69</f>
        <v>0</v>
      </c>
      <c r="AV70" s="307">
        <f aca="true" t="shared" si="64" ref="AV70:BB70">AN70</f>
        <v>0</v>
      </c>
      <c r="AW70" s="66">
        <f t="shared" si="64"/>
        <v>0</v>
      </c>
      <c r="AX70" s="66">
        <f t="shared" si="64"/>
        <v>0</v>
      </c>
      <c r="AY70" s="66">
        <f t="shared" si="64"/>
        <v>0</v>
      </c>
      <c r="AZ70" s="66">
        <f t="shared" si="64"/>
        <v>0</v>
      </c>
      <c r="BA70" s="66">
        <f t="shared" si="64"/>
        <v>0</v>
      </c>
      <c r="BB70" s="66">
        <f t="shared" si="64"/>
        <v>0</v>
      </c>
      <c r="BC70" s="66"/>
      <c r="BD70" s="66"/>
      <c r="BE70" s="66"/>
      <c r="BF70" s="66"/>
      <c r="BG70" s="66"/>
      <c r="BH70" s="66"/>
      <c r="BI70" s="66"/>
      <c r="BJ70" s="66"/>
      <c r="BK70" s="278">
        <f aca="true" t="shared" si="65" ref="BK70:BK84">SUM(AV70:BJ70)</f>
        <v>0</v>
      </c>
    </row>
    <row r="71" spans="2:63" ht="13.5" customHeight="1">
      <c r="B71" s="38"/>
      <c r="C71" s="85"/>
      <c r="D71" s="84"/>
      <c r="E71" s="38"/>
      <c r="F71" s="38"/>
      <c r="I71" s="20"/>
      <c r="K71" s="92"/>
      <c r="L71" s="40"/>
      <c r="M71" s="40"/>
      <c r="N71" s="40"/>
      <c r="AH71" s="60">
        <f t="shared" si="63"/>
        <v>2007</v>
      </c>
      <c r="AI71" s="60">
        <v>2</v>
      </c>
      <c r="AJ71" s="139">
        <f aca="true" t="shared" si="66" ref="AJ71:AJ84">AL29+AP29</f>
        <v>0</v>
      </c>
      <c r="AK71" s="320">
        <v>0</v>
      </c>
      <c r="AL71" s="321">
        <v>0</v>
      </c>
      <c r="AM71" s="274">
        <f aca="true" t="shared" si="67" ref="AM71:AM84">IF(AJ71-AK71-AL71&lt;0,0,AJ71-AK71-AL71)</f>
        <v>0</v>
      </c>
      <c r="AN71" s="66">
        <f aca="true" t="shared" si="68" ref="AN71:AN84">IF(AK71+AL71&gt;AJ71,AJ71,(AK71+AL71)+AM71*$AN$69)</f>
        <v>0</v>
      </c>
      <c r="AO71" s="66">
        <f aca="true" t="shared" si="69" ref="AO71:AO84">AM71*$AO$69</f>
        <v>0</v>
      </c>
      <c r="AP71" s="66">
        <f aca="true" t="shared" si="70" ref="AP71:AP84">AM71*$AP$69</f>
        <v>0</v>
      </c>
      <c r="AQ71" s="66">
        <f aca="true" t="shared" si="71" ref="AQ71:AQ84">AM71*$AQ$69</f>
        <v>0</v>
      </c>
      <c r="AR71" s="66">
        <f aca="true" t="shared" si="72" ref="AR71:AR84">AM71*$AR$69</f>
        <v>0</v>
      </c>
      <c r="AS71" s="66">
        <f aca="true" t="shared" si="73" ref="AS71:AS84">AM71*$AS$69</f>
        <v>0</v>
      </c>
      <c r="AT71" s="66">
        <f aca="true" t="shared" si="74" ref="AT71:AT84">AM71*$AT$69</f>
        <v>0</v>
      </c>
      <c r="AV71" s="307"/>
      <c r="AW71" s="66">
        <f aca="true" t="shared" si="75" ref="AW71:BC71">AN71</f>
        <v>0</v>
      </c>
      <c r="AX71" s="66">
        <f t="shared" si="75"/>
        <v>0</v>
      </c>
      <c r="AY71" s="66">
        <f t="shared" si="75"/>
        <v>0</v>
      </c>
      <c r="AZ71" s="66">
        <f t="shared" si="75"/>
        <v>0</v>
      </c>
      <c r="BA71" s="66">
        <f t="shared" si="75"/>
        <v>0</v>
      </c>
      <c r="BB71" s="66">
        <f t="shared" si="75"/>
        <v>0</v>
      </c>
      <c r="BC71" s="66">
        <f t="shared" si="75"/>
        <v>0</v>
      </c>
      <c r="BD71" s="66"/>
      <c r="BE71" s="66"/>
      <c r="BF71" s="66"/>
      <c r="BG71" s="66"/>
      <c r="BH71" s="66"/>
      <c r="BI71" s="66"/>
      <c r="BJ71" s="66"/>
      <c r="BK71" s="279">
        <f t="shared" si="65"/>
        <v>0</v>
      </c>
    </row>
    <row r="72" spans="2:63" ht="13.5" customHeight="1">
      <c r="B72" s="495" t="s">
        <v>409</v>
      </c>
      <c r="C72" s="542" t="s">
        <v>428</v>
      </c>
      <c r="D72" s="40"/>
      <c r="E72" s="462"/>
      <c r="F72" s="462"/>
      <c r="G72" s="543">
        <v>1</v>
      </c>
      <c r="H72" s="87"/>
      <c r="I72" s="36"/>
      <c r="K72" s="145"/>
      <c r="L72" s="40"/>
      <c r="M72" s="40"/>
      <c r="N72" s="40"/>
      <c r="AH72" s="60">
        <f t="shared" si="63"/>
        <v>2008</v>
      </c>
      <c r="AI72" s="60">
        <v>3</v>
      </c>
      <c r="AJ72" s="139">
        <f t="shared" si="66"/>
        <v>0</v>
      </c>
      <c r="AK72" s="320">
        <v>0</v>
      </c>
      <c r="AL72" s="321">
        <v>0</v>
      </c>
      <c r="AM72" s="274">
        <f t="shared" si="67"/>
        <v>0</v>
      </c>
      <c r="AN72" s="66">
        <f t="shared" si="68"/>
        <v>0</v>
      </c>
      <c r="AO72" s="66">
        <f t="shared" si="69"/>
        <v>0</v>
      </c>
      <c r="AP72" s="66">
        <f t="shared" si="70"/>
        <v>0</v>
      </c>
      <c r="AQ72" s="66">
        <f t="shared" si="71"/>
        <v>0</v>
      </c>
      <c r="AR72" s="66">
        <f t="shared" si="72"/>
        <v>0</v>
      </c>
      <c r="AS72" s="66">
        <f t="shared" si="73"/>
        <v>0</v>
      </c>
      <c r="AT72" s="66">
        <f t="shared" si="74"/>
        <v>0</v>
      </c>
      <c r="AV72" s="307"/>
      <c r="AW72" s="66"/>
      <c r="AX72" s="66">
        <f aca="true" t="shared" si="76" ref="AX72:BD72">AN72</f>
        <v>0</v>
      </c>
      <c r="AY72" s="66">
        <f t="shared" si="76"/>
        <v>0</v>
      </c>
      <c r="AZ72" s="66">
        <f t="shared" si="76"/>
        <v>0</v>
      </c>
      <c r="BA72" s="66">
        <f t="shared" si="76"/>
        <v>0</v>
      </c>
      <c r="BB72" s="66">
        <f t="shared" si="76"/>
        <v>0</v>
      </c>
      <c r="BC72" s="66">
        <f t="shared" si="76"/>
        <v>0</v>
      </c>
      <c r="BD72" s="66">
        <f t="shared" si="76"/>
        <v>0</v>
      </c>
      <c r="BE72" s="66"/>
      <c r="BF72" s="66"/>
      <c r="BG72" s="66"/>
      <c r="BH72" s="66"/>
      <c r="BI72" s="66"/>
      <c r="BJ72" s="66"/>
      <c r="BK72" s="279">
        <f t="shared" si="65"/>
        <v>0</v>
      </c>
    </row>
    <row r="73" spans="2:63" ht="13.5" customHeight="1">
      <c r="B73" s="495" t="s">
        <v>409</v>
      </c>
      <c r="C73" s="19" t="s">
        <v>433</v>
      </c>
      <c r="D73" s="40"/>
      <c r="E73" s="40"/>
      <c r="F73" s="191"/>
      <c r="G73" s="544">
        <v>0.04</v>
      </c>
      <c r="H73" s="1"/>
      <c r="I73" s="36"/>
      <c r="K73" s="145"/>
      <c r="L73" s="40"/>
      <c r="M73" s="40"/>
      <c r="N73" s="40"/>
      <c r="AH73" s="60">
        <f t="shared" si="63"/>
        <v>2009</v>
      </c>
      <c r="AI73" s="60">
        <v>4</v>
      </c>
      <c r="AJ73" s="139">
        <f t="shared" si="66"/>
        <v>0</v>
      </c>
      <c r="AK73" s="320">
        <v>0</v>
      </c>
      <c r="AL73" s="321">
        <v>0</v>
      </c>
      <c r="AM73" s="274">
        <f t="shared" si="67"/>
        <v>0</v>
      </c>
      <c r="AN73" s="66">
        <f t="shared" si="68"/>
        <v>0</v>
      </c>
      <c r="AO73" s="66">
        <f t="shared" si="69"/>
        <v>0</v>
      </c>
      <c r="AP73" s="66">
        <f t="shared" si="70"/>
        <v>0</v>
      </c>
      <c r="AQ73" s="66">
        <f t="shared" si="71"/>
        <v>0</v>
      </c>
      <c r="AR73" s="66">
        <f t="shared" si="72"/>
        <v>0</v>
      </c>
      <c r="AS73" s="66">
        <f t="shared" si="73"/>
        <v>0</v>
      </c>
      <c r="AT73" s="66">
        <f t="shared" si="74"/>
        <v>0</v>
      </c>
      <c r="AV73" s="307"/>
      <c r="AW73" s="66"/>
      <c r="AX73" s="66"/>
      <c r="AY73" s="66">
        <f aca="true" t="shared" si="77" ref="AY73:BE73">AN73</f>
        <v>0</v>
      </c>
      <c r="AZ73" s="66">
        <f t="shared" si="77"/>
        <v>0</v>
      </c>
      <c r="BA73" s="66">
        <f t="shared" si="77"/>
        <v>0</v>
      </c>
      <c r="BB73" s="66">
        <f t="shared" si="77"/>
        <v>0</v>
      </c>
      <c r="BC73" s="66">
        <f t="shared" si="77"/>
        <v>0</v>
      </c>
      <c r="BD73" s="66">
        <f t="shared" si="77"/>
        <v>0</v>
      </c>
      <c r="BE73" s="66">
        <f t="shared" si="77"/>
        <v>0</v>
      </c>
      <c r="BF73" s="66"/>
      <c r="BG73" s="66"/>
      <c r="BH73" s="66"/>
      <c r="BI73" s="66"/>
      <c r="BJ73" s="66"/>
      <c r="BK73" s="279">
        <f t="shared" si="65"/>
        <v>0</v>
      </c>
    </row>
    <row r="74" spans="3:63" ht="14.25" customHeight="1">
      <c r="C74" s="446"/>
      <c r="D74" s="293" t="s">
        <v>312</v>
      </c>
      <c r="E74" s="447"/>
      <c r="F74" s="447"/>
      <c r="G74" s="447"/>
      <c r="H74" s="448"/>
      <c r="I74" s="36"/>
      <c r="K74" s="145"/>
      <c r="L74" s="40"/>
      <c r="M74" s="40"/>
      <c r="N74" s="40"/>
      <c r="O74" s="60">
        <f aca="true" t="shared" si="78" ref="O74:AD74">O19</f>
        <v>2005</v>
      </c>
      <c r="P74" s="60">
        <f t="shared" si="78"/>
        <v>2006</v>
      </c>
      <c r="Q74" s="60">
        <f t="shared" si="78"/>
        <v>2007</v>
      </c>
      <c r="R74" s="60">
        <f t="shared" si="78"/>
        <v>2008</v>
      </c>
      <c r="S74" s="60">
        <f t="shared" si="78"/>
        <v>2009</v>
      </c>
      <c r="T74" s="60">
        <f t="shared" si="78"/>
        <v>2010</v>
      </c>
      <c r="U74" s="60">
        <f t="shared" si="78"/>
        <v>2011</v>
      </c>
      <c r="V74" s="60">
        <f t="shared" si="78"/>
        <v>2012</v>
      </c>
      <c r="W74" s="60">
        <f t="shared" si="78"/>
        <v>2013</v>
      </c>
      <c r="X74" s="60">
        <f t="shared" si="78"/>
        <v>2014</v>
      </c>
      <c r="Y74" s="60">
        <f t="shared" si="78"/>
        <v>2015</v>
      </c>
      <c r="Z74" s="60">
        <f t="shared" si="78"/>
        <v>2016</v>
      </c>
      <c r="AA74" s="60">
        <f t="shared" si="78"/>
        <v>2017</v>
      </c>
      <c r="AB74" s="60">
        <f t="shared" si="78"/>
        <v>2018</v>
      </c>
      <c r="AC74" s="60">
        <f t="shared" si="78"/>
        <v>2019</v>
      </c>
      <c r="AD74" s="60">
        <f t="shared" si="78"/>
        <v>2020</v>
      </c>
      <c r="AE74" s="144"/>
      <c r="AH74" s="60">
        <f t="shared" si="63"/>
        <v>2010</v>
      </c>
      <c r="AI74" s="60">
        <v>5</v>
      </c>
      <c r="AJ74" s="139">
        <f t="shared" si="66"/>
        <v>0</v>
      </c>
      <c r="AK74" s="320">
        <v>0</v>
      </c>
      <c r="AL74" s="321">
        <v>0</v>
      </c>
      <c r="AM74" s="274">
        <f t="shared" si="67"/>
        <v>0</v>
      </c>
      <c r="AN74" s="66">
        <f t="shared" si="68"/>
        <v>0</v>
      </c>
      <c r="AO74" s="66">
        <f t="shared" si="69"/>
        <v>0</v>
      </c>
      <c r="AP74" s="66">
        <f t="shared" si="70"/>
        <v>0</v>
      </c>
      <c r="AQ74" s="66">
        <f t="shared" si="71"/>
        <v>0</v>
      </c>
      <c r="AR74" s="66">
        <f t="shared" si="72"/>
        <v>0</v>
      </c>
      <c r="AS74" s="66">
        <f t="shared" si="73"/>
        <v>0</v>
      </c>
      <c r="AT74" s="66">
        <f t="shared" si="74"/>
        <v>0</v>
      </c>
      <c r="AV74" s="307"/>
      <c r="AW74" s="66"/>
      <c r="AX74" s="66"/>
      <c r="AY74" s="66"/>
      <c r="AZ74" s="66">
        <f aca="true" t="shared" si="79" ref="AZ74:BF74">AN74</f>
        <v>0</v>
      </c>
      <c r="BA74" s="66">
        <f t="shared" si="79"/>
        <v>0</v>
      </c>
      <c r="BB74" s="66">
        <f t="shared" si="79"/>
        <v>0</v>
      </c>
      <c r="BC74" s="66">
        <f t="shared" si="79"/>
        <v>0</v>
      </c>
      <c r="BD74" s="66">
        <f t="shared" si="79"/>
        <v>0</v>
      </c>
      <c r="BE74" s="66">
        <f t="shared" si="79"/>
        <v>0</v>
      </c>
      <c r="BF74" s="66">
        <f t="shared" si="79"/>
        <v>0</v>
      </c>
      <c r="BG74" s="66"/>
      <c r="BH74" s="66"/>
      <c r="BI74" s="66"/>
      <c r="BJ74" s="66"/>
      <c r="BK74" s="279">
        <f t="shared" si="65"/>
        <v>0</v>
      </c>
    </row>
    <row r="75" spans="4:63" ht="13.5" customHeight="1">
      <c r="D75" s="10"/>
      <c r="E75" s="3"/>
      <c r="F75" s="3"/>
      <c r="I75" s="36"/>
      <c r="J75" s="60"/>
      <c r="K75" s="145"/>
      <c r="L75" s="40"/>
      <c r="M75" s="40"/>
      <c r="N75" s="40"/>
      <c r="O75" s="62" t="str">
        <f aca="true" t="shared" si="80" ref="O75:AD75">O20</f>
        <v>Base Year = Yr 0</v>
      </c>
      <c r="P75" s="62" t="str">
        <f t="shared" si="80"/>
        <v>Year 1</v>
      </c>
      <c r="Q75" s="62" t="str">
        <f t="shared" si="80"/>
        <v>Year 2</v>
      </c>
      <c r="R75" s="62" t="str">
        <f t="shared" si="80"/>
        <v>Year 3</v>
      </c>
      <c r="S75" s="62" t="str">
        <f t="shared" si="80"/>
        <v>Year 4</v>
      </c>
      <c r="T75" s="62" t="str">
        <f t="shared" si="80"/>
        <v>Year 5</v>
      </c>
      <c r="U75" s="62" t="str">
        <f t="shared" si="80"/>
        <v>Year 6</v>
      </c>
      <c r="V75" s="62" t="str">
        <f t="shared" si="80"/>
        <v>Year 7</v>
      </c>
      <c r="W75" s="62" t="str">
        <f t="shared" si="80"/>
        <v>Year 8</v>
      </c>
      <c r="X75" s="62" t="str">
        <f t="shared" si="80"/>
        <v>Year 9</v>
      </c>
      <c r="Y75" s="62" t="str">
        <f t="shared" si="80"/>
        <v>Year 10</v>
      </c>
      <c r="Z75" s="62" t="str">
        <f t="shared" si="80"/>
        <v>Year 11</v>
      </c>
      <c r="AA75" s="62" t="str">
        <f t="shared" si="80"/>
        <v>Year 12</v>
      </c>
      <c r="AB75" s="62" t="str">
        <f t="shared" si="80"/>
        <v>Year 13</v>
      </c>
      <c r="AC75" s="62" t="str">
        <f t="shared" si="80"/>
        <v>Year 14</v>
      </c>
      <c r="AD75" s="62" t="str">
        <f t="shared" si="80"/>
        <v>Year 15</v>
      </c>
      <c r="AE75" s="144"/>
      <c r="AH75" s="60">
        <f t="shared" si="63"/>
        <v>2011</v>
      </c>
      <c r="AI75" s="60">
        <v>6</v>
      </c>
      <c r="AJ75" s="139">
        <f t="shared" si="66"/>
        <v>0</v>
      </c>
      <c r="AK75" s="320">
        <v>0</v>
      </c>
      <c r="AL75" s="321">
        <v>0</v>
      </c>
      <c r="AM75" s="274">
        <f t="shared" si="67"/>
        <v>0</v>
      </c>
      <c r="AN75" s="66">
        <f t="shared" si="68"/>
        <v>0</v>
      </c>
      <c r="AO75" s="66">
        <f t="shared" si="69"/>
        <v>0</v>
      </c>
      <c r="AP75" s="66">
        <f t="shared" si="70"/>
        <v>0</v>
      </c>
      <c r="AQ75" s="66">
        <f t="shared" si="71"/>
        <v>0</v>
      </c>
      <c r="AR75" s="66">
        <f t="shared" si="72"/>
        <v>0</v>
      </c>
      <c r="AS75" s="66">
        <f t="shared" si="73"/>
        <v>0</v>
      </c>
      <c r="AT75" s="66">
        <f t="shared" si="74"/>
        <v>0</v>
      </c>
      <c r="AV75" s="307"/>
      <c r="AW75" s="66"/>
      <c r="AX75" s="66"/>
      <c r="AY75" s="66"/>
      <c r="AZ75" s="66"/>
      <c r="BA75" s="66">
        <f aca="true" t="shared" si="81" ref="BA75:BG75">AN75</f>
        <v>0</v>
      </c>
      <c r="BB75" s="66">
        <f t="shared" si="81"/>
        <v>0</v>
      </c>
      <c r="BC75" s="66">
        <f t="shared" si="81"/>
        <v>0</v>
      </c>
      <c r="BD75" s="66">
        <f t="shared" si="81"/>
        <v>0</v>
      </c>
      <c r="BE75" s="66">
        <f t="shared" si="81"/>
        <v>0</v>
      </c>
      <c r="BF75" s="66">
        <f t="shared" si="81"/>
        <v>0</v>
      </c>
      <c r="BG75" s="66">
        <f t="shared" si="81"/>
        <v>0</v>
      </c>
      <c r="BH75" s="66"/>
      <c r="BI75" s="66"/>
      <c r="BJ75" s="66"/>
      <c r="BK75" s="279">
        <f t="shared" si="65"/>
        <v>0</v>
      </c>
    </row>
    <row r="76" spans="3:63" ht="13.5" customHeight="1">
      <c r="C76" s="2" t="s">
        <v>51</v>
      </c>
      <c r="E76" s="4" t="s">
        <v>23</v>
      </c>
      <c r="F76" s="46" t="s">
        <v>20</v>
      </c>
      <c r="G76" s="60"/>
      <c r="H76" s="4" t="s">
        <v>143</v>
      </c>
      <c r="I76" s="36"/>
      <c r="J76" s="60"/>
      <c r="K76" s="145"/>
      <c r="L76" s="40"/>
      <c r="M76" s="40"/>
      <c r="N76" s="40"/>
      <c r="O76" s="72"/>
      <c r="P76" s="72"/>
      <c r="Q76" s="72"/>
      <c r="R76" s="72"/>
      <c r="S76" s="72"/>
      <c r="T76" s="72"/>
      <c r="U76" s="72"/>
      <c r="V76" s="72"/>
      <c r="W76" s="72"/>
      <c r="X76" s="72"/>
      <c r="Y76" s="72"/>
      <c r="Z76" s="72"/>
      <c r="AA76" s="72"/>
      <c r="AB76" s="72"/>
      <c r="AC76" s="72"/>
      <c r="AD76" s="72"/>
      <c r="AE76" s="41"/>
      <c r="AH76" s="60">
        <f t="shared" si="63"/>
        <v>2012</v>
      </c>
      <c r="AI76" s="60">
        <v>7</v>
      </c>
      <c r="AJ76" s="139">
        <f t="shared" si="66"/>
        <v>0</v>
      </c>
      <c r="AK76" s="320">
        <v>0</v>
      </c>
      <c r="AL76" s="321">
        <v>0</v>
      </c>
      <c r="AM76" s="274">
        <f t="shared" si="67"/>
        <v>0</v>
      </c>
      <c r="AN76" s="66">
        <f t="shared" si="68"/>
        <v>0</v>
      </c>
      <c r="AO76" s="66">
        <f t="shared" si="69"/>
        <v>0</v>
      </c>
      <c r="AP76" s="66">
        <f t="shared" si="70"/>
        <v>0</v>
      </c>
      <c r="AQ76" s="66">
        <f t="shared" si="71"/>
        <v>0</v>
      </c>
      <c r="AR76" s="66">
        <f t="shared" si="72"/>
        <v>0</v>
      </c>
      <c r="AS76" s="66">
        <f t="shared" si="73"/>
        <v>0</v>
      </c>
      <c r="AT76" s="66">
        <f t="shared" si="74"/>
        <v>0</v>
      </c>
      <c r="AV76" s="307"/>
      <c r="AW76" s="66"/>
      <c r="AX76" s="66"/>
      <c r="AY76" s="66"/>
      <c r="AZ76" s="66"/>
      <c r="BA76" s="66"/>
      <c r="BB76" s="66">
        <f aca="true" t="shared" si="82" ref="BB76:BH76">AN76</f>
        <v>0</v>
      </c>
      <c r="BC76" s="66">
        <f t="shared" si="82"/>
        <v>0</v>
      </c>
      <c r="BD76" s="66">
        <f t="shared" si="82"/>
        <v>0</v>
      </c>
      <c r="BE76" s="66">
        <f t="shared" si="82"/>
        <v>0</v>
      </c>
      <c r="BF76" s="66">
        <f t="shared" si="82"/>
        <v>0</v>
      </c>
      <c r="BG76" s="66">
        <f t="shared" si="82"/>
        <v>0</v>
      </c>
      <c r="BH76" s="66">
        <f t="shared" si="82"/>
        <v>0</v>
      </c>
      <c r="BI76" s="66"/>
      <c r="BJ76" s="66"/>
      <c r="BK76" s="279">
        <f t="shared" si="65"/>
        <v>0</v>
      </c>
    </row>
    <row r="77" spans="2:63" ht="13.5" customHeight="1">
      <c r="B77" s="11"/>
      <c r="C77" s="3" t="s">
        <v>139</v>
      </c>
      <c r="D77" s="4" t="s">
        <v>52</v>
      </c>
      <c r="E77" s="46" t="s">
        <v>41</v>
      </c>
      <c r="F77" s="4" t="s">
        <v>140</v>
      </c>
      <c r="G77" s="390" t="s">
        <v>387</v>
      </c>
      <c r="H77" s="4" t="s">
        <v>144</v>
      </c>
      <c r="I77" s="36"/>
      <c r="J77" s="60"/>
      <c r="K77" s="145"/>
      <c r="L77" s="40"/>
      <c r="M77" s="40"/>
      <c r="N77" s="40"/>
      <c r="O77" s="72"/>
      <c r="P77" s="72"/>
      <c r="Q77" s="72"/>
      <c r="R77" s="72"/>
      <c r="S77" s="72"/>
      <c r="T77" s="72"/>
      <c r="U77" s="72"/>
      <c r="V77" s="72"/>
      <c r="W77" s="72"/>
      <c r="X77" s="72"/>
      <c r="Y77" s="72"/>
      <c r="Z77" s="72"/>
      <c r="AA77" s="72"/>
      <c r="AB77" s="72"/>
      <c r="AC77" s="72"/>
      <c r="AD77" s="72"/>
      <c r="AE77" s="41"/>
      <c r="AH77" s="60">
        <f t="shared" si="63"/>
        <v>2013</v>
      </c>
      <c r="AI77" s="60">
        <v>8</v>
      </c>
      <c r="AJ77" s="139">
        <f t="shared" si="66"/>
        <v>0</v>
      </c>
      <c r="AK77" s="320">
        <v>0</v>
      </c>
      <c r="AL77" s="321">
        <v>0</v>
      </c>
      <c r="AM77" s="274">
        <f t="shared" si="67"/>
        <v>0</v>
      </c>
      <c r="AN77" s="66">
        <f t="shared" si="68"/>
        <v>0</v>
      </c>
      <c r="AO77" s="66">
        <f t="shared" si="69"/>
        <v>0</v>
      </c>
      <c r="AP77" s="66">
        <f t="shared" si="70"/>
        <v>0</v>
      </c>
      <c r="AQ77" s="66">
        <f t="shared" si="71"/>
        <v>0</v>
      </c>
      <c r="AR77" s="66">
        <f t="shared" si="72"/>
        <v>0</v>
      </c>
      <c r="AS77" s="66">
        <f t="shared" si="73"/>
        <v>0</v>
      </c>
      <c r="AT77" s="66">
        <f t="shared" si="74"/>
        <v>0</v>
      </c>
      <c r="AV77" s="307"/>
      <c r="AW77" s="66"/>
      <c r="AX77" s="66"/>
      <c r="AY77" s="66"/>
      <c r="AZ77" s="66"/>
      <c r="BA77" s="66"/>
      <c r="BB77" s="66"/>
      <c r="BC77" s="66">
        <f aca="true" t="shared" si="83" ref="BC77:BI77">AN77</f>
        <v>0</v>
      </c>
      <c r="BD77" s="66">
        <f t="shared" si="83"/>
        <v>0</v>
      </c>
      <c r="BE77" s="66">
        <f t="shared" si="83"/>
        <v>0</v>
      </c>
      <c r="BF77" s="66">
        <f t="shared" si="83"/>
        <v>0</v>
      </c>
      <c r="BG77" s="66">
        <f t="shared" si="83"/>
        <v>0</v>
      </c>
      <c r="BH77" s="66">
        <f t="shared" si="83"/>
        <v>0</v>
      </c>
      <c r="BI77" s="66">
        <f t="shared" si="83"/>
        <v>0</v>
      </c>
      <c r="BJ77" s="66"/>
      <c r="BK77" s="279">
        <f t="shared" si="65"/>
        <v>0</v>
      </c>
    </row>
    <row r="78" spans="2:63" ht="13.5" customHeight="1">
      <c r="B78" s="23"/>
      <c r="C78" s="392" t="s">
        <v>53</v>
      </c>
      <c r="D78" s="387" t="s">
        <v>54</v>
      </c>
      <c r="E78" s="220">
        <v>1.5</v>
      </c>
      <c r="F78" s="216">
        <v>75</v>
      </c>
      <c r="G78" s="66">
        <f>E78*$G$22</f>
        <v>300</v>
      </c>
      <c r="H78" s="70">
        <f aca="true" t="shared" si="84" ref="H78:H86">F78*E78</f>
        <v>112.5</v>
      </c>
      <c r="I78" s="36"/>
      <c r="J78" s="60"/>
      <c r="K78" s="145"/>
      <c r="L78" s="40"/>
      <c r="M78" s="40"/>
      <c r="N78" s="40"/>
      <c r="O78" s="72"/>
      <c r="P78" s="72"/>
      <c r="Q78" s="72"/>
      <c r="R78" s="72"/>
      <c r="S78" s="72"/>
      <c r="T78" s="72"/>
      <c r="U78" s="72"/>
      <c r="V78" s="72"/>
      <c r="W78" s="72"/>
      <c r="X78" s="72"/>
      <c r="Y78" s="72"/>
      <c r="Z78" s="72"/>
      <c r="AA78" s="72"/>
      <c r="AB78" s="72"/>
      <c r="AC78" s="72"/>
      <c r="AD78" s="72"/>
      <c r="AE78" s="41"/>
      <c r="AH78" s="60">
        <f t="shared" si="63"/>
        <v>2014</v>
      </c>
      <c r="AI78" s="60">
        <v>9</v>
      </c>
      <c r="AJ78" s="139">
        <f t="shared" si="66"/>
        <v>0</v>
      </c>
      <c r="AK78" s="320">
        <v>0</v>
      </c>
      <c r="AL78" s="321">
        <v>0</v>
      </c>
      <c r="AM78" s="274">
        <f t="shared" si="67"/>
        <v>0</v>
      </c>
      <c r="AN78" s="66">
        <f t="shared" si="68"/>
        <v>0</v>
      </c>
      <c r="AO78" s="66">
        <f t="shared" si="69"/>
        <v>0</v>
      </c>
      <c r="AP78" s="66">
        <f t="shared" si="70"/>
        <v>0</v>
      </c>
      <c r="AQ78" s="66">
        <f t="shared" si="71"/>
        <v>0</v>
      </c>
      <c r="AR78" s="66">
        <f t="shared" si="72"/>
        <v>0</v>
      </c>
      <c r="AS78" s="66">
        <f t="shared" si="73"/>
        <v>0</v>
      </c>
      <c r="AT78" s="66">
        <f t="shared" si="74"/>
        <v>0</v>
      </c>
      <c r="AV78" s="307"/>
      <c r="AW78" s="66"/>
      <c r="AX78" s="66"/>
      <c r="AY78" s="66"/>
      <c r="AZ78" s="66"/>
      <c r="BA78" s="66"/>
      <c r="BB78" s="66"/>
      <c r="BC78" s="66"/>
      <c r="BD78" s="66">
        <f aca="true" t="shared" si="85" ref="BD78:BJ78">AN78</f>
        <v>0</v>
      </c>
      <c r="BE78" s="66">
        <f t="shared" si="85"/>
        <v>0</v>
      </c>
      <c r="BF78" s="66">
        <f t="shared" si="85"/>
        <v>0</v>
      </c>
      <c r="BG78" s="66">
        <f t="shared" si="85"/>
        <v>0</v>
      </c>
      <c r="BH78" s="66">
        <f t="shared" si="85"/>
        <v>0</v>
      </c>
      <c r="BI78" s="66">
        <f t="shared" si="85"/>
        <v>0</v>
      </c>
      <c r="BJ78" s="66">
        <f t="shared" si="85"/>
        <v>0</v>
      </c>
      <c r="BK78" s="279">
        <f t="shared" si="65"/>
        <v>0</v>
      </c>
    </row>
    <row r="79" spans="2:63" ht="13.5" customHeight="1">
      <c r="B79" s="69" t="s">
        <v>87</v>
      </c>
      <c r="C79" s="394" t="s">
        <v>397</v>
      </c>
      <c r="D79" s="395" t="s">
        <v>55</v>
      </c>
      <c r="E79" s="222">
        <v>8</v>
      </c>
      <c r="F79" s="214">
        <v>0</v>
      </c>
      <c r="G79" s="66">
        <f aca="true" t="shared" si="86" ref="G79:G86">E79*$G$22</f>
        <v>1600</v>
      </c>
      <c r="H79" s="70">
        <f t="shared" si="84"/>
        <v>0</v>
      </c>
      <c r="I79" s="36"/>
      <c r="J79" s="60"/>
      <c r="K79" s="145"/>
      <c r="L79" s="40"/>
      <c r="M79" s="40"/>
      <c r="N79" s="40"/>
      <c r="O79" s="72"/>
      <c r="P79" s="72"/>
      <c r="Q79" s="72"/>
      <c r="R79" s="72"/>
      <c r="S79" s="72"/>
      <c r="T79" s="72"/>
      <c r="U79" s="72"/>
      <c r="V79" s="72"/>
      <c r="W79" s="72"/>
      <c r="X79" s="72"/>
      <c r="Y79" s="72"/>
      <c r="Z79" s="72"/>
      <c r="AA79" s="72"/>
      <c r="AB79" s="72"/>
      <c r="AC79" s="72"/>
      <c r="AD79" s="72"/>
      <c r="AE79" s="41"/>
      <c r="AH79" s="60">
        <f t="shared" si="63"/>
        <v>2015</v>
      </c>
      <c r="AI79" s="60">
        <v>10</v>
      </c>
      <c r="AJ79" s="139">
        <f t="shared" si="66"/>
        <v>0</v>
      </c>
      <c r="AK79" s="320">
        <v>0</v>
      </c>
      <c r="AL79" s="321">
        <v>0</v>
      </c>
      <c r="AM79" s="274">
        <f t="shared" si="67"/>
        <v>0</v>
      </c>
      <c r="AN79" s="66">
        <f t="shared" si="68"/>
        <v>0</v>
      </c>
      <c r="AO79" s="66">
        <f t="shared" si="69"/>
        <v>0</v>
      </c>
      <c r="AP79" s="66">
        <f t="shared" si="70"/>
        <v>0</v>
      </c>
      <c r="AQ79" s="66">
        <f t="shared" si="71"/>
        <v>0</v>
      </c>
      <c r="AR79" s="66">
        <f t="shared" si="72"/>
        <v>0</v>
      </c>
      <c r="AS79" s="66">
        <f t="shared" si="73"/>
        <v>0</v>
      </c>
      <c r="AT79" s="66">
        <f t="shared" si="74"/>
        <v>0</v>
      </c>
      <c r="AV79" s="307"/>
      <c r="AW79" s="66"/>
      <c r="AX79" s="66"/>
      <c r="AY79" s="66"/>
      <c r="AZ79" s="66"/>
      <c r="BA79" s="66"/>
      <c r="BB79" s="66"/>
      <c r="BC79" s="66"/>
      <c r="BD79" s="66"/>
      <c r="BE79" s="66">
        <f aca="true" t="shared" si="87" ref="BE79:BJ79">AN79</f>
        <v>0</v>
      </c>
      <c r="BF79" s="66">
        <f t="shared" si="87"/>
        <v>0</v>
      </c>
      <c r="BG79" s="66">
        <f t="shared" si="87"/>
        <v>0</v>
      </c>
      <c r="BH79" s="66">
        <f t="shared" si="87"/>
        <v>0</v>
      </c>
      <c r="BI79" s="66">
        <f t="shared" si="87"/>
        <v>0</v>
      </c>
      <c r="BJ79" s="66">
        <f t="shared" si="87"/>
        <v>0</v>
      </c>
      <c r="BK79" s="279">
        <f t="shared" si="65"/>
        <v>0</v>
      </c>
    </row>
    <row r="80" spans="2:64" ht="13.5" customHeight="1">
      <c r="B80" s="23"/>
      <c r="C80" s="221" t="s">
        <v>56</v>
      </c>
      <c r="D80" s="213" t="s">
        <v>55</v>
      </c>
      <c r="E80" s="222">
        <v>0</v>
      </c>
      <c r="F80" s="214">
        <v>0</v>
      </c>
      <c r="G80" s="66">
        <f t="shared" si="86"/>
        <v>0</v>
      </c>
      <c r="H80" s="70">
        <f t="shared" si="84"/>
        <v>0</v>
      </c>
      <c r="I80" s="36"/>
      <c r="K80" s="145"/>
      <c r="L80" s="40"/>
      <c r="M80" s="40"/>
      <c r="N80" s="40"/>
      <c r="O80" s="72"/>
      <c r="P80" s="72"/>
      <c r="Q80" s="72"/>
      <c r="R80" s="72"/>
      <c r="S80" s="72"/>
      <c r="T80" s="72"/>
      <c r="U80" s="72"/>
      <c r="V80" s="72"/>
      <c r="W80" s="72"/>
      <c r="X80" s="72"/>
      <c r="Y80" s="72"/>
      <c r="Z80" s="72"/>
      <c r="AA80" s="72"/>
      <c r="AB80" s="72"/>
      <c r="AC80" s="72"/>
      <c r="AD80" s="72"/>
      <c r="AE80" s="41"/>
      <c r="AH80" s="60">
        <f t="shared" si="63"/>
        <v>2016</v>
      </c>
      <c r="AI80" s="60">
        <v>11</v>
      </c>
      <c r="AJ80" s="139">
        <f t="shared" si="66"/>
        <v>0</v>
      </c>
      <c r="AK80" s="320">
        <v>0</v>
      </c>
      <c r="AL80" s="321">
        <v>0</v>
      </c>
      <c r="AM80" s="274">
        <f t="shared" si="67"/>
        <v>0</v>
      </c>
      <c r="AN80" s="66">
        <f t="shared" si="68"/>
        <v>0</v>
      </c>
      <c r="AO80" s="66">
        <f t="shared" si="69"/>
        <v>0</v>
      </c>
      <c r="AP80" s="66">
        <f t="shared" si="70"/>
        <v>0</v>
      </c>
      <c r="AQ80" s="66">
        <f t="shared" si="71"/>
        <v>0</v>
      </c>
      <c r="AR80" s="66">
        <f t="shared" si="72"/>
        <v>0</v>
      </c>
      <c r="AS80" s="66">
        <f t="shared" si="73"/>
        <v>0</v>
      </c>
      <c r="AT80" s="66">
        <f t="shared" si="74"/>
        <v>0</v>
      </c>
      <c r="AV80" s="307"/>
      <c r="AW80" s="66"/>
      <c r="AX80" s="66"/>
      <c r="AY80" s="66"/>
      <c r="AZ80" s="66"/>
      <c r="BA80" s="66"/>
      <c r="BB80" s="66"/>
      <c r="BC80" s="66"/>
      <c r="BD80" s="66"/>
      <c r="BE80" s="66"/>
      <c r="BF80" s="66">
        <f>AN80</f>
        <v>0</v>
      </c>
      <c r="BG80" s="66">
        <f>AO80</f>
        <v>0</v>
      </c>
      <c r="BH80" s="66">
        <f>AP80</f>
        <v>0</v>
      </c>
      <c r="BI80" s="66">
        <f>AQ80</f>
        <v>0</v>
      </c>
      <c r="BJ80" s="66">
        <f>AR80</f>
        <v>0</v>
      </c>
      <c r="BK80" s="279">
        <f t="shared" si="65"/>
        <v>0</v>
      </c>
      <c r="BL80" s="36"/>
    </row>
    <row r="81" spans="2:64" ht="13.5" customHeight="1">
      <c r="B81" s="23"/>
      <c r="C81" s="221" t="s">
        <v>160</v>
      </c>
      <c r="D81" s="213" t="s">
        <v>141</v>
      </c>
      <c r="E81" s="222">
        <f>0.2*180</f>
        <v>36</v>
      </c>
      <c r="F81" s="214">
        <v>0.15</v>
      </c>
      <c r="G81" s="66">
        <f t="shared" si="86"/>
        <v>7200</v>
      </c>
      <c r="H81" s="70">
        <f t="shared" si="84"/>
        <v>5.3999999999999995</v>
      </c>
      <c r="I81" s="36"/>
      <c r="K81" s="145"/>
      <c r="L81" s="40"/>
      <c r="M81" s="40"/>
      <c r="N81" s="40"/>
      <c r="O81" s="72"/>
      <c r="P81" s="72"/>
      <c r="Q81" s="72"/>
      <c r="R81" s="72"/>
      <c r="S81" s="72"/>
      <c r="T81" s="72"/>
      <c r="U81" s="72"/>
      <c r="V81" s="72"/>
      <c r="W81" s="72"/>
      <c r="X81" s="72"/>
      <c r="Y81" s="72"/>
      <c r="Z81" s="72"/>
      <c r="AA81" s="72"/>
      <c r="AB81" s="72"/>
      <c r="AC81" s="72"/>
      <c r="AD81" s="72"/>
      <c r="AE81" s="41"/>
      <c r="AH81" s="60">
        <f t="shared" si="63"/>
        <v>2017</v>
      </c>
      <c r="AI81" s="60">
        <v>12</v>
      </c>
      <c r="AJ81" s="139">
        <f t="shared" si="66"/>
        <v>0</v>
      </c>
      <c r="AK81" s="320">
        <v>0</v>
      </c>
      <c r="AL81" s="321">
        <v>0</v>
      </c>
      <c r="AM81" s="274">
        <f t="shared" si="67"/>
        <v>0</v>
      </c>
      <c r="AN81" s="66">
        <f t="shared" si="68"/>
        <v>0</v>
      </c>
      <c r="AO81" s="66">
        <f t="shared" si="69"/>
        <v>0</v>
      </c>
      <c r="AP81" s="66">
        <f t="shared" si="70"/>
        <v>0</v>
      </c>
      <c r="AQ81" s="66">
        <f t="shared" si="71"/>
        <v>0</v>
      </c>
      <c r="AR81" s="66">
        <f t="shared" si="72"/>
        <v>0</v>
      </c>
      <c r="AS81" s="66">
        <f t="shared" si="73"/>
        <v>0</v>
      </c>
      <c r="AT81" s="66">
        <f t="shared" si="74"/>
        <v>0</v>
      </c>
      <c r="AV81" s="307"/>
      <c r="AW81" s="66"/>
      <c r="AX81" s="66"/>
      <c r="AY81" s="66"/>
      <c r="AZ81" s="66"/>
      <c r="BA81" s="66"/>
      <c r="BB81" s="66"/>
      <c r="BC81" s="66"/>
      <c r="BD81" s="66"/>
      <c r="BE81" s="66"/>
      <c r="BF81" s="66"/>
      <c r="BG81" s="66">
        <f>AN81</f>
        <v>0</v>
      </c>
      <c r="BH81" s="66">
        <f>AO81</f>
        <v>0</v>
      </c>
      <c r="BI81" s="66">
        <f>AP81</f>
        <v>0</v>
      </c>
      <c r="BJ81" s="66">
        <f>AQ81</f>
        <v>0</v>
      </c>
      <c r="BK81" s="279">
        <f t="shared" si="65"/>
        <v>0</v>
      </c>
      <c r="BL81" s="36"/>
    </row>
    <row r="82" spans="2:64" ht="13.5" customHeight="1">
      <c r="B82" s="23"/>
      <c r="C82" s="221" t="s">
        <v>142</v>
      </c>
      <c r="D82" s="213" t="s">
        <v>141</v>
      </c>
      <c r="E82" s="222">
        <f>2*180</f>
        <v>360</v>
      </c>
      <c r="F82" s="214">
        <v>0.1</v>
      </c>
      <c r="G82" s="66">
        <f t="shared" si="86"/>
        <v>72000</v>
      </c>
      <c r="H82" s="70">
        <f t="shared" si="84"/>
        <v>36</v>
      </c>
      <c r="I82" s="36"/>
      <c r="J82" s="36"/>
      <c r="K82" s="145"/>
      <c r="L82" s="40"/>
      <c r="M82" s="40"/>
      <c r="N82" s="40"/>
      <c r="O82" s="72"/>
      <c r="P82" s="72"/>
      <c r="Q82" s="72"/>
      <c r="R82" s="72"/>
      <c r="S82" s="72"/>
      <c r="T82" s="72"/>
      <c r="U82" s="72"/>
      <c r="V82" s="72"/>
      <c r="W82" s="72"/>
      <c r="X82" s="72"/>
      <c r="Y82" s="72"/>
      <c r="Z82" s="72"/>
      <c r="AA82" s="72"/>
      <c r="AB82" s="72"/>
      <c r="AC82" s="72"/>
      <c r="AD82" s="72"/>
      <c r="AE82" s="41"/>
      <c r="AH82" s="60">
        <f t="shared" si="63"/>
        <v>2018</v>
      </c>
      <c r="AI82" s="60">
        <v>13</v>
      </c>
      <c r="AJ82" s="139">
        <f t="shared" si="66"/>
        <v>0</v>
      </c>
      <c r="AK82" s="320">
        <v>0</v>
      </c>
      <c r="AL82" s="321">
        <v>0</v>
      </c>
      <c r="AM82" s="274">
        <f t="shared" si="67"/>
        <v>0</v>
      </c>
      <c r="AN82" s="66">
        <f t="shared" si="68"/>
        <v>0</v>
      </c>
      <c r="AO82" s="66">
        <f t="shared" si="69"/>
        <v>0</v>
      </c>
      <c r="AP82" s="66">
        <f t="shared" si="70"/>
        <v>0</v>
      </c>
      <c r="AQ82" s="66">
        <f t="shared" si="71"/>
        <v>0</v>
      </c>
      <c r="AR82" s="66">
        <f t="shared" si="72"/>
        <v>0</v>
      </c>
      <c r="AS82" s="66">
        <f t="shared" si="73"/>
        <v>0</v>
      </c>
      <c r="AT82" s="66">
        <f t="shared" si="74"/>
        <v>0</v>
      </c>
      <c r="AV82" s="307"/>
      <c r="AW82" s="66"/>
      <c r="AX82" s="66"/>
      <c r="AY82" s="66"/>
      <c r="AZ82" s="66"/>
      <c r="BA82" s="66"/>
      <c r="BB82" s="66"/>
      <c r="BC82" s="66"/>
      <c r="BD82" s="66"/>
      <c r="BE82" s="66"/>
      <c r="BF82" s="66"/>
      <c r="BG82" s="66"/>
      <c r="BH82" s="66">
        <f>AN82</f>
        <v>0</v>
      </c>
      <c r="BI82" s="66">
        <f>AO82</f>
        <v>0</v>
      </c>
      <c r="BJ82" s="66">
        <f>AP82</f>
        <v>0</v>
      </c>
      <c r="BK82" s="279">
        <f t="shared" si="65"/>
        <v>0</v>
      </c>
      <c r="BL82" s="36"/>
    </row>
    <row r="83" spans="2:64" ht="13.5" customHeight="1">
      <c r="B83" s="23"/>
      <c r="C83" s="221" t="s">
        <v>56</v>
      </c>
      <c r="D83" s="213" t="s">
        <v>54</v>
      </c>
      <c r="E83" s="222">
        <v>0</v>
      </c>
      <c r="F83" s="214">
        <v>0</v>
      </c>
      <c r="G83" s="66">
        <f t="shared" si="86"/>
        <v>0</v>
      </c>
      <c r="H83" s="70">
        <f t="shared" si="84"/>
        <v>0</v>
      </c>
      <c r="I83" s="36"/>
      <c r="J83" s="35"/>
      <c r="K83" s="145"/>
      <c r="L83" s="40"/>
      <c r="M83" s="40"/>
      <c r="N83" s="40"/>
      <c r="O83" s="72"/>
      <c r="P83" s="72"/>
      <c r="Q83" s="72"/>
      <c r="R83" s="72"/>
      <c r="S83" s="72"/>
      <c r="T83" s="72"/>
      <c r="U83" s="72"/>
      <c r="V83" s="72"/>
      <c r="W83" s="72"/>
      <c r="X83" s="72"/>
      <c r="Y83" s="72"/>
      <c r="Z83" s="72"/>
      <c r="AA83" s="72"/>
      <c r="AB83" s="72"/>
      <c r="AC83" s="72"/>
      <c r="AD83" s="72"/>
      <c r="AE83" s="41"/>
      <c r="AH83" s="60">
        <f t="shared" si="63"/>
        <v>2019</v>
      </c>
      <c r="AI83" s="60">
        <v>14</v>
      </c>
      <c r="AJ83" s="139">
        <f t="shared" si="66"/>
        <v>0</v>
      </c>
      <c r="AK83" s="320">
        <v>0</v>
      </c>
      <c r="AL83" s="321">
        <v>0</v>
      </c>
      <c r="AM83" s="274">
        <f t="shared" si="67"/>
        <v>0</v>
      </c>
      <c r="AN83" s="66">
        <f t="shared" si="68"/>
        <v>0</v>
      </c>
      <c r="AO83" s="66">
        <f t="shared" si="69"/>
        <v>0</v>
      </c>
      <c r="AP83" s="66">
        <f t="shared" si="70"/>
        <v>0</v>
      </c>
      <c r="AQ83" s="66">
        <f t="shared" si="71"/>
        <v>0</v>
      </c>
      <c r="AR83" s="66">
        <f t="shared" si="72"/>
        <v>0</v>
      </c>
      <c r="AS83" s="66">
        <f t="shared" si="73"/>
        <v>0</v>
      </c>
      <c r="AT83" s="66">
        <f t="shared" si="74"/>
        <v>0</v>
      </c>
      <c r="AV83" s="307"/>
      <c r="AW83" s="66"/>
      <c r="AX83" s="66"/>
      <c r="AY83" s="66"/>
      <c r="AZ83" s="66"/>
      <c r="BA83" s="66"/>
      <c r="BB83" s="66"/>
      <c r="BC83" s="66"/>
      <c r="BD83" s="66"/>
      <c r="BE83" s="66"/>
      <c r="BF83" s="66"/>
      <c r="BG83" s="66"/>
      <c r="BH83" s="66"/>
      <c r="BI83" s="66">
        <f>AN83</f>
        <v>0</v>
      </c>
      <c r="BJ83" s="66">
        <f>AO83</f>
        <v>0</v>
      </c>
      <c r="BK83" s="279">
        <f t="shared" si="65"/>
        <v>0</v>
      </c>
      <c r="BL83" s="36"/>
    </row>
    <row r="84" spans="2:66" ht="13.5" customHeight="1" thickBot="1">
      <c r="B84" s="23"/>
      <c r="C84" s="221" t="s">
        <v>56</v>
      </c>
      <c r="D84" s="213" t="s">
        <v>54</v>
      </c>
      <c r="E84" s="222">
        <v>0</v>
      </c>
      <c r="F84" s="214">
        <v>0</v>
      </c>
      <c r="G84" s="66">
        <f t="shared" si="86"/>
        <v>0</v>
      </c>
      <c r="H84" s="70">
        <f t="shared" si="84"/>
        <v>0</v>
      </c>
      <c r="I84" s="36"/>
      <c r="J84" s="49" t="s">
        <v>30</v>
      </c>
      <c r="K84" s="145"/>
      <c r="L84" s="40"/>
      <c r="M84" s="40"/>
      <c r="N84" s="40"/>
      <c r="O84" s="72"/>
      <c r="P84" s="72"/>
      <c r="Q84" s="72"/>
      <c r="R84" s="72"/>
      <c r="S84" s="72"/>
      <c r="T84" s="72"/>
      <c r="U84" s="72"/>
      <c r="V84" s="72"/>
      <c r="W84" s="72"/>
      <c r="X84" s="72"/>
      <c r="Y84" s="72"/>
      <c r="Z84" s="72"/>
      <c r="AA84" s="72"/>
      <c r="AB84" s="72"/>
      <c r="AC84" s="72"/>
      <c r="AD84" s="72"/>
      <c r="AE84" s="41"/>
      <c r="AH84" s="60">
        <f t="shared" si="63"/>
        <v>2020</v>
      </c>
      <c r="AI84" s="60">
        <v>15</v>
      </c>
      <c r="AJ84" s="139">
        <f t="shared" si="66"/>
        <v>0</v>
      </c>
      <c r="AK84" s="322">
        <v>0</v>
      </c>
      <c r="AL84" s="323">
        <v>0</v>
      </c>
      <c r="AM84" s="275">
        <f t="shared" si="67"/>
        <v>0</v>
      </c>
      <c r="AN84" s="66">
        <f t="shared" si="68"/>
        <v>0</v>
      </c>
      <c r="AO84" s="66">
        <f t="shared" si="69"/>
        <v>0</v>
      </c>
      <c r="AP84" s="66">
        <f t="shared" si="70"/>
        <v>0</v>
      </c>
      <c r="AQ84" s="66">
        <f t="shared" si="71"/>
        <v>0</v>
      </c>
      <c r="AR84" s="66">
        <f t="shared" si="72"/>
        <v>0</v>
      </c>
      <c r="AS84" s="66">
        <f t="shared" si="73"/>
        <v>0</v>
      </c>
      <c r="AT84" s="66">
        <f t="shared" si="74"/>
        <v>0</v>
      </c>
      <c r="AV84" s="308"/>
      <c r="AW84" s="309"/>
      <c r="AX84" s="309"/>
      <c r="AY84" s="309"/>
      <c r="AZ84" s="309"/>
      <c r="BA84" s="309"/>
      <c r="BB84" s="309"/>
      <c r="BC84" s="309"/>
      <c r="BD84" s="309"/>
      <c r="BE84" s="309"/>
      <c r="BF84" s="309"/>
      <c r="BG84" s="309"/>
      <c r="BH84" s="309"/>
      <c r="BI84" s="309"/>
      <c r="BJ84" s="310">
        <f>AN84</f>
        <v>0</v>
      </c>
      <c r="BK84" s="280">
        <f t="shared" si="65"/>
        <v>0</v>
      </c>
      <c r="BL84" s="36"/>
      <c r="BM84" s="36"/>
      <c r="BN84" s="36"/>
    </row>
    <row r="85" spans="2:66" ht="13.5" customHeight="1" thickTop="1">
      <c r="B85" s="23"/>
      <c r="C85" s="221" t="s">
        <v>56</v>
      </c>
      <c r="D85" s="213" t="s">
        <v>103</v>
      </c>
      <c r="E85" s="222">
        <v>0</v>
      </c>
      <c r="F85" s="214">
        <v>0</v>
      </c>
      <c r="G85" s="66">
        <f t="shared" si="86"/>
        <v>0</v>
      </c>
      <c r="H85" s="70">
        <f t="shared" si="84"/>
        <v>0</v>
      </c>
      <c r="I85" s="36"/>
      <c r="J85" s="21"/>
      <c r="K85" s="145"/>
      <c r="L85" s="40"/>
      <c r="M85" s="40"/>
      <c r="N85" s="40"/>
      <c r="O85" s="72"/>
      <c r="P85" s="72"/>
      <c r="Q85" s="72"/>
      <c r="R85" s="72"/>
      <c r="S85" s="72"/>
      <c r="T85" s="72"/>
      <c r="U85" s="72"/>
      <c r="V85" s="72"/>
      <c r="W85" s="72"/>
      <c r="X85" s="72"/>
      <c r="Y85" s="72"/>
      <c r="Z85" s="72"/>
      <c r="AA85" s="72"/>
      <c r="AB85" s="72"/>
      <c r="AC85" s="72"/>
      <c r="AD85" s="72"/>
      <c r="AE85" s="41"/>
      <c r="AM85" s="60"/>
      <c r="AU85" s="41"/>
      <c r="AV85" s="130">
        <f aca="true" t="shared" si="88" ref="AV85:BJ85">SUM(AV70:AV84)</f>
        <v>0</v>
      </c>
      <c r="AW85" s="130">
        <f t="shared" si="88"/>
        <v>0</v>
      </c>
      <c r="AX85" s="130">
        <f t="shared" si="88"/>
        <v>0</v>
      </c>
      <c r="AY85" s="130">
        <f t="shared" si="88"/>
        <v>0</v>
      </c>
      <c r="AZ85" s="130">
        <f t="shared" si="88"/>
        <v>0</v>
      </c>
      <c r="BA85" s="130">
        <f t="shared" si="88"/>
        <v>0</v>
      </c>
      <c r="BB85" s="130">
        <f t="shared" si="88"/>
        <v>0</v>
      </c>
      <c r="BC85" s="130">
        <f t="shared" si="88"/>
        <v>0</v>
      </c>
      <c r="BD85" s="130">
        <f t="shared" si="88"/>
        <v>0</v>
      </c>
      <c r="BE85" s="130">
        <f t="shared" si="88"/>
        <v>0</v>
      </c>
      <c r="BF85" s="130">
        <f t="shared" si="88"/>
        <v>0</v>
      </c>
      <c r="BG85" s="130">
        <f t="shared" si="88"/>
        <v>0</v>
      </c>
      <c r="BH85" s="130">
        <f t="shared" si="88"/>
        <v>0</v>
      </c>
      <c r="BI85" s="130">
        <f t="shared" si="88"/>
        <v>0</v>
      </c>
      <c r="BJ85" s="130">
        <f t="shared" si="88"/>
        <v>0</v>
      </c>
      <c r="BK85" s="134"/>
      <c r="BL85" s="134"/>
      <c r="BM85" s="36"/>
      <c r="BN85" s="36"/>
    </row>
    <row r="86" spans="2:66" ht="13.5" customHeight="1" thickBot="1">
      <c r="B86" s="23"/>
      <c r="C86" s="223" t="s">
        <v>56</v>
      </c>
      <c r="D86" s="218" t="s">
        <v>103</v>
      </c>
      <c r="E86" s="224">
        <v>0</v>
      </c>
      <c r="F86" s="215">
        <v>0</v>
      </c>
      <c r="G86" s="66">
        <f t="shared" si="86"/>
        <v>0</v>
      </c>
      <c r="H86" s="75">
        <f t="shared" si="84"/>
        <v>0</v>
      </c>
      <c r="I86" s="134"/>
      <c r="K86" s="145"/>
      <c r="L86" s="40"/>
      <c r="M86" s="40"/>
      <c r="N86" s="40"/>
      <c r="O86" s="72"/>
      <c r="P86" s="72"/>
      <c r="Q86" s="72"/>
      <c r="R86" s="72"/>
      <c r="S86" s="72"/>
      <c r="T86" s="72"/>
      <c r="U86" s="72"/>
      <c r="V86" s="72"/>
      <c r="W86" s="72"/>
      <c r="X86" s="72"/>
      <c r="Y86" s="72"/>
      <c r="Z86" s="72"/>
      <c r="AA86" s="72"/>
      <c r="AB86" s="72"/>
      <c r="AC86" s="72"/>
      <c r="AD86" s="72"/>
      <c r="AE86" s="41"/>
      <c r="AT86" s="140" t="s">
        <v>18</v>
      </c>
      <c r="AU86" s="36"/>
      <c r="BK86" s="36"/>
      <c r="BL86" s="36"/>
      <c r="BM86" s="36"/>
      <c r="BN86" s="36"/>
    </row>
    <row r="87" spans="2:66" ht="13.5" customHeight="1" thickTop="1">
      <c r="B87" s="23"/>
      <c r="C87" s="149"/>
      <c r="D87" s="150"/>
      <c r="E87" s="151"/>
      <c r="G87" s="152" t="s">
        <v>162</v>
      </c>
      <c r="H87" s="42">
        <f>SUM(H78:H86)</f>
        <v>153.9</v>
      </c>
      <c r="I87" s="36"/>
      <c r="K87" s="145"/>
      <c r="L87" s="569" t="s">
        <v>189</v>
      </c>
      <c r="M87" s="569"/>
      <c r="N87" s="569"/>
      <c r="O87" s="88">
        <f>$H$87*O25*$G$72</f>
        <v>30780</v>
      </c>
      <c r="P87" s="88">
        <f aca="true" t="shared" si="89" ref="P87:AD87">$H$87*$G$72*P25*P44</f>
        <v>31544.883</v>
      </c>
      <c r="Q87" s="88">
        <f t="shared" si="89"/>
        <v>32654.502</v>
      </c>
      <c r="R87" s="88">
        <f t="shared" si="89"/>
        <v>33634.13706</v>
      </c>
      <c r="S87" s="88">
        <f t="shared" si="89"/>
        <v>34643.1611718</v>
      </c>
      <c r="T87" s="88">
        <f t="shared" si="89"/>
        <v>35682.456006953995</v>
      </c>
      <c r="U87" s="88">
        <f t="shared" si="89"/>
        <v>36752.929687162614</v>
      </c>
      <c r="V87" s="88">
        <f t="shared" si="89"/>
        <v>37855.5175777775</v>
      </c>
      <c r="W87" s="88">
        <f t="shared" si="89"/>
        <v>38991.183105110824</v>
      </c>
      <c r="X87" s="88">
        <f t="shared" si="89"/>
        <v>40160.91859826415</v>
      </c>
      <c r="Y87" s="88">
        <f t="shared" si="89"/>
        <v>41365.74615621207</v>
      </c>
      <c r="Z87" s="88">
        <f t="shared" si="89"/>
        <v>42606.71854089844</v>
      </c>
      <c r="AA87" s="88">
        <f t="shared" si="89"/>
        <v>43884.92009712539</v>
      </c>
      <c r="AB87" s="88">
        <f t="shared" si="89"/>
        <v>45201.46770003915</v>
      </c>
      <c r="AC87" s="88">
        <f t="shared" si="89"/>
        <v>46557.51173104032</v>
      </c>
      <c r="AD87" s="88">
        <f t="shared" si="89"/>
        <v>47954.23708297154</v>
      </c>
      <c r="AE87" s="137"/>
      <c r="AM87" s="60"/>
      <c r="AT87" s="36"/>
      <c r="AU87" s="36"/>
      <c r="AV87" s="36"/>
      <c r="AW87" s="36"/>
      <c r="AX87" s="36"/>
      <c r="AY87" s="36"/>
      <c r="AZ87" s="36"/>
      <c r="BA87" s="36"/>
      <c r="BB87" s="36"/>
      <c r="BC87" s="36"/>
      <c r="BD87" s="36"/>
      <c r="BE87" s="36"/>
      <c r="BF87" s="36"/>
      <c r="BG87" s="36"/>
      <c r="BH87" s="36"/>
      <c r="BI87" s="36"/>
      <c r="BJ87" s="36"/>
      <c r="BK87" s="36"/>
      <c r="BL87" s="36"/>
      <c r="BM87" s="36"/>
      <c r="BN87" s="36"/>
    </row>
    <row r="88" spans="2:67" ht="13.5" customHeight="1">
      <c r="B88" s="23"/>
      <c r="C88" s="59" t="s">
        <v>138</v>
      </c>
      <c r="D88" s="150"/>
      <c r="E88" s="153"/>
      <c r="F88" s="154"/>
      <c r="G88" s="390" t="s">
        <v>387</v>
      </c>
      <c r="H88" s="74"/>
      <c r="I88" s="36"/>
      <c r="K88" s="145"/>
      <c r="L88" s="40"/>
      <c r="M88" s="40"/>
      <c r="N88" s="40"/>
      <c r="O88" s="72"/>
      <c r="P88" s="72"/>
      <c r="Q88" s="72"/>
      <c r="R88" s="72"/>
      <c r="S88" s="72"/>
      <c r="T88" s="72"/>
      <c r="U88" s="72"/>
      <c r="V88" s="72"/>
      <c r="W88" s="72"/>
      <c r="X88" s="72"/>
      <c r="Y88" s="72"/>
      <c r="Z88" s="72"/>
      <c r="AA88" s="72"/>
      <c r="AB88" s="72"/>
      <c r="AC88" s="72"/>
      <c r="AD88" s="72"/>
      <c r="AM88" s="60"/>
      <c r="AT88" s="36"/>
      <c r="AU88" s="36"/>
      <c r="AV88" s="36"/>
      <c r="AW88" s="36"/>
      <c r="AX88" s="36"/>
      <c r="AY88" s="36"/>
      <c r="AZ88" s="36"/>
      <c r="BA88" s="36"/>
      <c r="BB88" s="36"/>
      <c r="BC88" s="36"/>
      <c r="BD88" s="36"/>
      <c r="BE88" s="36"/>
      <c r="BF88" s="36"/>
      <c r="BG88" s="36"/>
      <c r="BH88" s="36"/>
      <c r="BI88" s="36"/>
      <c r="BJ88" s="36"/>
      <c r="BK88" s="36"/>
      <c r="BL88" s="36"/>
      <c r="BM88" s="36"/>
      <c r="BN88" s="36"/>
      <c r="BO88" s="36"/>
    </row>
    <row r="89" spans="2:67" ht="13.5" customHeight="1">
      <c r="B89" s="23"/>
      <c r="C89" s="392" t="s">
        <v>53</v>
      </c>
      <c r="D89" s="387" t="s">
        <v>54</v>
      </c>
      <c r="E89" s="220">
        <v>1</v>
      </c>
      <c r="F89" s="216">
        <v>75</v>
      </c>
      <c r="G89" s="66">
        <f>E89*$G$35</f>
        <v>30</v>
      </c>
      <c r="H89" s="74">
        <f>F89*E89</f>
        <v>75</v>
      </c>
      <c r="I89" s="36"/>
      <c r="K89" s="145"/>
      <c r="L89" s="40"/>
      <c r="M89" s="40"/>
      <c r="N89" s="40"/>
      <c r="O89" s="72"/>
      <c r="P89" s="72"/>
      <c r="Q89" s="72"/>
      <c r="R89" s="72"/>
      <c r="S89" s="72"/>
      <c r="T89" s="72"/>
      <c r="U89" s="72"/>
      <c r="V89" s="72"/>
      <c r="W89" s="72"/>
      <c r="X89" s="72"/>
      <c r="Y89" s="72"/>
      <c r="Z89" s="72"/>
      <c r="AA89" s="72"/>
      <c r="AB89" s="72"/>
      <c r="AC89" s="72"/>
      <c r="AD89" s="72"/>
      <c r="AM89" s="60"/>
      <c r="AS89" s="60"/>
      <c r="AT89" s="36"/>
      <c r="AU89" s="36"/>
      <c r="AV89" s="36"/>
      <c r="AW89" s="36"/>
      <c r="AX89" s="36"/>
      <c r="AY89" s="36"/>
      <c r="AZ89" s="36"/>
      <c r="BA89" s="36"/>
      <c r="BB89" s="36"/>
      <c r="BC89" s="36"/>
      <c r="BD89" s="36"/>
      <c r="BE89" s="36"/>
      <c r="BF89" s="36"/>
      <c r="BG89" s="36"/>
      <c r="BH89" s="36"/>
      <c r="BI89" s="36"/>
      <c r="BJ89" s="36"/>
      <c r="BK89" s="36"/>
      <c r="BL89" s="36"/>
      <c r="BM89" s="36"/>
      <c r="BN89" s="36"/>
      <c r="BO89" s="36"/>
    </row>
    <row r="90" spans="2:65" ht="13.5" customHeight="1">
      <c r="B90" s="23"/>
      <c r="C90" s="393" t="s">
        <v>145</v>
      </c>
      <c r="D90" s="396" t="s">
        <v>55</v>
      </c>
      <c r="E90" s="225">
        <v>6</v>
      </c>
      <c r="F90" s="226">
        <v>0</v>
      </c>
      <c r="G90" s="66">
        <f>E90*$G$35</f>
        <v>180</v>
      </c>
      <c r="H90" s="74">
        <f>F90*E90</f>
        <v>0</v>
      </c>
      <c r="I90" s="36"/>
      <c r="K90" s="145"/>
      <c r="L90" s="40"/>
      <c r="M90" s="40"/>
      <c r="N90" s="40"/>
      <c r="O90" s="72"/>
      <c r="P90" s="72"/>
      <c r="Q90" s="72"/>
      <c r="R90" s="72"/>
      <c r="S90" s="72"/>
      <c r="T90" s="72"/>
      <c r="U90" s="72"/>
      <c r="V90" s="72"/>
      <c r="W90" s="72"/>
      <c r="X90" s="72"/>
      <c r="Y90" s="72"/>
      <c r="Z90" s="72"/>
      <c r="AA90" s="72"/>
      <c r="AB90" s="72"/>
      <c r="AC90" s="72"/>
      <c r="AD90" s="72"/>
      <c r="AI90" s="141"/>
      <c r="AJ90" s="141"/>
      <c r="AK90" s="141"/>
      <c r="AL90" s="141"/>
      <c r="AM90" s="142"/>
      <c r="AN90" s="141"/>
      <c r="AO90" s="141"/>
      <c r="AP90" s="141"/>
      <c r="AQ90" s="141"/>
      <c r="AR90" s="141"/>
      <c r="AS90" s="141"/>
      <c r="AT90" s="143"/>
      <c r="AU90" s="143"/>
      <c r="AV90" s="143"/>
      <c r="AW90" s="143"/>
      <c r="AX90" s="143"/>
      <c r="AY90" s="143"/>
      <c r="AZ90" s="143"/>
      <c r="BA90" s="143"/>
      <c r="BB90" s="143"/>
      <c r="BC90" s="143"/>
      <c r="BD90" s="143"/>
      <c r="BE90" s="143"/>
      <c r="BF90" s="143"/>
      <c r="BG90" s="143"/>
      <c r="BH90" s="143"/>
      <c r="BI90" s="143"/>
      <c r="BJ90" s="143"/>
      <c r="BK90" s="36"/>
      <c r="BL90" s="36"/>
      <c r="BM90" s="36"/>
    </row>
    <row r="91" spans="2:65" ht="13.5" customHeight="1">
      <c r="B91" s="23"/>
      <c r="C91" s="221" t="s">
        <v>160</v>
      </c>
      <c r="D91" s="213" t="s">
        <v>141</v>
      </c>
      <c r="E91" s="222">
        <f>180*0.2</f>
        <v>36</v>
      </c>
      <c r="F91" s="214">
        <v>0.15</v>
      </c>
      <c r="G91" s="66">
        <f>E91*$G$35</f>
        <v>1080</v>
      </c>
      <c r="H91" s="74">
        <f>F91*E91</f>
        <v>5.3999999999999995</v>
      </c>
      <c r="I91" s="36"/>
      <c r="K91" s="145"/>
      <c r="L91" s="40"/>
      <c r="M91" s="40"/>
      <c r="N91" s="40"/>
      <c r="O91" s="72"/>
      <c r="P91" s="72"/>
      <c r="Q91" s="72"/>
      <c r="R91" s="72"/>
      <c r="S91" s="72"/>
      <c r="T91" s="72"/>
      <c r="U91" s="72"/>
      <c r="V91" s="72"/>
      <c r="W91" s="72"/>
      <c r="X91" s="72"/>
      <c r="Y91" s="72"/>
      <c r="Z91" s="72"/>
      <c r="AA91" s="72"/>
      <c r="AB91" s="72"/>
      <c r="AC91" s="72"/>
      <c r="AD91" s="72"/>
      <c r="AI91" s="141"/>
      <c r="AJ91" s="141"/>
      <c r="AK91" s="141"/>
      <c r="AL91" s="141"/>
      <c r="AM91" s="142"/>
      <c r="AN91" s="141"/>
      <c r="AO91" s="141"/>
      <c r="AP91" s="141"/>
      <c r="AQ91" s="141"/>
      <c r="AR91" s="141"/>
      <c r="AS91" s="141"/>
      <c r="AT91" s="143"/>
      <c r="AU91" s="143"/>
      <c r="AV91" s="143"/>
      <c r="AW91" s="143"/>
      <c r="AX91" s="143"/>
      <c r="AY91" s="143"/>
      <c r="AZ91" s="143"/>
      <c r="BA91" s="143"/>
      <c r="BB91" s="143"/>
      <c r="BC91" s="143"/>
      <c r="BD91" s="143"/>
      <c r="BE91" s="143"/>
      <c r="BF91" s="143"/>
      <c r="BG91" s="143"/>
      <c r="BH91" s="143"/>
      <c r="BI91" s="143"/>
      <c r="BJ91" s="143"/>
      <c r="BK91" s="36"/>
      <c r="BL91" s="36"/>
      <c r="BM91" s="36"/>
    </row>
    <row r="92" spans="2:65" ht="17.25" customHeight="1">
      <c r="B92" s="23"/>
      <c r="C92" s="221" t="s">
        <v>142</v>
      </c>
      <c r="D92" s="213" t="s">
        <v>141</v>
      </c>
      <c r="E92" s="222">
        <f>180*2</f>
        <v>360</v>
      </c>
      <c r="F92" s="214">
        <v>0.1</v>
      </c>
      <c r="G92" s="66">
        <f>E92*$G$35</f>
        <v>10800</v>
      </c>
      <c r="H92" s="74">
        <f>F92*E92</f>
        <v>36</v>
      </c>
      <c r="I92" s="36"/>
      <c r="K92" s="145"/>
      <c r="L92" s="40"/>
      <c r="M92" s="40"/>
      <c r="N92" s="40"/>
      <c r="O92" s="72"/>
      <c r="P92" s="72"/>
      <c r="Q92" s="72"/>
      <c r="R92" s="72"/>
      <c r="S92" s="72"/>
      <c r="T92" s="72"/>
      <c r="U92" s="72"/>
      <c r="V92" s="72"/>
      <c r="W92" s="72"/>
      <c r="X92" s="72"/>
      <c r="Y92" s="72"/>
      <c r="Z92" s="72"/>
      <c r="AA92" s="72"/>
      <c r="AB92" s="72"/>
      <c r="AC92" s="72"/>
      <c r="AD92" s="72"/>
      <c r="AH92" s="500" t="s">
        <v>422</v>
      </c>
      <c r="AM92" s="60"/>
      <c r="AT92" s="36"/>
      <c r="AU92" s="36"/>
      <c r="AV92" s="36"/>
      <c r="AW92" s="36"/>
      <c r="AX92" s="36"/>
      <c r="AY92" s="36"/>
      <c r="AZ92" s="36"/>
      <c r="BA92" s="36"/>
      <c r="BB92" s="36"/>
      <c r="BC92" s="36"/>
      <c r="BD92" s="36"/>
      <c r="BE92" s="36"/>
      <c r="BF92" s="36"/>
      <c r="BG92" s="36"/>
      <c r="BH92" s="36"/>
      <c r="BI92" s="36"/>
      <c r="BJ92" s="36"/>
      <c r="BK92" s="36"/>
      <c r="BL92" s="36"/>
      <c r="BM92" s="36"/>
    </row>
    <row r="93" spans="2:65" ht="13.5" customHeight="1" thickBot="1">
      <c r="B93" s="23"/>
      <c r="C93" s="223" t="s">
        <v>56</v>
      </c>
      <c r="D93" s="218" t="s">
        <v>141</v>
      </c>
      <c r="E93" s="224">
        <v>0</v>
      </c>
      <c r="F93" s="215">
        <v>0</v>
      </c>
      <c r="G93" s="66">
        <f>E93*$G$35</f>
        <v>0</v>
      </c>
      <c r="H93" s="75">
        <f>F93*E93</f>
        <v>0</v>
      </c>
      <c r="I93" s="145"/>
      <c r="K93" s="145"/>
      <c r="L93" s="40"/>
      <c r="M93" s="40"/>
      <c r="N93" s="40"/>
      <c r="O93" s="72"/>
      <c r="P93" s="72"/>
      <c r="Q93" s="72"/>
      <c r="R93" s="72"/>
      <c r="S93" s="72"/>
      <c r="T93" s="72"/>
      <c r="U93" s="72"/>
      <c r="V93" s="72"/>
      <c r="W93" s="72"/>
      <c r="X93" s="72"/>
      <c r="Y93" s="72"/>
      <c r="Z93" s="72"/>
      <c r="AA93" s="72"/>
      <c r="AB93" s="72"/>
      <c r="AC93" s="72"/>
      <c r="AD93" s="72"/>
      <c r="AM93" s="60"/>
      <c r="AT93" s="36"/>
      <c r="AU93" s="36"/>
      <c r="AV93" s="36"/>
      <c r="AW93" s="36"/>
      <c r="AX93" s="36"/>
      <c r="AY93" s="36"/>
      <c r="AZ93" s="36"/>
      <c r="BA93" s="36"/>
      <c r="BB93" s="36"/>
      <c r="BC93" s="36"/>
      <c r="BD93" s="36"/>
      <c r="BE93" s="36"/>
      <c r="BF93" s="36"/>
      <c r="BG93" s="36"/>
      <c r="BH93" s="36"/>
      <c r="BI93" s="36"/>
      <c r="BJ93" s="36"/>
      <c r="BK93" s="36"/>
      <c r="BL93" s="36"/>
      <c r="BM93" s="36"/>
    </row>
    <row r="94" spans="2:65" ht="13.5" customHeight="1" thickTop="1">
      <c r="B94" s="23"/>
      <c r="C94" s="149"/>
      <c r="D94" s="150"/>
      <c r="E94" s="151"/>
      <c r="G94" s="152" t="s">
        <v>163</v>
      </c>
      <c r="H94" s="42">
        <f>SUM(H89:H93)</f>
        <v>116.4</v>
      </c>
      <c r="I94" s="145"/>
      <c r="K94" s="145"/>
      <c r="L94" s="569" t="s">
        <v>190</v>
      </c>
      <c r="M94" s="569"/>
      <c r="N94" s="569"/>
      <c r="O94" s="88">
        <f>$H$94*$G$72*O29</f>
        <v>3492</v>
      </c>
      <c r="P94" s="179">
        <f aca="true" t="shared" si="90" ref="P94:AD94">$H$94*$G$72*P29*P44</f>
        <v>3596.76</v>
      </c>
      <c r="Q94" s="179">
        <f t="shared" si="90"/>
        <v>3704.6628</v>
      </c>
      <c r="R94" s="179">
        <f t="shared" si="90"/>
        <v>3815.802684</v>
      </c>
      <c r="S94" s="179">
        <f t="shared" si="90"/>
        <v>3930.2767645199997</v>
      </c>
      <c r="T94" s="179">
        <f t="shared" si="90"/>
        <v>4048.1850674555994</v>
      </c>
      <c r="U94" s="179">
        <f t="shared" si="90"/>
        <v>4169.630619479268</v>
      </c>
      <c r="V94" s="179">
        <f t="shared" si="90"/>
        <v>4294.719538063646</v>
      </c>
      <c r="W94" s="179">
        <f t="shared" si="90"/>
        <v>4423.561124205556</v>
      </c>
      <c r="X94" s="179">
        <f t="shared" si="90"/>
        <v>4556.267957931723</v>
      </c>
      <c r="Y94" s="179">
        <f t="shared" si="90"/>
        <v>4692.955996669674</v>
      </c>
      <c r="Z94" s="179">
        <f t="shared" si="90"/>
        <v>4833.744676569764</v>
      </c>
      <c r="AA94" s="179">
        <f t="shared" si="90"/>
        <v>4978.757016866857</v>
      </c>
      <c r="AB94" s="179">
        <f t="shared" si="90"/>
        <v>5128.119727372863</v>
      </c>
      <c r="AC94" s="179">
        <f t="shared" si="90"/>
        <v>5281.963319194048</v>
      </c>
      <c r="AD94" s="179">
        <f t="shared" si="90"/>
        <v>5440.422218769871</v>
      </c>
      <c r="AE94" s="146"/>
      <c r="AI94" s="97" t="s">
        <v>236</v>
      </c>
      <c r="AJ94" s="97"/>
      <c r="AK94" s="97"/>
      <c r="AL94" s="311" t="s">
        <v>87</v>
      </c>
      <c r="AM94" s="265" t="s">
        <v>285</v>
      </c>
      <c r="AN94" s="267"/>
      <c r="AO94" s="267"/>
      <c r="AP94" s="267"/>
      <c r="AQ94" s="267"/>
      <c r="AR94" s="267"/>
      <c r="AS94" s="266"/>
      <c r="AT94" s="266"/>
      <c r="AU94" s="266"/>
      <c r="AV94" s="266"/>
      <c r="AW94" s="266"/>
      <c r="AX94" s="118"/>
      <c r="AY94" s="118"/>
      <c r="AZ94" s="118"/>
      <c r="BA94" s="98"/>
      <c r="BB94" s="98"/>
      <c r="BC94" s="98"/>
      <c r="BD94" s="98"/>
      <c r="BE94" s="98"/>
      <c r="BF94" s="98"/>
      <c r="BG94" s="98"/>
      <c r="BH94" s="98"/>
      <c r="BI94" s="98"/>
      <c r="BJ94" s="98"/>
      <c r="BK94" s="98"/>
      <c r="BL94" s="98"/>
      <c r="BM94" s="98"/>
    </row>
    <row r="95" spans="2:65" ht="13.5" customHeight="1">
      <c r="B95" s="23"/>
      <c r="C95" s="59" t="s">
        <v>81</v>
      </c>
      <c r="D95" s="150"/>
      <c r="E95" s="153"/>
      <c r="F95" s="154"/>
      <c r="G95" s="390" t="s">
        <v>387</v>
      </c>
      <c r="H95" s="74"/>
      <c r="I95" s="145"/>
      <c r="K95" s="145"/>
      <c r="L95" s="40"/>
      <c r="M95" s="40"/>
      <c r="N95" s="40"/>
      <c r="O95" s="72"/>
      <c r="P95" s="72"/>
      <c r="Q95" s="72"/>
      <c r="R95" s="72"/>
      <c r="S95" s="72"/>
      <c r="T95" s="72"/>
      <c r="U95" s="72"/>
      <c r="V95" s="72"/>
      <c r="W95" s="72"/>
      <c r="X95" s="72"/>
      <c r="Y95" s="72"/>
      <c r="Z95" s="72"/>
      <c r="AA95" s="72"/>
      <c r="AB95" s="72"/>
      <c r="AC95" s="72"/>
      <c r="AD95" s="72"/>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112"/>
      <c r="BL95" s="112"/>
      <c r="BM95" s="112"/>
    </row>
    <row r="96" spans="2:65" ht="13.5" customHeight="1">
      <c r="B96" s="23"/>
      <c r="C96" s="392" t="s">
        <v>53</v>
      </c>
      <c r="D96" s="387" t="s">
        <v>54</v>
      </c>
      <c r="E96" s="220">
        <v>2</v>
      </c>
      <c r="F96" s="216">
        <v>75</v>
      </c>
      <c r="G96" s="66">
        <f>E96*$G$45</f>
        <v>12</v>
      </c>
      <c r="H96" s="74">
        <f>F96*E96</f>
        <v>150</v>
      </c>
      <c r="I96" s="145"/>
      <c r="K96" s="145"/>
      <c r="L96" s="40"/>
      <c r="M96" s="40"/>
      <c r="N96" s="40"/>
      <c r="O96" s="72"/>
      <c r="P96" s="72"/>
      <c r="Q96" s="72"/>
      <c r="R96" s="72"/>
      <c r="S96" s="72"/>
      <c r="T96" s="72"/>
      <c r="U96" s="72"/>
      <c r="V96" s="72"/>
      <c r="W96" s="72"/>
      <c r="X96" s="72"/>
      <c r="Y96" s="72"/>
      <c r="Z96" s="72"/>
      <c r="AA96" s="72"/>
      <c r="AB96" s="72"/>
      <c r="AC96" s="72"/>
      <c r="AD96" s="72"/>
      <c r="AI96" s="98"/>
      <c r="AJ96" s="98"/>
      <c r="AK96" s="98"/>
      <c r="AL96" s="99"/>
      <c r="AM96" s="99" t="s">
        <v>216</v>
      </c>
      <c r="AN96" s="99"/>
      <c r="AO96" s="99"/>
      <c r="AP96" s="99" t="s">
        <v>204</v>
      </c>
      <c r="AQ96" s="99"/>
      <c r="AR96" s="99" t="s">
        <v>198</v>
      </c>
      <c r="AS96" s="99" t="s">
        <v>205</v>
      </c>
      <c r="AT96" s="99" t="s">
        <v>43</v>
      </c>
      <c r="AU96" s="99"/>
      <c r="AV96" s="110" t="s">
        <v>1</v>
      </c>
      <c r="AW96" s="109"/>
      <c r="AX96" s="109"/>
      <c r="AY96" s="109"/>
      <c r="AZ96" s="109"/>
      <c r="BA96" s="109"/>
      <c r="BB96" s="118"/>
      <c r="BC96" s="109"/>
      <c r="BD96" s="118"/>
      <c r="BE96" s="118"/>
      <c r="BF96" s="118"/>
      <c r="BG96" s="118"/>
      <c r="BH96" s="118"/>
      <c r="BI96" s="118"/>
      <c r="BJ96" s="118"/>
      <c r="BK96" s="112"/>
      <c r="BL96" s="112"/>
      <c r="BM96" s="112"/>
    </row>
    <row r="97" spans="2:65" ht="13.5" customHeight="1">
      <c r="B97" s="23"/>
      <c r="C97" s="393" t="s">
        <v>145</v>
      </c>
      <c r="D97" s="396" t="s">
        <v>55</v>
      </c>
      <c r="E97" s="225">
        <v>8</v>
      </c>
      <c r="F97" s="226">
        <v>0</v>
      </c>
      <c r="G97" s="66">
        <f>E97*$G$45</f>
        <v>48</v>
      </c>
      <c r="H97" s="74">
        <f>F97*E97</f>
        <v>0</v>
      </c>
      <c r="I97" s="145"/>
      <c r="K97" s="145"/>
      <c r="L97" s="40"/>
      <c r="M97" s="40"/>
      <c r="N97" s="40"/>
      <c r="O97" s="72"/>
      <c r="P97" s="72"/>
      <c r="Q97" s="72"/>
      <c r="R97" s="72"/>
      <c r="S97" s="72"/>
      <c r="T97" s="72"/>
      <c r="U97" s="72"/>
      <c r="V97" s="72"/>
      <c r="W97" s="72"/>
      <c r="X97" s="72"/>
      <c r="Y97" s="72"/>
      <c r="Z97" s="72"/>
      <c r="AA97" s="72"/>
      <c r="AB97" s="72"/>
      <c r="AC97" s="72"/>
      <c r="AD97" s="72"/>
      <c r="AI97" s="98" t="s">
        <v>214</v>
      </c>
      <c r="AJ97" s="98"/>
      <c r="AK97" s="98"/>
      <c r="AL97" s="100" t="s">
        <v>206</v>
      </c>
      <c r="AM97" s="99" t="s">
        <v>207</v>
      </c>
      <c r="AN97" s="99"/>
      <c r="AO97" s="99" t="s">
        <v>208</v>
      </c>
      <c r="AP97" s="99" t="s">
        <v>209</v>
      </c>
      <c r="AQ97" s="99" t="s">
        <v>202</v>
      </c>
      <c r="AR97" s="99" t="s">
        <v>199</v>
      </c>
      <c r="AS97" s="99" t="s">
        <v>201</v>
      </c>
      <c r="AT97" s="99" t="s">
        <v>218</v>
      </c>
      <c r="AU97" s="99"/>
      <c r="AV97" s="135">
        <v>1</v>
      </c>
      <c r="AW97" s="135">
        <v>2</v>
      </c>
      <c r="AX97" s="135">
        <v>3</v>
      </c>
      <c r="AY97" s="135">
        <v>4</v>
      </c>
      <c r="AZ97" s="135">
        <v>5</v>
      </c>
      <c r="BA97" s="135">
        <v>6</v>
      </c>
      <c r="BB97" s="135">
        <v>7</v>
      </c>
      <c r="BC97" s="135">
        <v>8</v>
      </c>
      <c r="BD97" s="135">
        <v>9</v>
      </c>
      <c r="BE97" s="135">
        <v>10</v>
      </c>
      <c r="BF97" s="135">
        <v>11</v>
      </c>
      <c r="BG97" s="135">
        <v>12</v>
      </c>
      <c r="BH97" s="135">
        <v>13</v>
      </c>
      <c r="BI97" s="135">
        <v>14</v>
      </c>
      <c r="BJ97" s="135">
        <v>15</v>
      </c>
      <c r="BK97" s="114"/>
      <c r="BL97" s="114"/>
      <c r="BM97" s="114"/>
    </row>
    <row r="98" spans="2:65" ht="13.5" customHeight="1" thickBot="1">
      <c r="B98" s="23"/>
      <c r="C98" s="221" t="s">
        <v>160</v>
      </c>
      <c r="D98" s="213" t="s">
        <v>141</v>
      </c>
      <c r="E98" s="222">
        <f>180*0.2</f>
        <v>36</v>
      </c>
      <c r="F98" s="214">
        <v>0.15</v>
      </c>
      <c r="G98" s="66">
        <f>E98*$G$45</f>
        <v>216</v>
      </c>
      <c r="H98" s="74">
        <f>F98*E98</f>
        <v>5.3999999999999995</v>
      </c>
      <c r="I98" s="145"/>
      <c r="K98" s="145"/>
      <c r="L98" s="40"/>
      <c r="M98" s="40"/>
      <c r="N98" s="40"/>
      <c r="O98" s="72"/>
      <c r="P98" s="72"/>
      <c r="Q98" s="72"/>
      <c r="R98" s="72"/>
      <c r="S98" s="72"/>
      <c r="T98" s="72"/>
      <c r="U98" s="72"/>
      <c r="V98" s="72"/>
      <c r="W98" s="72"/>
      <c r="X98" s="72"/>
      <c r="Y98" s="72"/>
      <c r="Z98" s="72"/>
      <c r="AA98" s="72"/>
      <c r="AB98" s="72"/>
      <c r="AC98" s="72"/>
      <c r="AD98" s="72"/>
      <c r="AH98" s="385" t="s">
        <v>217</v>
      </c>
      <c r="AI98" s="98" t="s">
        <v>215</v>
      </c>
      <c r="AJ98" s="98"/>
      <c r="AK98" s="98"/>
      <c r="AL98" s="100" t="s">
        <v>201</v>
      </c>
      <c r="AM98" s="99" t="s">
        <v>210</v>
      </c>
      <c r="AN98" s="99" t="s">
        <v>200</v>
      </c>
      <c r="AO98" s="99" t="s">
        <v>211</v>
      </c>
      <c r="AP98" s="99" t="s">
        <v>212</v>
      </c>
      <c r="AQ98" s="99" t="s">
        <v>201</v>
      </c>
      <c r="AR98" s="99" t="s">
        <v>213</v>
      </c>
      <c r="AS98" s="99" t="s">
        <v>213</v>
      </c>
      <c r="AT98" s="99" t="s">
        <v>219</v>
      </c>
      <c r="AU98" s="99"/>
      <c r="AV98" s="99" t="s">
        <v>203</v>
      </c>
      <c r="AW98" s="99" t="s">
        <v>203</v>
      </c>
      <c r="AX98" s="99" t="s">
        <v>203</v>
      </c>
      <c r="AY98" s="99" t="s">
        <v>203</v>
      </c>
      <c r="AZ98" s="99" t="s">
        <v>203</v>
      </c>
      <c r="BA98" s="99" t="s">
        <v>203</v>
      </c>
      <c r="BB98" s="99" t="s">
        <v>203</v>
      </c>
      <c r="BC98" s="99" t="s">
        <v>203</v>
      </c>
      <c r="BD98" s="99" t="s">
        <v>203</v>
      </c>
      <c r="BE98" s="99" t="s">
        <v>203</v>
      </c>
      <c r="BF98" s="99" t="s">
        <v>203</v>
      </c>
      <c r="BG98" s="99" t="s">
        <v>203</v>
      </c>
      <c r="BH98" s="99" t="s">
        <v>203</v>
      </c>
      <c r="BI98" s="99" t="s">
        <v>203</v>
      </c>
      <c r="BJ98" s="99" t="s">
        <v>203</v>
      </c>
      <c r="BK98" s="284" t="s">
        <v>43</v>
      </c>
      <c r="BL98" s="114"/>
      <c r="BM98" s="114"/>
    </row>
    <row r="99" spans="2:65" ht="13.5" customHeight="1">
      <c r="B99" s="23"/>
      <c r="C99" s="221" t="s">
        <v>56</v>
      </c>
      <c r="D99" s="213" t="s">
        <v>141</v>
      </c>
      <c r="E99" s="222">
        <v>0</v>
      </c>
      <c r="F99" s="214">
        <v>0</v>
      </c>
      <c r="G99" s="66">
        <f>E99*$G$45</f>
        <v>0</v>
      </c>
      <c r="H99" s="74">
        <f>F99*E99</f>
        <v>0</v>
      </c>
      <c r="I99" s="145"/>
      <c r="K99" s="145"/>
      <c r="L99" s="40"/>
      <c r="M99" s="40"/>
      <c r="N99" s="40"/>
      <c r="O99" s="72"/>
      <c r="P99" s="72"/>
      <c r="Q99" s="72"/>
      <c r="R99" s="72"/>
      <c r="S99" s="72"/>
      <c r="T99" s="72"/>
      <c r="U99" s="72"/>
      <c r="V99" s="72"/>
      <c r="W99" s="72"/>
      <c r="X99" s="72"/>
      <c r="Y99" s="72"/>
      <c r="Z99" s="72"/>
      <c r="AA99" s="72"/>
      <c r="AB99" s="72"/>
      <c r="AC99" s="72"/>
      <c r="AD99" s="72"/>
      <c r="AH99" s="60">
        <f aca="true" t="shared" si="91" ref="AH99:AH113">AH28</f>
        <v>2006</v>
      </c>
      <c r="AI99" s="156" t="s">
        <v>220</v>
      </c>
      <c r="AJ99" s="268"/>
      <c r="AK99" s="268"/>
      <c r="AL99" s="157">
        <f>IF(P38&gt;0,P38*$M$22*P42*$N$22,0)</f>
        <v>5320.882622459179</v>
      </c>
      <c r="AM99" s="158">
        <f aca="true" t="shared" si="92" ref="AM99:AM113">$M$23</f>
        <v>0.07</v>
      </c>
      <c r="AN99" s="316">
        <v>3</v>
      </c>
      <c r="AO99" s="159">
        <v>1</v>
      </c>
      <c r="AP99" s="160">
        <f>IF($N$22=0,$P$38*$M$22*P42,AL99/$N$22*(1-$N$22))</f>
        <v>1773.6275408197264</v>
      </c>
      <c r="AQ99" s="107">
        <f aca="true" t="shared" si="93" ref="AQ99:AQ113">IF(AO99&gt;0,PMT(AM99/AO99,AN99*AO99,-AL99),0)</f>
        <v>2027.5311861847208</v>
      </c>
      <c r="AR99" s="107">
        <f aca="true" t="shared" si="94" ref="AR99:AR113">AQ99*(AN99*AO99)-AL99</f>
        <v>761.7109360949835</v>
      </c>
      <c r="AS99" s="107">
        <f aca="true" t="shared" si="95" ref="AS99:AS113">AQ99*(AN99*AO99)+AP99</f>
        <v>7856.221099373889</v>
      </c>
      <c r="AT99" s="99">
        <f>AN99*AO99</f>
        <v>3</v>
      </c>
      <c r="AU99" s="119">
        <v>1</v>
      </c>
      <c r="AV99" s="120">
        <f>IF(AV97&gt;$AN$99,0,IPMT($AM$99/$AO$99,AV97,$AN$99*$AO$99,$AL$99,0))</f>
        <v>-372.4617835721426</v>
      </c>
      <c r="AW99" s="120">
        <f aca="true" t="shared" si="96" ref="AW99:BJ99">IF(AW97&gt;$AN$99,0,IPMT($AM$99/$AO$99,AW97,$AN$99*$AO$99,$AL$99,0))</f>
        <v>-256.606925389262</v>
      </c>
      <c r="AX99" s="120">
        <f t="shared" si="96"/>
        <v>-132.64222713358</v>
      </c>
      <c r="AY99" s="120">
        <f t="shared" si="96"/>
        <v>0</v>
      </c>
      <c r="AZ99" s="120">
        <f t="shared" si="96"/>
        <v>0</v>
      </c>
      <c r="BA99" s="120">
        <f t="shared" si="96"/>
        <v>0</v>
      </c>
      <c r="BB99" s="120">
        <f t="shared" si="96"/>
        <v>0</v>
      </c>
      <c r="BC99" s="120">
        <f t="shared" si="96"/>
        <v>0</v>
      </c>
      <c r="BD99" s="120">
        <f t="shared" si="96"/>
        <v>0</v>
      </c>
      <c r="BE99" s="120">
        <f t="shared" si="96"/>
        <v>0</v>
      </c>
      <c r="BF99" s="120">
        <f t="shared" si="96"/>
        <v>0</v>
      </c>
      <c r="BG99" s="120">
        <f t="shared" si="96"/>
        <v>0</v>
      </c>
      <c r="BH99" s="120">
        <f t="shared" si="96"/>
        <v>0</v>
      </c>
      <c r="BI99" s="120">
        <f t="shared" si="96"/>
        <v>0</v>
      </c>
      <c r="BJ99" s="120">
        <f t="shared" si="96"/>
        <v>0</v>
      </c>
      <c r="BK99" s="285">
        <f aca="true" t="shared" si="97" ref="BK99:BK113">SUM(AV99:BJ99)</f>
        <v>-761.7109360949846</v>
      </c>
      <c r="BL99" s="120"/>
      <c r="BM99" s="120"/>
    </row>
    <row r="100" spans="2:65" ht="13.5" customHeight="1" thickBot="1">
      <c r="B100" s="23"/>
      <c r="C100" s="223" t="s">
        <v>142</v>
      </c>
      <c r="D100" s="218" t="s">
        <v>141</v>
      </c>
      <c r="E100" s="224">
        <v>360</v>
      </c>
      <c r="F100" s="215">
        <v>0.1</v>
      </c>
      <c r="G100" s="66">
        <f>E100*$G$45</f>
        <v>2160</v>
      </c>
      <c r="H100" s="75">
        <f>F100*E100</f>
        <v>36</v>
      </c>
      <c r="I100" s="145"/>
      <c r="J100" s="20"/>
      <c r="K100" s="145"/>
      <c r="L100" s="40"/>
      <c r="M100" s="40"/>
      <c r="N100" s="40"/>
      <c r="O100" s="72"/>
      <c r="P100" s="72"/>
      <c r="Q100" s="72"/>
      <c r="R100" s="72"/>
      <c r="S100" s="72"/>
      <c r="T100" s="72"/>
      <c r="U100" s="72"/>
      <c r="V100" s="72"/>
      <c r="W100" s="72"/>
      <c r="X100" s="72"/>
      <c r="Y100" s="72"/>
      <c r="Z100" s="72"/>
      <c r="AA100" s="72"/>
      <c r="AB100" s="72"/>
      <c r="AC100" s="72"/>
      <c r="AD100" s="72"/>
      <c r="AH100" s="60">
        <f t="shared" si="91"/>
        <v>2007</v>
      </c>
      <c r="AI100" s="161" t="s">
        <v>221</v>
      </c>
      <c r="AJ100" s="269"/>
      <c r="AK100" s="269"/>
      <c r="AL100" s="162">
        <f>IF($Q$38&gt;0,$Q$38*$M$22*Q42*$N$22,0)</f>
        <v>4939.447267577474</v>
      </c>
      <c r="AM100" s="163">
        <f t="shared" si="92"/>
        <v>0.07</v>
      </c>
      <c r="AN100" s="263">
        <v>3</v>
      </c>
      <c r="AO100" s="164">
        <v>1</v>
      </c>
      <c r="AP100" s="165">
        <f>IF($N$22=0,$Q$38*$M$22*Q42,AL100/$N$22*(1-$N$22))</f>
        <v>1646.4824225258246</v>
      </c>
      <c r="AQ100" s="107">
        <f t="shared" si="93"/>
        <v>1882.1846088571683</v>
      </c>
      <c r="AR100" s="107">
        <f t="shared" si="94"/>
        <v>707.1065589940308</v>
      </c>
      <c r="AS100" s="107">
        <f t="shared" si="95"/>
        <v>7293.036249097329</v>
      </c>
      <c r="AT100" s="99">
        <f aca="true" t="shared" si="98" ref="AT100:AT113">AN100*AO100</f>
        <v>3</v>
      </c>
      <c r="AU100" s="121">
        <v>2</v>
      </c>
      <c r="AV100" s="120"/>
      <c r="AW100" s="120">
        <f>IF(AW97-$AV$97&gt;$AN$100,0,IPMT($AM$100/$AO$100,AW97-$AV$97,$AN$100*$AO$100,$AL$100,0))</f>
        <v>-345.7613087304232</v>
      </c>
      <c r="AX100" s="120">
        <f aca="true" t="shared" si="99" ref="AX100:BJ100">IF(AX97-$AV$97&gt;$AN$100,0,IPMT($AM$100/$AO$100,AX97-$AV$97,$AN$100*$AO$100,$AL$100,0))</f>
        <v>-238.21167772155096</v>
      </c>
      <c r="AY100" s="120">
        <f t="shared" si="99"/>
        <v>-123.13357254205782</v>
      </c>
      <c r="AZ100" s="120">
        <f t="shared" si="99"/>
        <v>0</v>
      </c>
      <c r="BA100" s="120">
        <f t="shared" si="99"/>
        <v>0</v>
      </c>
      <c r="BB100" s="120">
        <f t="shared" si="99"/>
        <v>0</v>
      </c>
      <c r="BC100" s="120">
        <f t="shared" si="99"/>
        <v>0</v>
      </c>
      <c r="BD100" s="120">
        <f t="shared" si="99"/>
        <v>0</v>
      </c>
      <c r="BE100" s="120">
        <f t="shared" si="99"/>
        <v>0</v>
      </c>
      <c r="BF100" s="120">
        <f t="shared" si="99"/>
        <v>0</v>
      </c>
      <c r="BG100" s="120">
        <f t="shared" si="99"/>
        <v>0</v>
      </c>
      <c r="BH100" s="120">
        <f t="shared" si="99"/>
        <v>0</v>
      </c>
      <c r="BI100" s="120">
        <f t="shared" si="99"/>
        <v>0</v>
      </c>
      <c r="BJ100" s="120">
        <f t="shared" si="99"/>
        <v>0</v>
      </c>
      <c r="BK100" s="286">
        <f t="shared" si="97"/>
        <v>-707.106558994032</v>
      </c>
      <c r="BL100" s="120"/>
      <c r="BM100" s="120"/>
    </row>
    <row r="101" spans="2:65" ht="13.5" customHeight="1" thickTop="1">
      <c r="B101" s="23"/>
      <c r="C101" s="3"/>
      <c r="D101" s="3"/>
      <c r="G101" s="72" t="s">
        <v>161</v>
      </c>
      <c r="H101" s="42">
        <f>SUM(H96:H100)</f>
        <v>191.4</v>
      </c>
      <c r="I101" s="397" t="s">
        <v>393</v>
      </c>
      <c r="J101" s="398"/>
      <c r="K101" s="145"/>
      <c r="L101" s="569" t="s">
        <v>191</v>
      </c>
      <c r="M101" s="569"/>
      <c r="N101" s="569"/>
      <c r="O101" s="88">
        <f>$H$101*$G$72*O37</f>
        <v>1148.4</v>
      </c>
      <c r="P101" s="179">
        <f aca="true" t="shared" si="100" ref="P101:AD101">$H$101*$G$72*P37*P44</f>
        <v>985.71</v>
      </c>
      <c r="Q101" s="179">
        <f t="shared" si="100"/>
        <v>1015.2813</v>
      </c>
      <c r="R101" s="179">
        <f t="shared" si="100"/>
        <v>1045.739739</v>
      </c>
      <c r="S101" s="179">
        <f t="shared" si="100"/>
        <v>1077.11193117</v>
      </c>
      <c r="T101" s="179">
        <f t="shared" si="100"/>
        <v>1109.4252891050999</v>
      </c>
      <c r="U101" s="179">
        <f t="shared" si="100"/>
        <v>1142.7080477782529</v>
      </c>
      <c r="V101" s="179">
        <f t="shared" si="100"/>
        <v>1176.9892892116006</v>
      </c>
      <c r="W101" s="179">
        <f t="shared" si="100"/>
        <v>1212.2989678879487</v>
      </c>
      <c r="X101" s="179">
        <f t="shared" si="100"/>
        <v>1248.6679369245871</v>
      </c>
      <c r="Y101" s="179">
        <f t="shared" si="100"/>
        <v>1286.1279750323247</v>
      </c>
      <c r="Z101" s="179">
        <f t="shared" si="100"/>
        <v>1324.7118142832946</v>
      </c>
      <c r="AA101" s="179">
        <f t="shared" si="100"/>
        <v>1364.4531687117933</v>
      </c>
      <c r="AB101" s="179">
        <f t="shared" si="100"/>
        <v>1405.386763773147</v>
      </c>
      <c r="AC101" s="179">
        <f t="shared" si="100"/>
        <v>1447.5483666863415</v>
      </c>
      <c r="AD101" s="179">
        <f t="shared" si="100"/>
        <v>1490.9748176869318</v>
      </c>
      <c r="AE101" s="146"/>
      <c r="AH101" s="60">
        <f t="shared" si="91"/>
        <v>2008</v>
      </c>
      <c r="AI101" s="161" t="s">
        <v>222</v>
      </c>
      <c r="AJ101" s="269"/>
      <c r="AK101" s="269"/>
      <c r="AL101" s="162">
        <f>IF($R$38&gt;0,$R$38*$M$22*R42*$N$22,0)</f>
        <v>4706.0875541486175</v>
      </c>
      <c r="AM101" s="163">
        <f t="shared" si="92"/>
        <v>0.07</v>
      </c>
      <c r="AN101" s="263">
        <v>3</v>
      </c>
      <c r="AO101" s="164">
        <v>1</v>
      </c>
      <c r="AP101" s="165">
        <f>IF($N$22=0,$R$38*$M$22*R42,AL101/$N$22*(1-$N$22))</f>
        <v>1568.6958513828724</v>
      </c>
      <c r="AQ101" s="107">
        <f t="shared" si="93"/>
        <v>1793.2625013521053</v>
      </c>
      <c r="AR101" s="107">
        <f t="shared" si="94"/>
        <v>673.6999499076983</v>
      </c>
      <c r="AS101" s="107">
        <f t="shared" si="95"/>
        <v>6948.483355439188</v>
      </c>
      <c r="AT101" s="99">
        <f t="shared" si="98"/>
        <v>3</v>
      </c>
      <c r="AU101" s="121">
        <v>3</v>
      </c>
      <c r="AV101" s="120"/>
      <c r="AW101" s="120"/>
      <c r="AX101" s="120">
        <f>IF(AX97-$AW$97&gt;$AN$101,0,IPMT($AM$101/$AO$101,AX97-$AW$97,$AN$101*$AO$101,$AL$101,0))</f>
        <v>-329.42612879040325</v>
      </c>
      <c r="AY101" s="120">
        <f aca="true" t="shared" si="101" ref="AY101:BJ101">IF(AY97-$AW$97&gt;$AN$101,0,IPMT($AM$101/$AO$101,AY97-$AW$97,$AN$101*$AO$101,$AL$101,0))</f>
        <v>-226.95758271108403</v>
      </c>
      <c r="AZ101" s="120">
        <f t="shared" si="101"/>
        <v>-117.31623840621259</v>
      </c>
      <c r="BA101" s="120">
        <f t="shared" si="101"/>
        <v>0</v>
      </c>
      <c r="BB101" s="120">
        <f t="shared" si="101"/>
        <v>0</v>
      </c>
      <c r="BC101" s="120">
        <f t="shared" si="101"/>
        <v>0</v>
      </c>
      <c r="BD101" s="120">
        <f t="shared" si="101"/>
        <v>0</v>
      </c>
      <c r="BE101" s="120">
        <f t="shared" si="101"/>
        <v>0</v>
      </c>
      <c r="BF101" s="120">
        <f t="shared" si="101"/>
        <v>0</v>
      </c>
      <c r="BG101" s="120">
        <f t="shared" si="101"/>
        <v>0</v>
      </c>
      <c r="BH101" s="120">
        <f t="shared" si="101"/>
        <v>0</v>
      </c>
      <c r="BI101" s="120">
        <f t="shared" si="101"/>
        <v>0</v>
      </c>
      <c r="BJ101" s="120">
        <f t="shared" si="101"/>
        <v>0</v>
      </c>
      <c r="BK101" s="286">
        <f t="shared" si="97"/>
        <v>-673.6999499076999</v>
      </c>
      <c r="BL101" s="120"/>
      <c r="BM101" s="120"/>
    </row>
    <row r="102" spans="2:65" ht="13.5" customHeight="1">
      <c r="B102" s="23"/>
      <c r="C102" s="3"/>
      <c r="D102" s="3"/>
      <c r="H102" s="28"/>
      <c r="I102" s="145" t="s">
        <v>388</v>
      </c>
      <c r="J102" s="66">
        <f>G78+G89+G96</f>
        <v>342</v>
      </c>
      <c r="K102" s="145"/>
      <c r="L102" s="40"/>
      <c r="M102" s="40"/>
      <c r="N102" s="40"/>
      <c r="O102" s="72"/>
      <c r="P102" s="72"/>
      <c r="Q102" s="72"/>
      <c r="R102" s="72"/>
      <c r="S102" s="72"/>
      <c r="T102" s="72"/>
      <c r="U102" s="72"/>
      <c r="V102" s="72"/>
      <c r="W102" s="72"/>
      <c r="X102" s="72"/>
      <c r="Y102" s="72"/>
      <c r="Z102" s="72"/>
      <c r="AA102" s="72"/>
      <c r="AB102" s="72"/>
      <c r="AC102" s="72"/>
      <c r="AD102" s="72"/>
      <c r="AH102" s="60">
        <f t="shared" si="91"/>
        <v>2009</v>
      </c>
      <c r="AI102" s="161" t="s">
        <v>223</v>
      </c>
      <c r="AJ102" s="269"/>
      <c r="AK102" s="269"/>
      <c r="AL102" s="162">
        <f>IF($S$38&gt;0,$S$38*$M$22*S42*$N$22,0)</f>
        <v>4477.882372542485</v>
      </c>
      <c r="AM102" s="163">
        <f t="shared" si="92"/>
        <v>0.07</v>
      </c>
      <c r="AN102" s="263">
        <v>3</v>
      </c>
      <c r="AO102" s="164">
        <v>1</v>
      </c>
      <c r="AP102" s="165">
        <f>IF($N$22=0,$S$38*$M$22*S42,AL102/$N$22*(1-$N$22))</f>
        <v>1492.6274575141617</v>
      </c>
      <c r="AQ102" s="107">
        <f t="shared" si="93"/>
        <v>1706.3045367839009</v>
      </c>
      <c r="AR102" s="107">
        <f t="shared" si="94"/>
        <v>641.0312378092176</v>
      </c>
      <c r="AS102" s="107">
        <f t="shared" si="95"/>
        <v>6611.5410678658645</v>
      </c>
      <c r="AT102" s="99">
        <f t="shared" si="98"/>
        <v>3</v>
      </c>
      <c r="AU102" s="121">
        <v>4</v>
      </c>
      <c r="AV102" s="120"/>
      <c r="AW102" s="120"/>
      <c r="AX102" s="120"/>
      <c r="AY102" s="120">
        <f>IF(AY97-$AX$97&gt;$AN$102,0,IPMT($AM$102/$AO$102,AY97-$AX$97,$AN$102*$AO$102,$AL$102,0))</f>
        <v>-313.451766077974</v>
      </c>
      <c r="AZ102" s="120">
        <f aca="true" t="shared" si="102" ref="AZ102:BJ102">IF(AZ97-$AX$97&gt;$AN$102,0,IPMT($AM$102/$AO$102,AZ97-$AX$97,$AN$102*$AO$102,$AL$102,0))</f>
        <v>-215.95207212855902</v>
      </c>
      <c r="BA102" s="120">
        <f t="shared" si="102"/>
        <v>-111.62739960268513</v>
      </c>
      <c r="BB102" s="120">
        <f t="shared" si="102"/>
        <v>0</v>
      </c>
      <c r="BC102" s="120">
        <f t="shared" si="102"/>
        <v>0</v>
      </c>
      <c r="BD102" s="120">
        <f t="shared" si="102"/>
        <v>0</v>
      </c>
      <c r="BE102" s="120">
        <f t="shared" si="102"/>
        <v>0</v>
      </c>
      <c r="BF102" s="120">
        <f t="shared" si="102"/>
        <v>0</v>
      </c>
      <c r="BG102" s="120">
        <f t="shared" si="102"/>
        <v>0</v>
      </c>
      <c r="BH102" s="120">
        <f t="shared" si="102"/>
        <v>0</v>
      </c>
      <c r="BI102" s="120">
        <f t="shared" si="102"/>
        <v>0</v>
      </c>
      <c r="BJ102" s="120">
        <f t="shared" si="102"/>
        <v>0</v>
      </c>
      <c r="BK102" s="286">
        <f t="shared" si="97"/>
        <v>-641.0312378092182</v>
      </c>
      <c r="BL102" s="120"/>
      <c r="BM102" s="120"/>
    </row>
    <row r="103" spans="2:65" ht="13.5" customHeight="1">
      <c r="B103" s="23"/>
      <c r="C103" s="2" t="s">
        <v>373</v>
      </c>
      <c r="D103" s="3"/>
      <c r="H103" s="28">
        <f>(H87*$G$22+H94*$G$35+H101*$G$45)/$G$22</f>
        <v>177.102</v>
      </c>
      <c r="I103" s="145" t="s">
        <v>392</v>
      </c>
      <c r="J103" s="66">
        <f>G79+G90+G97</f>
        <v>1828</v>
      </c>
      <c r="K103" s="145"/>
      <c r="L103" s="554" t="s">
        <v>371</v>
      </c>
      <c r="M103" s="554"/>
      <c r="N103" s="554"/>
      <c r="O103" s="88">
        <f>O87+O94+O101</f>
        <v>35420.4</v>
      </c>
      <c r="P103" s="88">
        <f aca="true" t="shared" si="103" ref="P103:Y103">P87+P94+P101</f>
        <v>36127.353</v>
      </c>
      <c r="Q103" s="88">
        <f t="shared" si="103"/>
        <v>37374.4461</v>
      </c>
      <c r="R103" s="88">
        <f t="shared" si="103"/>
        <v>38495.679483</v>
      </c>
      <c r="S103" s="88">
        <f t="shared" si="103"/>
        <v>39650.54986749</v>
      </c>
      <c r="T103" s="88">
        <f t="shared" si="103"/>
        <v>40840.06636351469</v>
      </c>
      <c r="U103" s="88">
        <f t="shared" si="103"/>
        <v>42065.268354420135</v>
      </c>
      <c r="V103" s="88">
        <f t="shared" si="103"/>
        <v>43327.22640505275</v>
      </c>
      <c r="W103" s="88">
        <f t="shared" si="103"/>
        <v>44627.04319720432</v>
      </c>
      <c r="X103" s="88">
        <f t="shared" si="103"/>
        <v>45965.85449312046</v>
      </c>
      <c r="Y103" s="88">
        <f t="shared" si="103"/>
        <v>47344.83012791407</v>
      </c>
      <c r="Z103" s="88">
        <f>Z87+Z94+Z101</f>
        <v>48765.175031751496</v>
      </c>
      <c r="AA103" s="88">
        <f>AA87+AA94+AA101</f>
        <v>50228.13028270404</v>
      </c>
      <c r="AB103" s="88">
        <f>AB87+AB94+AB101</f>
        <v>51734.97419118516</v>
      </c>
      <c r="AC103" s="88">
        <f>AC87+AC94+AC101</f>
        <v>53287.02341692071</v>
      </c>
      <c r="AD103" s="88">
        <f>AD87+AD94+AD101</f>
        <v>54885.63411942834</v>
      </c>
      <c r="AE103" s="66"/>
      <c r="AH103" s="60">
        <f t="shared" si="91"/>
        <v>2010</v>
      </c>
      <c r="AI103" s="161" t="s">
        <v>224</v>
      </c>
      <c r="AJ103" s="269"/>
      <c r="AK103" s="269"/>
      <c r="AL103" s="162">
        <f>IF($T$38&gt;0,$T$38*$M$22*T42*$N$22,0)</f>
        <v>4231.402032655781</v>
      </c>
      <c r="AM103" s="163">
        <f t="shared" si="92"/>
        <v>0.07</v>
      </c>
      <c r="AN103" s="263">
        <v>3</v>
      </c>
      <c r="AO103" s="164">
        <v>1</v>
      </c>
      <c r="AP103" s="165">
        <f>IF($N$22=0,$T$38*$M$22*T42,AL103/$N$22*(1-$N$22))</f>
        <v>1410.4673442185938</v>
      </c>
      <c r="AQ103" s="107">
        <f t="shared" si="93"/>
        <v>1612.3827927122882</v>
      </c>
      <c r="AR103" s="107">
        <f t="shared" si="94"/>
        <v>605.7463454810832</v>
      </c>
      <c r="AS103" s="107">
        <f t="shared" si="95"/>
        <v>6247.615722355458</v>
      </c>
      <c r="AT103" s="99">
        <f t="shared" si="98"/>
        <v>3</v>
      </c>
      <c r="AU103" s="121">
        <v>5</v>
      </c>
      <c r="AV103" s="120"/>
      <c r="AW103" s="120"/>
      <c r="AX103" s="120"/>
      <c r="AY103" s="120"/>
      <c r="AZ103" s="120">
        <f>IF(AZ97-$AY$97&gt;$AN$103,0,IPMT($AM$103/$AO$103,AZ97-$AY$97,$AN$103*$AO$103,$AL$103,0))</f>
        <v>-296.1981422859047</v>
      </c>
      <c r="BA103" s="120">
        <f aca="true" t="shared" si="104" ref="BA103:BJ103">IF(BA97-$AY$97&gt;$AN$103,0,IPMT($AM$103/$AO$103,BA97-$AY$97,$AN$103*$AO$103,$AL$103,0))</f>
        <v>-204.06521675605782</v>
      </c>
      <c r="BB103" s="120">
        <f t="shared" si="104"/>
        <v>-105.4829864391217</v>
      </c>
      <c r="BC103" s="120">
        <f t="shared" si="104"/>
        <v>0</v>
      </c>
      <c r="BD103" s="120">
        <f t="shared" si="104"/>
        <v>0</v>
      </c>
      <c r="BE103" s="120">
        <f t="shared" si="104"/>
        <v>0</v>
      </c>
      <c r="BF103" s="120">
        <f t="shared" si="104"/>
        <v>0</v>
      </c>
      <c r="BG103" s="120">
        <f t="shared" si="104"/>
        <v>0</v>
      </c>
      <c r="BH103" s="120">
        <f t="shared" si="104"/>
        <v>0</v>
      </c>
      <c r="BI103" s="120">
        <f t="shared" si="104"/>
        <v>0</v>
      </c>
      <c r="BJ103" s="120">
        <f t="shared" si="104"/>
        <v>0</v>
      </c>
      <c r="BK103" s="286">
        <f t="shared" si="97"/>
        <v>-605.7463454810843</v>
      </c>
      <c r="BL103" s="120"/>
      <c r="BM103" s="120"/>
    </row>
    <row r="104" spans="2:65" ht="13.5" customHeight="1">
      <c r="B104" s="23"/>
      <c r="C104" s="2"/>
      <c r="D104" s="3"/>
      <c r="H104" s="28"/>
      <c r="I104" s="145"/>
      <c r="J104" s="20"/>
      <c r="K104" s="145"/>
      <c r="L104" s="40"/>
      <c r="M104" s="40"/>
      <c r="N104" s="40"/>
      <c r="O104" s="72"/>
      <c r="P104" s="88"/>
      <c r="Q104" s="88"/>
      <c r="R104" s="88"/>
      <c r="S104" s="88"/>
      <c r="T104" s="88"/>
      <c r="U104" s="88"/>
      <c r="V104" s="88"/>
      <c r="W104" s="88"/>
      <c r="X104" s="88"/>
      <c r="Y104" s="88"/>
      <c r="Z104" s="88"/>
      <c r="AA104" s="88"/>
      <c r="AB104" s="88"/>
      <c r="AC104" s="88"/>
      <c r="AD104" s="88"/>
      <c r="AE104" s="66"/>
      <c r="AH104" s="60">
        <f t="shared" si="91"/>
        <v>2011</v>
      </c>
      <c r="AI104" s="161" t="s">
        <v>225</v>
      </c>
      <c r="AJ104" s="269"/>
      <c r="AK104" s="269"/>
      <c r="AL104" s="162">
        <f>IF($U$38&gt;0,$U$38*$M$22*U42*$N$22,0)</f>
        <v>4005.5398200599802</v>
      </c>
      <c r="AM104" s="163">
        <f t="shared" si="92"/>
        <v>0.07</v>
      </c>
      <c r="AN104" s="263">
        <v>3</v>
      </c>
      <c r="AO104" s="164">
        <v>1</v>
      </c>
      <c r="AP104" s="165">
        <f>IF($N$22=0,$U$38*$M$22*U42,AL104/$N$22*(1-$N$22))</f>
        <v>1335.1799400199934</v>
      </c>
      <c r="AQ104" s="107">
        <f t="shared" si="93"/>
        <v>1526.3176203881108</v>
      </c>
      <c r="AR104" s="107">
        <f t="shared" si="94"/>
        <v>573.4130411043525</v>
      </c>
      <c r="AS104" s="107">
        <f t="shared" si="95"/>
        <v>5914.132801184326</v>
      </c>
      <c r="AT104" s="99">
        <f t="shared" si="98"/>
        <v>3</v>
      </c>
      <c r="AU104" s="121">
        <v>6</v>
      </c>
      <c r="AV104" s="120"/>
      <c r="AW104" s="120"/>
      <c r="AX104" s="120"/>
      <c r="AY104" s="120"/>
      <c r="AZ104" s="120"/>
      <c r="BA104" s="120">
        <f>IF(BA97-$AZ$97&gt;$AN$104,0,IPMT($AM$104/$AO$104,BA97-$AZ$97,$AN$104*$AO$104,$AL$104,0))</f>
        <v>-280.38778740419866</v>
      </c>
      <c r="BB104" s="120">
        <f aca="true" t="shared" si="105" ref="BB104:BJ104">IF(BB97-$AZ$97&gt;$AN$104,0,IPMT($AM$104/$AO$104,BB97-$AZ$97,$AN$104*$AO$104,$AL$104,0))</f>
        <v>-193.17269909532473</v>
      </c>
      <c r="BC104" s="120">
        <f t="shared" si="105"/>
        <v>-99.85255460482973</v>
      </c>
      <c r="BD104" s="120">
        <f t="shared" si="105"/>
        <v>0</v>
      </c>
      <c r="BE104" s="120">
        <f t="shared" si="105"/>
        <v>0</v>
      </c>
      <c r="BF104" s="120">
        <f t="shared" si="105"/>
        <v>0</v>
      </c>
      <c r="BG104" s="120">
        <f t="shared" si="105"/>
        <v>0</v>
      </c>
      <c r="BH104" s="120">
        <f t="shared" si="105"/>
        <v>0</v>
      </c>
      <c r="BI104" s="120">
        <f t="shared" si="105"/>
        <v>0</v>
      </c>
      <c r="BJ104" s="120">
        <f t="shared" si="105"/>
        <v>0</v>
      </c>
      <c r="BK104" s="286">
        <f t="shared" si="97"/>
        <v>-573.4130411043532</v>
      </c>
      <c r="BL104" s="120"/>
      <c r="BM104" s="120"/>
    </row>
    <row r="105" spans="2:65" ht="13.5" customHeight="1">
      <c r="B105" s="23"/>
      <c r="C105" s="2"/>
      <c r="D105" s="3"/>
      <c r="G105" s="20" t="s">
        <v>415</v>
      </c>
      <c r="H105" s="42" t="s">
        <v>174</v>
      </c>
      <c r="I105" s="145"/>
      <c r="K105" s="145"/>
      <c r="L105" s="40"/>
      <c r="M105" s="40"/>
      <c r="N105" s="40"/>
      <c r="O105" s="72"/>
      <c r="P105" s="88"/>
      <c r="Q105" s="88"/>
      <c r="R105" s="88"/>
      <c r="S105" s="88"/>
      <c r="T105" s="88"/>
      <c r="U105" s="88"/>
      <c r="V105" s="88"/>
      <c r="W105" s="88"/>
      <c r="X105" s="88"/>
      <c r="Y105" s="88"/>
      <c r="Z105" s="88"/>
      <c r="AA105" s="88"/>
      <c r="AB105" s="88"/>
      <c r="AC105" s="88"/>
      <c r="AD105" s="88"/>
      <c r="AE105" s="66"/>
      <c r="AH105" s="60">
        <f t="shared" si="91"/>
        <v>2012</v>
      </c>
      <c r="AI105" s="161" t="s">
        <v>226</v>
      </c>
      <c r="AJ105" s="269"/>
      <c r="AK105" s="269"/>
      <c r="AL105" s="162">
        <f>IF($V$38&gt;0,$V$38*$M$22*V42*$N$22,0)</f>
        <v>3912.758247250916</v>
      </c>
      <c r="AM105" s="163">
        <f t="shared" si="92"/>
        <v>0.07</v>
      </c>
      <c r="AN105" s="263">
        <v>3</v>
      </c>
      <c r="AO105" s="164">
        <v>1</v>
      </c>
      <c r="AP105" s="165">
        <f>IF($N$22=0,$V$38*$M$22*V42,AL105/$N$22*(1-$N$22))</f>
        <v>1304.2527490836387</v>
      </c>
      <c r="AQ105" s="107">
        <f t="shared" si="93"/>
        <v>1490.9630475246518</v>
      </c>
      <c r="AR105" s="107">
        <f t="shared" si="94"/>
        <v>560.1308953230387</v>
      </c>
      <c r="AS105" s="107">
        <f t="shared" si="95"/>
        <v>5777.141891657593</v>
      </c>
      <c r="AT105" s="99">
        <f t="shared" si="98"/>
        <v>3</v>
      </c>
      <c r="AU105" s="121">
        <v>7</v>
      </c>
      <c r="AV105" s="120"/>
      <c r="AW105" s="120"/>
      <c r="AX105" s="120"/>
      <c r="AY105" s="120"/>
      <c r="AZ105" s="120"/>
      <c r="BB105" s="120">
        <f>IF(BB97-$BA$97&gt;$AN$105,0,IPMT($AM$105/$AO$105,BB97-$BA$97,$AN$105*$AO$105,$AL$105,0))</f>
        <v>-273.89307730756417</v>
      </c>
      <c r="BC105" s="120">
        <f aca="true" t="shared" si="106" ref="BC105:BJ105">IF(BC97-$BA$97&gt;$AN$105,0,IPMT($AM$105/$AO$105,BC97-$BA$97,$AN$105*$AO$105,$AL$105,0))</f>
        <v>-188.6981793923679</v>
      </c>
      <c r="BD105" s="120">
        <f t="shared" si="106"/>
        <v>-97.53963862310812</v>
      </c>
      <c r="BE105" s="120">
        <f t="shared" si="106"/>
        <v>0</v>
      </c>
      <c r="BF105" s="120">
        <f t="shared" si="106"/>
        <v>0</v>
      </c>
      <c r="BG105" s="120">
        <f t="shared" si="106"/>
        <v>0</v>
      </c>
      <c r="BH105" s="120">
        <f t="shared" si="106"/>
        <v>0</v>
      </c>
      <c r="BI105" s="120">
        <f t="shared" si="106"/>
        <v>0</v>
      </c>
      <c r="BJ105" s="120">
        <f t="shared" si="106"/>
        <v>0</v>
      </c>
      <c r="BK105" s="286">
        <f t="shared" si="97"/>
        <v>-560.1308953230401</v>
      </c>
      <c r="BL105" s="120"/>
      <c r="BM105" s="120"/>
    </row>
    <row r="106" spans="7:65" ht="13.5" customHeight="1">
      <c r="G106" s="449" t="s">
        <v>416</v>
      </c>
      <c r="H106" s="42" t="s">
        <v>175</v>
      </c>
      <c r="I106" s="145"/>
      <c r="K106" s="145"/>
      <c r="L106" s="40"/>
      <c r="M106" s="40"/>
      <c r="N106" s="40"/>
      <c r="O106" s="72"/>
      <c r="P106" s="72"/>
      <c r="Q106" s="72"/>
      <c r="R106" s="72"/>
      <c r="S106" s="72"/>
      <c r="T106" s="72"/>
      <c r="U106" s="72"/>
      <c r="V106" s="72"/>
      <c r="W106" s="72"/>
      <c r="X106" s="72"/>
      <c r="Y106" s="72"/>
      <c r="Z106" s="72"/>
      <c r="AA106" s="72"/>
      <c r="AB106" s="72"/>
      <c r="AC106" s="72"/>
      <c r="AD106" s="72"/>
      <c r="AH106" s="60">
        <f t="shared" si="91"/>
        <v>2013</v>
      </c>
      <c r="AI106" s="161" t="s">
        <v>227</v>
      </c>
      <c r="AJ106" s="269"/>
      <c r="AK106" s="269"/>
      <c r="AL106" s="162">
        <f>IF($W$38&gt;0,$W$38*$M$22*W42*$N$22,0)</f>
        <v>3957.74325224925</v>
      </c>
      <c r="AM106" s="163">
        <f t="shared" si="92"/>
        <v>0.07</v>
      </c>
      <c r="AN106" s="263">
        <v>3</v>
      </c>
      <c r="AO106" s="164">
        <v>1</v>
      </c>
      <c r="AP106" s="165">
        <f>IF($N$22=0,$W$38*$M$22*W42,AL106/$N$22*(1-$N$22))</f>
        <v>1319.24775074975</v>
      </c>
      <c r="AQ106" s="107">
        <f t="shared" si="93"/>
        <v>1508.104658609965</v>
      </c>
      <c r="AR106" s="107">
        <f t="shared" si="94"/>
        <v>566.5707235806449</v>
      </c>
      <c r="AS106" s="107">
        <f t="shared" si="95"/>
        <v>5843.5617265796445</v>
      </c>
      <c r="AT106" s="99">
        <f t="shared" si="98"/>
        <v>3</v>
      </c>
      <c r="AU106" s="121">
        <v>8</v>
      </c>
      <c r="AV106" s="120"/>
      <c r="AW106" s="120"/>
      <c r="AX106" s="120"/>
      <c r="AY106" s="120"/>
      <c r="AZ106" s="120"/>
      <c r="BB106" s="120"/>
      <c r="BC106" s="120">
        <f>IF(BC97-$BB$97&gt;$AN$106,0,IPMT($AM$106/$AO$106,BC97-$BB$97,$AN$106*$AO$106,$AL$106,0))</f>
        <v>-277.04202765744753</v>
      </c>
      <c r="BD106" s="120">
        <f aca="true" t="shared" si="107" ref="BD106:BJ106">IF(BD97-$BB$97&gt;$AN$106,0,IPMT($AM$106/$AO$106,BD97-$BB$97,$AN$106*$AO$106,$AL$106,0))</f>
        <v>-190.8676434907712</v>
      </c>
      <c r="BE106" s="120">
        <f t="shared" si="107"/>
        <v>-98.66105243242768</v>
      </c>
      <c r="BF106" s="120">
        <f t="shared" si="107"/>
        <v>0</v>
      </c>
      <c r="BG106" s="120">
        <f t="shared" si="107"/>
        <v>0</v>
      </c>
      <c r="BH106" s="120">
        <f t="shared" si="107"/>
        <v>0</v>
      </c>
      <c r="BI106" s="120">
        <f t="shared" si="107"/>
        <v>0</v>
      </c>
      <c r="BJ106" s="120">
        <f t="shared" si="107"/>
        <v>0</v>
      </c>
      <c r="BK106" s="286">
        <f t="shared" si="97"/>
        <v>-566.5707235806465</v>
      </c>
      <c r="BL106" s="120"/>
      <c r="BM106" s="120"/>
    </row>
    <row r="107" spans="3:65" ht="13.5" customHeight="1">
      <c r="C107" s="11" t="s">
        <v>159</v>
      </c>
      <c r="D107" s="3"/>
      <c r="E107" s="3"/>
      <c r="F107" s="3"/>
      <c r="G107" s="20" t="s">
        <v>173</v>
      </c>
      <c r="H107" s="147" t="s">
        <v>176</v>
      </c>
      <c r="I107" s="145"/>
      <c r="K107" s="145"/>
      <c r="L107" s="40"/>
      <c r="M107" s="40"/>
      <c r="N107" s="40"/>
      <c r="O107" s="72"/>
      <c r="P107" s="72"/>
      <c r="Q107" s="72"/>
      <c r="R107" s="72"/>
      <c r="S107" s="72"/>
      <c r="T107" s="72"/>
      <c r="U107" s="72"/>
      <c r="V107" s="72"/>
      <c r="W107" s="72"/>
      <c r="X107" s="72"/>
      <c r="Y107" s="72"/>
      <c r="Z107" s="72"/>
      <c r="AA107" s="72"/>
      <c r="AB107" s="72"/>
      <c r="AC107" s="72"/>
      <c r="AD107" s="72"/>
      <c r="AH107" s="60">
        <f t="shared" si="91"/>
        <v>2014</v>
      </c>
      <c r="AI107" s="161" t="s">
        <v>228</v>
      </c>
      <c r="AJ107" s="269"/>
      <c r="AK107" s="269"/>
      <c r="AL107" s="162">
        <f>IF($X$38&gt;0,$X$38*$M$22*X42*$N$22,0)</f>
        <v>4069.268577140953</v>
      </c>
      <c r="AM107" s="163">
        <f t="shared" si="92"/>
        <v>0.07</v>
      </c>
      <c r="AN107" s="263">
        <v>3</v>
      </c>
      <c r="AO107" s="164">
        <v>1</v>
      </c>
      <c r="AP107" s="165">
        <f>IF($N$22=0,$X$38*$M$22*X42,AL107/$N$22*(1-$N$22))</f>
        <v>1356.4228590469843</v>
      </c>
      <c r="AQ107" s="107">
        <f t="shared" si="93"/>
        <v>1550.6015694256378</v>
      </c>
      <c r="AR107" s="107">
        <f t="shared" si="94"/>
        <v>582.5361311359607</v>
      </c>
      <c r="AS107" s="107">
        <f t="shared" si="95"/>
        <v>6008.227567323898</v>
      </c>
      <c r="AT107" s="99">
        <f t="shared" si="98"/>
        <v>3</v>
      </c>
      <c r="AU107" s="121">
        <v>9</v>
      </c>
      <c r="AV107" s="120"/>
      <c r="AW107" s="120"/>
      <c r="AX107" s="120"/>
      <c r="AY107" s="120"/>
      <c r="AZ107" s="120"/>
      <c r="BB107" s="120"/>
      <c r="BC107" s="120"/>
      <c r="BD107" s="120">
        <f>IF(BD97-$BC$97&gt;$AN$107,0,IPMT($AM$107/$AO$107,BD97-$BC$97,$AN$107*$AO$107,$AL$107,0))</f>
        <v>-284.8488003998667</v>
      </c>
      <c r="BE107" s="120">
        <f aca="true" t="shared" si="108" ref="BE107:BJ107">IF(BE97-$BC$97&gt;$AN$107,0,IPMT($AM$107/$AO$107,BE97-$BC$97,$AN$107*$AO$107,$AL$107,0))</f>
        <v>-196.24610656806263</v>
      </c>
      <c r="BF107" s="120">
        <f t="shared" si="108"/>
        <v>-101.44122416803246</v>
      </c>
      <c r="BG107" s="120">
        <f t="shared" si="108"/>
        <v>0</v>
      </c>
      <c r="BH107" s="120">
        <f t="shared" si="108"/>
        <v>0</v>
      </c>
      <c r="BI107" s="120">
        <f t="shared" si="108"/>
        <v>0</v>
      </c>
      <c r="BJ107" s="120">
        <f t="shared" si="108"/>
        <v>0</v>
      </c>
      <c r="BK107" s="286">
        <f t="shared" si="97"/>
        <v>-582.5361311359618</v>
      </c>
      <c r="BL107" s="120"/>
      <c r="BM107" s="120"/>
    </row>
    <row r="108" spans="2:65" ht="13.5" customHeight="1">
      <c r="B108" s="69" t="s">
        <v>87</v>
      </c>
      <c r="C108" s="426" t="s">
        <v>146</v>
      </c>
      <c r="D108" s="427" t="s">
        <v>372</v>
      </c>
      <c r="E108" s="427"/>
      <c r="F108" s="428"/>
      <c r="G108" s="227">
        <v>5</v>
      </c>
      <c r="H108" s="340">
        <f>G108*G22/G22</f>
        <v>5</v>
      </c>
      <c r="I108" s="145"/>
      <c r="K108" s="204"/>
      <c r="L108" s="189" t="s">
        <v>146</v>
      </c>
      <c r="M108" s="189" t="s">
        <v>147</v>
      </c>
      <c r="O108" s="88">
        <f>$G$108*$G$72*O25</f>
        <v>1000</v>
      </c>
      <c r="P108" s="88">
        <f aca="true" t="shared" si="109" ref="P108:AD108">$G$108*$G$72*P25*P44</f>
        <v>1024.8500000000001</v>
      </c>
      <c r="Q108" s="88">
        <f t="shared" si="109"/>
        <v>1060.8999999999999</v>
      </c>
      <c r="R108" s="88">
        <f t="shared" si="109"/>
        <v>1092.727</v>
      </c>
      <c r="S108" s="88">
        <f t="shared" si="109"/>
        <v>1125.5088099999998</v>
      </c>
      <c r="T108" s="88">
        <f t="shared" si="109"/>
        <v>1159.2740743</v>
      </c>
      <c r="U108" s="88">
        <f t="shared" si="109"/>
        <v>1194.052296529</v>
      </c>
      <c r="V108" s="88">
        <f t="shared" si="109"/>
        <v>1229.87386542487</v>
      </c>
      <c r="W108" s="88">
        <f t="shared" si="109"/>
        <v>1266.770081387616</v>
      </c>
      <c r="X108" s="88">
        <f t="shared" si="109"/>
        <v>1304.7731838292448</v>
      </c>
      <c r="Y108" s="88">
        <f t="shared" si="109"/>
        <v>1343.916379344122</v>
      </c>
      <c r="Z108" s="88">
        <f t="shared" si="109"/>
        <v>1384.2338707244458</v>
      </c>
      <c r="AA108" s="88">
        <f t="shared" si="109"/>
        <v>1425.7608868461791</v>
      </c>
      <c r="AB108" s="88">
        <f t="shared" si="109"/>
        <v>1468.5337134515644</v>
      </c>
      <c r="AC108" s="88">
        <f t="shared" si="109"/>
        <v>1512.5897248551112</v>
      </c>
      <c r="AD108" s="88">
        <f t="shared" si="109"/>
        <v>1557.9674166007646</v>
      </c>
      <c r="AE108" s="66"/>
      <c r="AH108" s="60">
        <f t="shared" si="91"/>
        <v>2015</v>
      </c>
      <c r="AI108" s="161" t="s">
        <v>229</v>
      </c>
      <c r="AJ108" s="269"/>
      <c r="AK108" s="269"/>
      <c r="AL108" s="162">
        <f>IF($Y$38&gt;0,$Y$38*$M$22*Y42*$N$22,0)</f>
        <v>4222.030156614462</v>
      </c>
      <c r="AM108" s="163">
        <f t="shared" si="92"/>
        <v>0.07</v>
      </c>
      <c r="AN108" s="263">
        <v>3</v>
      </c>
      <c r="AO108" s="164">
        <v>1</v>
      </c>
      <c r="AP108" s="165">
        <f>IF($N$22=0,$Y$38*$M$22*Y42,AL108/$N$22*(1-$N$22))</f>
        <v>1407.3433855381538</v>
      </c>
      <c r="AQ108" s="107">
        <f t="shared" si="93"/>
        <v>1608.8116237361812</v>
      </c>
      <c r="AR108" s="107">
        <f t="shared" si="94"/>
        <v>604.4047145940822</v>
      </c>
      <c r="AS108" s="107">
        <f t="shared" si="95"/>
        <v>6233.7782567466975</v>
      </c>
      <c r="AT108" s="99">
        <f t="shared" si="98"/>
        <v>3</v>
      </c>
      <c r="AU108" s="121">
        <v>10</v>
      </c>
      <c r="AV108" s="120"/>
      <c r="AW108" s="120"/>
      <c r="AX108" s="120"/>
      <c r="AY108" s="120"/>
      <c r="AZ108" s="120"/>
      <c r="BB108" s="120"/>
      <c r="BC108" s="120"/>
      <c r="BD108" s="120"/>
      <c r="BE108" s="120">
        <f aca="true" t="shared" si="110" ref="BE108:BJ108">IF(BE97-$BD$97&gt;$AN$108,0,IPMT($AM$108/$AO$108,BE97-$BD$97,$AN$108*$AO$108,$AL$108,0))</f>
        <v>-295.54211096301236</v>
      </c>
      <c r="BF108" s="120">
        <f t="shared" si="110"/>
        <v>-203.61324506889042</v>
      </c>
      <c r="BG108" s="120">
        <f t="shared" si="110"/>
        <v>-105.24935856218013</v>
      </c>
      <c r="BH108" s="120">
        <f t="shared" si="110"/>
        <v>0</v>
      </c>
      <c r="BI108" s="120">
        <f t="shared" si="110"/>
        <v>0</v>
      </c>
      <c r="BJ108" s="120">
        <f t="shared" si="110"/>
        <v>0</v>
      </c>
      <c r="BK108" s="286">
        <f t="shared" si="97"/>
        <v>-604.4047145940829</v>
      </c>
      <c r="BL108" s="120"/>
      <c r="BM108" s="120"/>
    </row>
    <row r="109" spans="2:65" ht="13.5" customHeight="1">
      <c r="B109" s="71"/>
      <c r="C109" s="439"/>
      <c r="D109" s="433" t="s">
        <v>148</v>
      </c>
      <c r="E109" s="433"/>
      <c r="F109" s="434"/>
      <c r="G109" s="228">
        <v>8</v>
      </c>
      <c r="H109" s="340">
        <f>G109*G35/G22</f>
        <v>1.2</v>
      </c>
      <c r="I109" s="145"/>
      <c r="K109" s="204"/>
      <c r="L109" s="189"/>
      <c r="M109" s="189" t="s">
        <v>148</v>
      </c>
      <c r="O109" s="88">
        <f>$G$109*$G$72*O29</f>
        <v>240</v>
      </c>
      <c r="P109" s="88">
        <f aca="true" t="shared" si="111" ref="P109:AD109">$G$109*$G$72*P29*P44</f>
        <v>247.20000000000002</v>
      </c>
      <c r="Q109" s="88">
        <f t="shared" si="111"/>
        <v>254.61599999999999</v>
      </c>
      <c r="R109" s="88">
        <f t="shared" si="111"/>
        <v>262.25448</v>
      </c>
      <c r="S109" s="88">
        <f t="shared" si="111"/>
        <v>270.1221144</v>
      </c>
      <c r="T109" s="88">
        <f t="shared" si="111"/>
        <v>278.22577783199995</v>
      </c>
      <c r="U109" s="88">
        <f t="shared" si="111"/>
        <v>286.57255116695995</v>
      </c>
      <c r="V109" s="88">
        <f t="shared" si="111"/>
        <v>295.1697277019688</v>
      </c>
      <c r="W109" s="88">
        <f t="shared" si="111"/>
        <v>304.0248195330279</v>
      </c>
      <c r="X109" s="88">
        <f t="shared" si="111"/>
        <v>313.14556411901873</v>
      </c>
      <c r="Y109" s="88">
        <f t="shared" si="111"/>
        <v>322.5399310425893</v>
      </c>
      <c r="Z109" s="88">
        <f t="shared" si="111"/>
        <v>332.21612897386694</v>
      </c>
      <c r="AA109" s="88">
        <f t="shared" si="111"/>
        <v>342.182612843083</v>
      </c>
      <c r="AB109" s="88">
        <f t="shared" si="111"/>
        <v>352.44809122837546</v>
      </c>
      <c r="AC109" s="88">
        <f t="shared" si="111"/>
        <v>363.0215339652267</v>
      </c>
      <c r="AD109" s="88">
        <f t="shared" si="111"/>
        <v>373.9121799841835</v>
      </c>
      <c r="AE109" s="66"/>
      <c r="AH109" s="60">
        <f t="shared" si="91"/>
        <v>2016</v>
      </c>
      <c r="AI109" s="161" t="s">
        <v>230</v>
      </c>
      <c r="AJ109" s="269"/>
      <c r="AK109" s="269"/>
      <c r="AL109" s="162">
        <f>IF($Z$38&gt;0,$Z$38*$M$22*Z42*$N$22,0)</f>
        <v>4331.25</v>
      </c>
      <c r="AM109" s="163">
        <f t="shared" si="92"/>
        <v>0.07</v>
      </c>
      <c r="AN109" s="263">
        <v>3</v>
      </c>
      <c r="AO109" s="164">
        <v>1</v>
      </c>
      <c r="AP109" s="165">
        <f>IF($N$22=0,$Z$38*$M$22*Z42,AL109/$N$22*(1-$N$22))</f>
        <v>1443.75</v>
      </c>
      <c r="AQ109" s="107">
        <f t="shared" si="93"/>
        <v>1650.4300269837315</v>
      </c>
      <c r="AR109" s="107">
        <f t="shared" si="94"/>
        <v>620.0400809511948</v>
      </c>
      <c r="AS109" s="107">
        <f t="shared" si="95"/>
        <v>6395.040080951195</v>
      </c>
      <c r="AT109" s="99">
        <f t="shared" si="98"/>
        <v>3</v>
      </c>
      <c r="AU109" s="121">
        <v>11</v>
      </c>
      <c r="AV109" s="120"/>
      <c r="AW109" s="120"/>
      <c r="AX109" s="120"/>
      <c r="AY109" s="120"/>
      <c r="AZ109" s="120"/>
      <c r="BB109" s="120"/>
      <c r="BC109" s="120"/>
      <c r="BD109" s="120"/>
      <c r="BE109" s="120"/>
      <c r="BF109" s="120">
        <f>IF(BF97-$BE$97&gt;$AN$109,0,IPMT($AM$109/$AO$109,BF97-$BE$97,$AN$109*$AO$109,$AL$109,0))</f>
        <v>-303.18750000000006</v>
      </c>
      <c r="BG109" s="120">
        <f>IF(BG97-$BE$97&gt;$AN$109,0,IPMT($AM$109/$AO$109,BG97-$BE$97,$AN$109*$AO$109,$AL$109,0))</f>
        <v>-208.8805231111387</v>
      </c>
      <c r="BH109" s="120">
        <f>IF(BH97-$BE$97&gt;$AN$109,0,IPMT($AM$109/$AO$109,BH97-$BE$97,$AN$109*$AO$109,$AL$109,0))</f>
        <v>-107.9720578400573</v>
      </c>
      <c r="BI109" s="120">
        <f>IF(BI97-$BE$97&gt;$AN$109,0,IPMT($AM$109/$AO$109,BI97-$BE$97,$AN$109*$AO$109,$AL$109,0))</f>
        <v>0</v>
      </c>
      <c r="BJ109" s="120">
        <f>IF(BJ97-$BE$97&gt;$AN$109,0,IPMT($AM$109/$AO$109,BJ97-$BE$97,$AN$109*$AO$109,$AL$109,0))</f>
        <v>0</v>
      </c>
      <c r="BK109" s="286">
        <f t="shared" si="97"/>
        <v>-620.040080951196</v>
      </c>
      <c r="BL109" s="120"/>
      <c r="BM109" s="120"/>
    </row>
    <row r="110" spans="2:65" ht="13.5" customHeight="1">
      <c r="B110" s="71"/>
      <c r="C110" s="429"/>
      <c r="D110" s="430" t="s">
        <v>81</v>
      </c>
      <c r="E110" s="430"/>
      <c r="F110" s="431"/>
      <c r="G110" s="228">
        <v>0</v>
      </c>
      <c r="H110" s="340">
        <f>G110*$G$42/G22</f>
        <v>0</v>
      </c>
      <c r="I110" s="145"/>
      <c r="K110" s="204"/>
      <c r="L110" s="189"/>
      <c r="M110" s="189" t="s">
        <v>81</v>
      </c>
      <c r="O110" s="88">
        <f>$G$110*$G$72*(O37+O38)</f>
        <v>0</v>
      </c>
      <c r="P110" s="88">
        <f aca="true" t="shared" si="112" ref="P110:AD110">$G$110*$G$72*(P37+P38)*P44</f>
        <v>0</v>
      </c>
      <c r="Q110" s="88">
        <f t="shared" si="112"/>
        <v>0</v>
      </c>
      <c r="R110" s="88">
        <f t="shared" si="112"/>
        <v>0</v>
      </c>
      <c r="S110" s="88">
        <f t="shared" si="112"/>
        <v>0</v>
      </c>
      <c r="T110" s="88">
        <f t="shared" si="112"/>
        <v>0</v>
      </c>
      <c r="U110" s="88">
        <f t="shared" si="112"/>
        <v>0</v>
      </c>
      <c r="V110" s="88">
        <f t="shared" si="112"/>
        <v>0</v>
      </c>
      <c r="W110" s="88">
        <f t="shared" si="112"/>
        <v>0</v>
      </c>
      <c r="X110" s="88">
        <f t="shared" si="112"/>
        <v>0</v>
      </c>
      <c r="Y110" s="88">
        <f t="shared" si="112"/>
        <v>0</v>
      </c>
      <c r="Z110" s="88">
        <f t="shared" si="112"/>
        <v>0</v>
      </c>
      <c r="AA110" s="88">
        <f t="shared" si="112"/>
        <v>0</v>
      </c>
      <c r="AB110" s="88">
        <f t="shared" si="112"/>
        <v>0</v>
      </c>
      <c r="AC110" s="88">
        <f t="shared" si="112"/>
        <v>0</v>
      </c>
      <c r="AD110" s="88">
        <f t="shared" si="112"/>
        <v>0</v>
      </c>
      <c r="AE110" s="66"/>
      <c r="AH110" s="60">
        <f t="shared" si="91"/>
        <v>2017</v>
      </c>
      <c r="AI110" s="161" t="s">
        <v>231</v>
      </c>
      <c r="AJ110" s="269"/>
      <c r="AK110" s="269"/>
      <c r="AL110" s="162">
        <f>IF($AA$38&gt;0,$AA$38*$M$22*AA42*$N$22,0)</f>
        <v>4500</v>
      </c>
      <c r="AM110" s="163">
        <f t="shared" si="92"/>
        <v>0.07</v>
      </c>
      <c r="AN110" s="263">
        <v>3</v>
      </c>
      <c r="AO110" s="164">
        <v>1</v>
      </c>
      <c r="AP110" s="165">
        <f>IF($N$22=0,$AA$38*$M$22*AA42,AL110/$N$22*(1-$N$22))</f>
        <v>1500</v>
      </c>
      <c r="AQ110" s="107">
        <f t="shared" si="93"/>
        <v>1714.7324955675133</v>
      </c>
      <c r="AR110" s="107">
        <f t="shared" si="94"/>
        <v>644.1974867025401</v>
      </c>
      <c r="AS110" s="107">
        <f t="shared" si="95"/>
        <v>6644.19748670254</v>
      </c>
      <c r="AT110" s="99">
        <f t="shared" si="98"/>
        <v>3</v>
      </c>
      <c r="AU110" s="121">
        <v>12</v>
      </c>
      <c r="AV110" s="120"/>
      <c r="AW110" s="120"/>
      <c r="AX110" s="120"/>
      <c r="AY110" s="120"/>
      <c r="AZ110" s="120"/>
      <c r="BB110" s="120"/>
      <c r="BC110" s="120"/>
      <c r="BD110" s="120"/>
      <c r="BE110" s="120"/>
      <c r="BF110" s="120"/>
      <c r="BG110" s="120">
        <f>IF(BG97-$BF$97&gt;$AN$110,0,IPMT($AM$110/$AO$110,BG97-$BF$97,$AN$110*$AO$110,$AL$110,0))</f>
        <v>-315.00000000000006</v>
      </c>
      <c r="BH110" s="120">
        <f>IF(BH97-$BF$97&gt;$AN$110,0,IPMT($AM$110/$AO$110,BH97-$BF$97,$AN$110*$AO$110,$AL$110,0))</f>
        <v>-217.01872531027396</v>
      </c>
      <c r="BI110" s="120">
        <f>IF(BI97-$BF$97&gt;$AN$110,0,IPMT($AM$110/$AO$110,BI97-$BF$97,$AN$110*$AO$110,$AL$110,0))</f>
        <v>-112.1787613922673</v>
      </c>
      <c r="BJ110" s="120">
        <f>IF(BJ97-$BF$97&gt;$AN$110,0,IPMT($AM$110/$AO$110,BJ97-$BF$97,$AN$110*$AO$110,$AL$110,0))</f>
        <v>0</v>
      </c>
      <c r="BK110" s="288">
        <f t="shared" si="97"/>
        <v>-644.1974867025414</v>
      </c>
      <c r="BL110" s="120"/>
      <c r="BM110" s="120"/>
    </row>
    <row r="111" spans="3:65" ht="13.5" customHeight="1">
      <c r="C111" s="426" t="s">
        <v>151</v>
      </c>
      <c r="D111" s="427" t="s">
        <v>372</v>
      </c>
      <c r="E111" s="436"/>
      <c r="F111" s="428"/>
      <c r="G111" s="229">
        <v>12</v>
      </c>
      <c r="H111" s="340">
        <f>G111*G22/G22</f>
        <v>12</v>
      </c>
      <c r="I111" s="145"/>
      <c r="K111" s="204"/>
      <c r="L111" s="189" t="s">
        <v>151</v>
      </c>
      <c r="M111" s="189" t="s">
        <v>147</v>
      </c>
      <c r="O111" s="88">
        <f>$G$111*$G$72*O25</f>
        <v>2400</v>
      </c>
      <c r="P111" s="88">
        <f aca="true" t="shared" si="113" ref="P111:AD111">$G$111*$G$72*P25*P44</f>
        <v>2459.64</v>
      </c>
      <c r="Q111" s="88">
        <f t="shared" si="113"/>
        <v>2546.16</v>
      </c>
      <c r="R111" s="88">
        <f t="shared" si="113"/>
        <v>2622.5448</v>
      </c>
      <c r="S111" s="88">
        <f t="shared" si="113"/>
        <v>2701.2211439999996</v>
      </c>
      <c r="T111" s="88">
        <f t="shared" si="113"/>
        <v>2782.2577783199995</v>
      </c>
      <c r="U111" s="88">
        <f t="shared" si="113"/>
        <v>2865.7255116695997</v>
      </c>
      <c r="V111" s="88">
        <f t="shared" si="113"/>
        <v>2951.697277019688</v>
      </c>
      <c r="W111" s="88">
        <f t="shared" si="113"/>
        <v>3040.2481953302786</v>
      </c>
      <c r="X111" s="88">
        <f t="shared" si="113"/>
        <v>3131.455641190187</v>
      </c>
      <c r="Y111" s="88">
        <f t="shared" si="113"/>
        <v>3225.399310425893</v>
      </c>
      <c r="Z111" s="88">
        <f t="shared" si="113"/>
        <v>3322.16128973867</v>
      </c>
      <c r="AA111" s="88">
        <f t="shared" si="113"/>
        <v>3421.8261284308296</v>
      </c>
      <c r="AB111" s="88">
        <f t="shared" si="113"/>
        <v>3524.4809122837546</v>
      </c>
      <c r="AC111" s="88">
        <f t="shared" si="113"/>
        <v>3630.215339652267</v>
      </c>
      <c r="AD111" s="88">
        <f t="shared" si="113"/>
        <v>3739.121799841835</v>
      </c>
      <c r="AE111" s="66"/>
      <c r="AH111" s="60">
        <f t="shared" si="91"/>
        <v>2018</v>
      </c>
      <c r="AI111" s="161" t="s">
        <v>232</v>
      </c>
      <c r="AJ111" s="269"/>
      <c r="AK111" s="269"/>
      <c r="AL111" s="162">
        <f>IF($AB$38&gt;0,$AB$38*$M$22*AB42*$N$22,0)</f>
        <v>4781.25</v>
      </c>
      <c r="AM111" s="163">
        <f t="shared" si="92"/>
        <v>0.07</v>
      </c>
      <c r="AN111" s="263">
        <v>3</v>
      </c>
      <c r="AO111" s="164">
        <v>1</v>
      </c>
      <c r="AP111" s="165">
        <f>IF($N$22=0,$AB$38*$M$22*AB42,AL111/$N$22*(1-$N$22))</f>
        <v>1593.75</v>
      </c>
      <c r="AQ111" s="107">
        <f t="shared" si="93"/>
        <v>1821.9032765404831</v>
      </c>
      <c r="AR111" s="107">
        <f t="shared" si="94"/>
        <v>684.4598296214499</v>
      </c>
      <c r="AS111" s="107">
        <f t="shared" si="95"/>
        <v>7059.45982962145</v>
      </c>
      <c r="AT111" s="99">
        <f t="shared" si="98"/>
        <v>3</v>
      </c>
      <c r="AU111" s="121">
        <v>13</v>
      </c>
      <c r="AV111" s="120"/>
      <c r="AW111" s="120"/>
      <c r="AX111" s="120"/>
      <c r="AY111" s="120"/>
      <c r="AZ111" s="120"/>
      <c r="BB111" s="120"/>
      <c r="BC111" s="120"/>
      <c r="BD111" s="120"/>
      <c r="BE111" s="120"/>
      <c r="BF111" s="120"/>
      <c r="BG111" s="120"/>
      <c r="BH111" s="120">
        <f>IF(BH97-$BG$97&gt;$AN$111,0,IPMT($AM$111/$AO$111,BH97-$BG$97,$AN$111*$AO$111,$AL$111,0))</f>
        <v>-334.68750000000006</v>
      </c>
      <c r="BI111" s="120">
        <f>IF(BI97-$BG$97&gt;$AN$111,0,IPMT($AM$111/$AO$111,BI97-$BG$97,$AN$111*$AO$111,$AL$111,0))</f>
        <v>-230.58239564216612</v>
      </c>
      <c r="BJ111" s="120">
        <f>IF(BJ97-$BG$97&gt;$AN$111,0,IPMT($AM$111/$AO$111,BJ97-$BG$97,$AN$111*$AO$111,$AL$111,0))</f>
        <v>-119.18993397928398</v>
      </c>
      <c r="BK111" s="286">
        <f t="shared" si="97"/>
        <v>-684.4598296214501</v>
      </c>
      <c r="BL111" s="120"/>
      <c r="BM111" s="120"/>
    </row>
    <row r="112" spans="3:65" ht="13.5" customHeight="1">
      <c r="C112" s="437"/>
      <c r="D112" s="433" t="s">
        <v>148</v>
      </c>
      <c r="E112" s="134"/>
      <c r="F112" s="434"/>
      <c r="G112" s="229">
        <v>10</v>
      </c>
      <c r="H112" s="340">
        <f>G112*G35/G22</f>
        <v>1.5</v>
      </c>
      <c r="I112" s="145"/>
      <c r="K112" s="204"/>
      <c r="L112" s="190"/>
      <c r="M112" s="189" t="s">
        <v>148</v>
      </c>
      <c r="O112" s="88">
        <f>$G$112*$G$72*O29</f>
        <v>300</v>
      </c>
      <c r="P112" s="88">
        <f aca="true" t="shared" si="114" ref="P112:AD112">$G$112*$G$72*P29*P44</f>
        <v>309</v>
      </c>
      <c r="Q112" s="88">
        <f t="shared" si="114"/>
        <v>318.27</v>
      </c>
      <c r="R112" s="88">
        <f t="shared" si="114"/>
        <v>327.8181</v>
      </c>
      <c r="S112" s="88">
        <f t="shared" si="114"/>
        <v>337.65264299999996</v>
      </c>
      <c r="T112" s="88">
        <f t="shared" si="114"/>
        <v>347.78222228999994</v>
      </c>
      <c r="U112" s="88">
        <f t="shared" si="114"/>
        <v>358.21568895869996</v>
      </c>
      <c r="V112" s="88">
        <f t="shared" si="114"/>
        <v>368.962159627461</v>
      </c>
      <c r="W112" s="88">
        <f t="shared" si="114"/>
        <v>380.0310244162848</v>
      </c>
      <c r="X112" s="88">
        <f t="shared" si="114"/>
        <v>391.4319551487734</v>
      </c>
      <c r="Y112" s="88">
        <f t="shared" si="114"/>
        <v>403.1749138032366</v>
      </c>
      <c r="Z112" s="88">
        <f t="shared" si="114"/>
        <v>415.27016121733374</v>
      </c>
      <c r="AA112" s="88">
        <f t="shared" si="114"/>
        <v>427.7282660538537</v>
      </c>
      <c r="AB112" s="88">
        <f t="shared" si="114"/>
        <v>440.5601140354693</v>
      </c>
      <c r="AC112" s="88">
        <f t="shared" si="114"/>
        <v>453.7769174565334</v>
      </c>
      <c r="AD112" s="88">
        <f t="shared" si="114"/>
        <v>467.3902249802294</v>
      </c>
      <c r="AE112" s="66"/>
      <c r="AH112" s="60">
        <f t="shared" si="91"/>
        <v>2019</v>
      </c>
      <c r="AI112" s="161" t="s">
        <v>233</v>
      </c>
      <c r="AJ112" s="269"/>
      <c r="AK112" s="269"/>
      <c r="AL112" s="162">
        <f>IF($AC$38&gt;0,$AC$38*$M$22*AC42*$N$22,0)</f>
        <v>4950</v>
      </c>
      <c r="AM112" s="163">
        <f t="shared" si="92"/>
        <v>0.07</v>
      </c>
      <c r="AN112" s="263">
        <v>3</v>
      </c>
      <c r="AO112" s="164">
        <v>1</v>
      </c>
      <c r="AP112" s="165">
        <f>IF($N$22=0,$AC$38*$M$22*AC42,AL112/$N$22*(1-$N$22))</f>
        <v>1650</v>
      </c>
      <c r="AQ112" s="107">
        <f t="shared" si="93"/>
        <v>1886.205745124265</v>
      </c>
      <c r="AR112" s="107">
        <f t="shared" si="94"/>
        <v>708.6172353727943</v>
      </c>
      <c r="AS112" s="107">
        <f t="shared" si="95"/>
        <v>7308.617235372794</v>
      </c>
      <c r="AT112" s="99">
        <f t="shared" si="98"/>
        <v>3</v>
      </c>
      <c r="AU112" s="121">
        <v>14</v>
      </c>
      <c r="AV112" s="120"/>
      <c r="AW112" s="120"/>
      <c r="AX112" s="120"/>
      <c r="AY112" s="120"/>
      <c r="AZ112" s="120"/>
      <c r="BB112" s="120"/>
      <c r="BC112" s="120"/>
      <c r="BD112" s="120"/>
      <c r="BE112" s="120"/>
      <c r="BF112" s="120"/>
      <c r="BG112" s="120"/>
      <c r="BH112" s="120"/>
      <c r="BI112" s="120">
        <f>IF(BI97-$BH$97&gt;$AN$112,0,IPMT($AM$112/$AO$112,BI97-$BH$97,$AN$112*$AO$112,$AL$112,0))</f>
        <v>-346.50000000000006</v>
      </c>
      <c r="BJ112" s="120">
        <f>IF(BJ97-$BH$97&gt;$AN$112,0,IPMT($AM$112/$AO$112,BJ97-$BH$97,$AN$112*$AO$112,$AL$112,0))</f>
        <v>-238.72059784130138</v>
      </c>
      <c r="BK112" s="286">
        <f t="shared" si="97"/>
        <v>-585.2205978413015</v>
      </c>
      <c r="BL112" s="120"/>
      <c r="BM112" s="120"/>
    </row>
    <row r="113" spans="3:65" ht="13.5" customHeight="1" thickBot="1">
      <c r="C113" s="438"/>
      <c r="D113" s="430" t="s">
        <v>81</v>
      </c>
      <c r="E113" s="409"/>
      <c r="F113" s="431"/>
      <c r="G113" s="230">
        <v>15</v>
      </c>
      <c r="H113" s="340">
        <f>G113*$G$42/G22</f>
        <v>0.6</v>
      </c>
      <c r="I113" s="145"/>
      <c r="K113" s="204"/>
      <c r="L113" s="190"/>
      <c r="M113" s="189" t="s">
        <v>81</v>
      </c>
      <c r="O113" s="88">
        <f>$G$113*$G$72*(O37+O38)</f>
        <v>120</v>
      </c>
      <c r="P113" s="88">
        <f aca="true" t="shared" si="115" ref="P113:AD113">$G$113*$G$72*(P37+P38)*P44</f>
        <v>123.60000000000001</v>
      </c>
      <c r="Q113" s="88">
        <f t="shared" si="115"/>
        <v>127.30799999999999</v>
      </c>
      <c r="R113" s="88">
        <f t="shared" si="115"/>
        <v>131.12724</v>
      </c>
      <c r="S113" s="88">
        <f t="shared" si="115"/>
        <v>135.0610572</v>
      </c>
      <c r="T113" s="88">
        <f t="shared" si="115"/>
        <v>139.11288891599997</v>
      </c>
      <c r="U113" s="88">
        <f t="shared" si="115"/>
        <v>143.28627558347998</v>
      </c>
      <c r="V113" s="88">
        <f t="shared" si="115"/>
        <v>147.5848638509844</v>
      </c>
      <c r="W113" s="88">
        <f t="shared" si="115"/>
        <v>152.01240976651394</v>
      </c>
      <c r="X113" s="88">
        <f t="shared" si="115"/>
        <v>156.57278205950936</v>
      </c>
      <c r="Y113" s="88">
        <f t="shared" si="115"/>
        <v>161.26996552129464</v>
      </c>
      <c r="Z113" s="88">
        <f t="shared" si="115"/>
        <v>166.10806448693347</v>
      </c>
      <c r="AA113" s="88">
        <f t="shared" si="115"/>
        <v>171.0913064215415</v>
      </c>
      <c r="AB113" s="88">
        <f t="shared" si="115"/>
        <v>176.22404561418773</v>
      </c>
      <c r="AC113" s="88">
        <f t="shared" si="115"/>
        <v>181.51076698261335</v>
      </c>
      <c r="AD113" s="88">
        <f t="shared" si="115"/>
        <v>186.95608999209176</v>
      </c>
      <c r="AE113" s="66"/>
      <c r="AH113" s="60">
        <f t="shared" si="91"/>
        <v>2020</v>
      </c>
      <c r="AI113" s="166" t="s">
        <v>234</v>
      </c>
      <c r="AJ113" s="271"/>
      <c r="AK113" s="272"/>
      <c r="AL113" s="167">
        <f>IF($AD$38&gt;0,$AD$38*$M$22*AD42*$N$22,0)</f>
        <v>5343.75</v>
      </c>
      <c r="AM113" s="168">
        <f t="shared" si="92"/>
        <v>0.07</v>
      </c>
      <c r="AN113" s="317">
        <v>3</v>
      </c>
      <c r="AO113" s="169">
        <v>1</v>
      </c>
      <c r="AP113" s="170">
        <f>IF($N$22=0,$AD$38*$M$22*AD42,AL113/$N$22*(1-$N$22))</f>
        <v>1781.25</v>
      </c>
      <c r="AQ113" s="107">
        <f t="shared" si="93"/>
        <v>2036.2448384864224</v>
      </c>
      <c r="AR113" s="107">
        <f t="shared" si="94"/>
        <v>764.9845154592676</v>
      </c>
      <c r="AS113" s="107">
        <f t="shared" si="95"/>
        <v>7889.984515459268</v>
      </c>
      <c r="AT113" s="99">
        <f t="shared" si="98"/>
        <v>3</v>
      </c>
      <c r="AU113" s="124">
        <v>15</v>
      </c>
      <c r="AV113" s="125"/>
      <c r="AW113" s="126"/>
      <c r="AX113" s="126"/>
      <c r="AY113" s="126"/>
      <c r="AZ113" s="126"/>
      <c r="BA113" s="127"/>
      <c r="BB113" s="126"/>
      <c r="BC113" s="126"/>
      <c r="BD113" s="126"/>
      <c r="BE113" s="126"/>
      <c r="BF113" s="126"/>
      <c r="BG113" s="126"/>
      <c r="BH113" s="126"/>
      <c r="BI113" s="126"/>
      <c r="BJ113" s="126">
        <f>IF(BJ97-$BI$97&gt;$AN$113,0,IPMT($AM$113/$AO$113,BJ97-$BI$97,$AN$113*$AO$113,$AL$113,0))</f>
        <v>-374.06250000000006</v>
      </c>
      <c r="BK113" s="287">
        <f t="shared" si="97"/>
        <v>-374.06250000000006</v>
      </c>
      <c r="BL113" s="120"/>
      <c r="BM113" s="120"/>
    </row>
    <row r="114" spans="3:65" ht="13.5" customHeight="1">
      <c r="C114" s="1"/>
      <c r="D114" s="3"/>
      <c r="E114" s="36"/>
      <c r="G114" s="450" t="s">
        <v>414</v>
      </c>
      <c r="H114" s="197" t="s">
        <v>164</v>
      </c>
      <c r="I114" s="145"/>
      <c r="K114" s="204"/>
      <c r="L114" s="40"/>
      <c r="M114" s="40"/>
      <c r="N114" s="40"/>
      <c r="O114" s="88"/>
      <c r="P114" s="72"/>
      <c r="Q114" s="72"/>
      <c r="R114" s="72"/>
      <c r="S114" s="72"/>
      <c r="T114" s="72"/>
      <c r="U114" s="72"/>
      <c r="V114" s="72"/>
      <c r="W114" s="72"/>
      <c r="X114" s="72"/>
      <c r="Y114" s="72"/>
      <c r="Z114" s="72"/>
      <c r="AA114" s="72"/>
      <c r="AB114" s="72"/>
      <c r="AC114" s="72"/>
      <c r="AD114" s="72"/>
      <c r="AI114" s="129" t="s">
        <v>0</v>
      </c>
      <c r="AJ114" s="270"/>
      <c r="AK114" s="270"/>
      <c r="AL114" s="115">
        <f>SUM(AL99:AL113)</f>
        <v>67749.2919026991</v>
      </c>
      <c r="AM114" s="101"/>
      <c r="AN114" s="102"/>
      <c r="AO114" s="103"/>
      <c r="AP114" s="104"/>
      <c r="AQ114" s="107"/>
      <c r="AR114" s="107"/>
      <c r="AS114" s="107"/>
      <c r="AT114" s="98"/>
      <c r="AU114" s="98"/>
      <c r="AV114" s="130">
        <f aca="true" t="shared" si="116" ref="AV114:BJ114">SUM(AV99:AV113)</f>
        <v>-372.4617835721426</v>
      </c>
      <c r="AW114" s="130">
        <f t="shared" si="116"/>
        <v>-602.3682341196852</v>
      </c>
      <c r="AX114" s="130">
        <f t="shared" si="116"/>
        <v>-700.2800336455342</v>
      </c>
      <c r="AY114" s="130">
        <f t="shared" si="116"/>
        <v>-663.5429213311158</v>
      </c>
      <c r="AZ114" s="130">
        <f t="shared" si="116"/>
        <v>-629.4664528206763</v>
      </c>
      <c r="BA114" s="130">
        <f t="shared" si="116"/>
        <v>-596.0804037629416</v>
      </c>
      <c r="BB114" s="130">
        <f t="shared" si="116"/>
        <v>-572.5487628420105</v>
      </c>
      <c r="BC114" s="130">
        <f t="shared" si="116"/>
        <v>-565.5927616546452</v>
      </c>
      <c r="BD114" s="130">
        <f t="shared" si="116"/>
        <v>-573.256082513746</v>
      </c>
      <c r="BE114" s="130">
        <f t="shared" si="116"/>
        <v>-590.4492699635027</v>
      </c>
      <c r="BF114" s="130">
        <f t="shared" si="116"/>
        <v>-608.241969236923</v>
      </c>
      <c r="BG114" s="130">
        <f t="shared" si="116"/>
        <v>-629.1298816733189</v>
      </c>
      <c r="BH114" s="130">
        <f t="shared" si="116"/>
        <v>-659.6782831503313</v>
      </c>
      <c r="BI114" s="130">
        <f t="shared" si="116"/>
        <v>-689.2611570344335</v>
      </c>
      <c r="BJ114" s="130">
        <f t="shared" si="116"/>
        <v>-731.9730318205854</v>
      </c>
      <c r="BK114" s="98"/>
      <c r="BL114" s="98"/>
      <c r="BM114" s="98"/>
    </row>
    <row r="115" spans="2:65" ht="13.5" customHeight="1">
      <c r="B115" s="69" t="s">
        <v>87</v>
      </c>
      <c r="C115" s="426" t="s">
        <v>152</v>
      </c>
      <c r="D115" s="427" t="s">
        <v>153</v>
      </c>
      <c r="E115" s="427"/>
      <c r="F115" s="428"/>
      <c r="G115" s="231">
        <v>2250</v>
      </c>
      <c r="H115" s="340">
        <f aca="true" t="shared" si="117" ref="H115:H128">G115/$G$22</f>
        <v>11.25</v>
      </c>
      <c r="I115" s="145"/>
      <c r="K115" s="204"/>
      <c r="L115" s="189" t="s">
        <v>261</v>
      </c>
      <c r="M115" s="191" t="s">
        <v>153</v>
      </c>
      <c r="O115" s="88">
        <f>$H$115*$G$72*O25</f>
        <v>2250</v>
      </c>
      <c r="P115" s="88">
        <f aca="true" t="shared" si="118" ref="P115:AD115">$H$115*$G$72*P25*P44</f>
        <v>2305.9125</v>
      </c>
      <c r="Q115" s="88">
        <f t="shared" si="118"/>
        <v>2387.025</v>
      </c>
      <c r="R115" s="88">
        <f t="shared" si="118"/>
        <v>2458.63575</v>
      </c>
      <c r="S115" s="88">
        <f t="shared" si="118"/>
        <v>2532.3948225</v>
      </c>
      <c r="T115" s="88">
        <f t="shared" si="118"/>
        <v>2608.3666671749997</v>
      </c>
      <c r="U115" s="88">
        <f t="shared" si="118"/>
        <v>2686.61766719025</v>
      </c>
      <c r="V115" s="88">
        <f t="shared" si="118"/>
        <v>2767.2161972059575</v>
      </c>
      <c r="W115" s="88">
        <f t="shared" si="118"/>
        <v>2850.232683122136</v>
      </c>
      <c r="X115" s="88">
        <f t="shared" si="118"/>
        <v>2935.7396636158005</v>
      </c>
      <c r="Y115" s="88">
        <f t="shared" si="118"/>
        <v>3023.8118535242743</v>
      </c>
      <c r="Z115" s="88">
        <f t="shared" si="118"/>
        <v>3114.526209130003</v>
      </c>
      <c r="AA115" s="88">
        <f t="shared" si="118"/>
        <v>3207.961995403903</v>
      </c>
      <c r="AB115" s="88">
        <f t="shared" si="118"/>
        <v>3304.20085526602</v>
      </c>
      <c r="AC115" s="88">
        <f t="shared" si="118"/>
        <v>3403.3268809240003</v>
      </c>
      <c r="AD115" s="88">
        <f t="shared" si="118"/>
        <v>3505.4266873517204</v>
      </c>
      <c r="AE115" s="66"/>
      <c r="AI115" s="98"/>
      <c r="AJ115" s="98"/>
      <c r="AK115" s="98"/>
      <c r="AL115" s="104"/>
      <c r="AM115" s="101"/>
      <c r="AN115" s="105"/>
      <c r="AO115" s="103"/>
      <c r="AP115" s="104"/>
      <c r="AQ115" s="108"/>
      <c r="AR115" s="107"/>
      <c r="AS115" s="107"/>
      <c r="AT115" s="98"/>
      <c r="AU115" s="98"/>
      <c r="AW115" s="98"/>
      <c r="AX115" s="98"/>
      <c r="AY115" s="98"/>
      <c r="AZ115" s="98"/>
      <c r="BA115" s="98"/>
      <c r="BB115" s="98"/>
      <c r="BC115" s="98"/>
      <c r="BD115" s="98"/>
      <c r="BE115" s="98"/>
      <c r="BF115" s="98"/>
      <c r="BG115" s="98"/>
      <c r="BH115" s="98"/>
      <c r="BI115" s="98"/>
      <c r="BJ115" s="98"/>
      <c r="BK115" s="98"/>
      <c r="BL115" s="98"/>
      <c r="BM115" s="98"/>
    </row>
    <row r="116" spans="3:65" ht="13.5" customHeight="1">
      <c r="C116" s="429"/>
      <c r="D116" s="430" t="s">
        <v>154</v>
      </c>
      <c r="E116" s="430"/>
      <c r="F116" s="431"/>
      <c r="G116" s="211">
        <v>2000</v>
      </c>
      <c r="H116" s="74">
        <f t="shared" si="117"/>
        <v>10</v>
      </c>
      <c r="I116" s="145"/>
      <c r="K116" s="204"/>
      <c r="L116" s="190"/>
      <c r="M116" s="191" t="s">
        <v>154</v>
      </c>
      <c r="O116" s="88">
        <f>$H$116*$G$72*O25</f>
        <v>2000</v>
      </c>
      <c r="P116" s="88">
        <f aca="true" t="shared" si="119" ref="P116:AD116">$H$116*$G$72*P25*P44</f>
        <v>2049.7000000000003</v>
      </c>
      <c r="Q116" s="88">
        <f t="shared" si="119"/>
        <v>2121.7999999999997</v>
      </c>
      <c r="R116" s="88">
        <f t="shared" si="119"/>
        <v>2185.454</v>
      </c>
      <c r="S116" s="88">
        <f t="shared" si="119"/>
        <v>2251.0176199999996</v>
      </c>
      <c r="T116" s="88">
        <f t="shared" si="119"/>
        <v>2318.5481486</v>
      </c>
      <c r="U116" s="88">
        <f t="shared" si="119"/>
        <v>2388.104593058</v>
      </c>
      <c r="V116" s="88">
        <f t="shared" si="119"/>
        <v>2459.74773084974</v>
      </c>
      <c r="W116" s="88">
        <f t="shared" si="119"/>
        <v>2533.540162775232</v>
      </c>
      <c r="X116" s="88">
        <f t="shared" si="119"/>
        <v>2609.5463676584895</v>
      </c>
      <c r="Y116" s="88">
        <f t="shared" si="119"/>
        <v>2687.832758688244</v>
      </c>
      <c r="Z116" s="88">
        <f t="shared" si="119"/>
        <v>2768.4677414488915</v>
      </c>
      <c r="AA116" s="88">
        <f t="shared" si="119"/>
        <v>2851.5217736923582</v>
      </c>
      <c r="AB116" s="88">
        <f t="shared" si="119"/>
        <v>2937.0674269031288</v>
      </c>
      <c r="AC116" s="88">
        <f t="shared" si="119"/>
        <v>3025.1794497102223</v>
      </c>
      <c r="AD116" s="88">
        <f t="shared" si="119"/>
        <v>3115.9348332015293</v>
      </c>
      <c r="AE116" s="66"/>
      <c r="AI116" s="98"/>
      <c r="AJ116" s="98"/>
      <c r="AK116" s="98"/>
      <c r="AL116" s="104"/>
      <c r="AM116" s="101"/>
      <c r="AN116" s="102"/>
      <c r="AO116" s="103"/>
      <c r="AP116" s="104"/>
      <c r="BB116" s="132" t="s">
        <v>3</v>
      </c>
      <c r="BK116" s="41"/>
      <c r="BL116" s="41"/>
      <c r="BM116" s="41"/>
    </row>
    <row r="117" spans="3:65" ht="13.5" customHeight="1">
      <c r="C117" s="426" t="s">
        <v>150</v>
      </c>
      <c r="D117" s="427" t="s">
        <v>155</v>
      </c>
      <c r="E117" s="427"/>
      <c r="F117" s="428"/>
      <c r="G117" s="211">
        <v>1000</v>
      </c>
      <c r="H117" s="74">
        <f t="shared" si="117"/>
        <v>5</v>
      </c>
      <c r="I117" s="145"/>
      <c r="J117" s="87"/>
      <c r="K117" s="204"/>
      <c r="L117" s="189" t="s">
        <v>260</v>
      </c>
      <c r="M117" s="191" t="s">
        <v>155</v>
      </c>
      <c r="O117" s="88">
        <f>$H$117*$G$72*O25</f>
        <v>1000</v>
      </c>
      <c r="P117" s="88">
        <f aca="true" t="shared" si="120" ref="P117:AD117">$H$117*$G$72*P25*P44</f>
        <v>1024.8500000000001</v>
      </c>
      <c r="Q117" s="88">
        <f t="shared" si="120"/>
        <v>1060.8999999999999</v>
      </c>
      <c r="R117" s="88">
        <f t="shared" si="120"/>
        <v>1092.727</v>
      </c>
      <c r="S117" s="88">
        <f t="shared" si="120"/>
        <v>1125.5088099999998</v>
      </c>
      <c r="T117" s="88">
        <f t="shared" si="120"/>
        <v>1159.2740743</v>
      </c>
      <c r="U117" s="88">
        <f t="shared" si="120"/>
        <v>1194.052296529</v>
      </c>
      <c r="V117" s="88">
        <f t="shared" si="120"/>
        <v>1229.87386542487</v>
      </c>
      <c r="W117" s="88">
        <f t="shared" si="120"/>
        <v>1266.770081387616</v>
      </c>
      <c r="X117" s="88">
        <f t="shared" si="120"/>
        <v>1304.7731838292448</v>
      </c>
      <c r="Y117" s="88">
        <f t="shared" si="120"/>
        <v>1343.916379344122</v>
      </c>
      <c r="Z117" s="88">
        <f t="shared" si="120"/>
        <v>1384.2338707244458</v>
      </c>
      <c r="AA117" s="88">
        <f t="shared" si="120"/>
        <v>1425.7608868461791</v>
      </c>
      <c r="AB117" s="88">
        <f t="shared" si="120"/>
        <v>1468.5337134515644</v>
      </c>
      <c r="AC117" s="88">
        <f t="shared" si="120"/>
        <v>1512.5897248551112</v>
      </c>
      <c r="AD117" s="88">
        <f t="shared" si="120"/>
        <v>1557.9674166007646</v>
      </c>
      <c r="AE117" s="66"/>
      <c r="AI117" s="98"/>
      <c r="AJ117" s="98"/>
      <c r="AK117" s="98"/>
      <c r="AL117" s="98"/>
      <c r="AM117" s="98"/>
      <c r="AN117" s="98"/>
      <c r="AO117" s="98"/>
      <c r="AP117" s="112"/>
      <c r="AV117" s="110" t="s">
        <v>1</v>
      </c>
      <c r="AW117" s="109"/>
      <c r="AX117" s="109"/>
      <c r="AY117" s="109"/>
      <c r="AZ117" s="109"/>
      <c r="BA117" s="109"/>
      <c r="BB117" s="118"/>
      <c r="BC117" s="109"/>
      <c r="BD117" s="118"/>
      <c r="BE117" s="118"/>
      <c r="BF117" s="118"/>
      <c r="BG117" s="118"/>
      <c r="BH117" s="118"/>
      <c r="BI117" s="118"/>
      <c r="BJ117" s="118"/>
      <c r="BK117" s="112"/>
      <c r="BL117" s="112"/>
      <c r="BM117" s="112"/>
    </row>
    <row r="118" spans="3:65" ht="13.5" customHeight="1">
      <c r="C118" s="432"/>
      <c r="D118" s="433" t="s">
        <v>156</v>
      </c>
      <c r="E118" s="433"/>
      <c r="F118" s="434"/>
      <c r="G118" s="211">
        <v>500</v>
      </c>
      <c r="H118" s="74">
        <f t="shared" si="117"/>
        <v>2.5</v>
      </c>
      <c r="I118" s="145"/>
      <c r="K118" s="204"/>
      <c r="L118" s="186"/>
      <c r="M118" s="191" t="s">
        <v>156</v>
      </c>
      <c r="O118" s="88">
        <f>$H$118*$G$72*O25</f>
        <v>500</v>
      </c>
      <c r="P118" s="88">
        <f aca="true" t="shared" si="121" ref="P118:AD118">$H$118*$G$72*P25*P44</f>
        <v>512.4250000000001</v>
      </c>
      <c r="Q118" s="88">
        <f t="shared" si="121"/>
        <v>530.4499999999999</v>
      </c>
      <c r="R118" s="88">
        <f t="shared" si="121"/>
        <v>546.3635</v>
      </c>
      <c r="S118" s="88">
        <f t="shared" si="121"/>
        <v>562.7544049999999</v>
      </c>
      <c r="T118" s="88">
        <f t="shared" si="121"/>
        <v>579.63703715</v>
      </c>
      <c r="U118" s="88">
        <f t="shared" si="121"/>
        <v>597.0261482645</v>
      </c>
      <c r="V118" s="88">
        <f t="shared" si="121"/>
        <v>614.936932712435</v>
      </c>
      <c r="W118" s="88">
        <f t="shared" si="121"/>
        <v>633.385040693808</v>
      </c>
      <c r="X118" s="88">
        <f t="shared" si="121"/>
        <v>652.3865919146224</v>
      </c>
      <c r="Y118" s="88">
        <f t="shared" si="121"/>
        <v>671.958189672061</v>
      </c>
      <c r="Z118" s="88">
        <f t="shared" si="121"/>
        <v>692.1169353622229</v>
      </c>
      <c r="AA118" s="88">
        <f t="shared" si="121"/>
        <v>712.8804434230896</v>
      </c>
      <c r="AB118" s="88">
        <f t="shared" si="121"/>
        <v>734.2668567257822</v>
      </c>
      <c r="AC118" s="88">
        <f t="shared" si="121"/>
        <v>756.2948624275556</v>
      </c>
      <c r="AD118" s="88">
        <f t="shared" si="121"/>
        <v>778.9837083003823</v>
      </c>
      <c r="AE118" s="66"/>
      <c r="AL118" s="36"/>
      <c r="AM118" s="36"/>
      <c r="AN118" s="36"/>
      <c r="AO118" s="36"/>
      <c r="AP118" s="134"/>
      <c r="AQ118" s="98"/>
      <c r="AR118" s="106"/>
      <c r="AS118" s="106"/>
      <c r="AT118" s="98"/>
      <c r="AU118" s="98"/>
      <c r="AV118" s="135">
        <v>1</v>
      </c>
      <c r="AW118" s="135">
        <v>2</v>
      </c>
      <c r="AX118" s="135">
        <v>3</v>
      </c>
      <c r="AY118" s="135">
        <v>4</v>
      </c>
      <c r="AZ118" s="135">
        <v>5</v>
      </c>
      <c r="BA118" s="135">
        <v>6</v>
      </c>
      <c r="BB118" s="135">
        <v>7</v>
      </c>
      <c r="BC118" s="135">
        <v>8</v>
      </c>
      <c r="BD118" s="135">
        <v>9</v>
      </c>
      <c r="BE118" s="135">
        <v>10</v>
      </c>
      <c r="BF118" s="135">
        <v>11</v>
      </c>
      <c r="BG118" s="135">
        <v>12</v>
      </c>
      <c r="BH118" s="135">
        <v>13</v>
      </c>
      <c r="BI118" s="135">
        <v>14</v>
      </c>
      <c r="BJ118" s="135">
        <v>15</v>
      </c>
      <c r="BK118" s="284" t="s">
        <v>43</v>
      </c>
      <c r="BL118" s="114"/>
      <c r="BM118" s="114"/>
    </row>
    <row r="119" spans="3:65" ht="13.5" customHeight="1">
      <c r="C119" s="432"/>
      <c r="D119" s="433" t="s">
        <v>157</v>
      </c>
      <c r="E119" s="433"/>
      <c r="F119" s="434"/>
      <c r="G119" s="211">
        <v>300</v>
      </c>
      <c r="H119" s="74">
        <f t="shared" si="117"/>
        <v>1.5</v>
      </c>
      <c r="I119" s="145"/>
      <c r="K119" s="204"/>
      <c r="L119" s="186"/>
      <c r="M119" s="191" t="s">
        <v>157</v>
      </c>
      <c r="O119" s="88">
        <f>$H$119*$G$72*O25</f>
        <v>300</v>
      </c>
      <c r="P119" s="88">
        <f aca="true" t="shared" si="122" ref="P119:AD119">$H$119*$G$72*P25*P44</f>
        <v>307.455</v>
      </c>
      <c r="Q119" s="88">
        <f t="shared" si="122"/>
        <v>318.27</v>
      </c>
      <c r="R119" s="88">
        <f t="shared" si="122"/>
        <v>327.8181</v>
      </c>
      <c r="S119" s="88">
        <f t="shared" si="122"/>
        <v>337.65264299999996</v>
      </c>
      <c r="T119" s="88">
        <f t="shared" si="122"/>
        <v>347.78222228999994</v>
      </c>
      <c r="U119" s="88">
        <f t="shared" si="122"/>
        <v>358.21568895869996</v>
      </c>
      <c r="V119" s="88">
        <f t="shared" si="122"/>
        <v>368.962159627461</v>
      </c>
      <c r="W119" s="88">
        <f t="shared" si="122"/>
        <v>380.0310244162848</v>
      </c>
      <c r="X119" s="88">
        <f t="shared" si="122"/>
        <v>391.4319551487734</v>
      </c>
      <c r="Y119" s="88">
        <f t="shared" si="122"/>
        <v>403.1749138032366</v>
      </c>
      <c r="Z119" s="88">
        <f t="shared" si="122"/>
        <v>415.27016121733374</v>
      </c>
      <c r="AA119" s="88">
        <f t="shared" si="122"/>
        <v>427.7282660538537</v>
      </c>
      <c r="AB119" s="88">
        <f t="shared" si="122"/>
        <v>440.5601140354693</v>
      </c>
      <c r="AC119" s="88">
        <f t="shared" si="122"/>
        <v>453.7769174565334</v>
      </c>
      <c r="AD119" s="88">
        <f t="shared" si="122"/>
        <v>467.3902249802294</v>
      </c>
      <c r="AE119" s="66"/>
      <c r="AJ119" s="315"/>
      <c r="AL119" s="36"/>
      <c r="AM119" s="36"/>
      <c r="AN119" s="36"/>
      <c r="AO119" s="36"/>
      <c r="AP119" s="134"/>
      <c r="AR119" s="175" t="str">
        <f aca="true" t="shared" si="123" ref="AR119:AR133">AI99</f>
        <v>Bulls Financed in Year 1</v>
      </c>
      <c r="AS119" s="171"/>
      <c r="AT119" s="172"/>
      <c r="AU119" s="119">
        <v>1</v>
      </c>
      <c r="AV119" s="289">
        <f>IF(AV99=0,0,$AQ$99+AV99)</f>
        <v>1655.0694026125782</v>
      </c>
      <c r="AW119" s="289">
        <f aca="true" t="shared" si="124" ref="AW119:BJ119">IF(AW99=0,0,$AQ$99+AW99)</f>
        <v>1770.9242607954588</v>
      </c>
      <c r="AX119" s="289">
        <f t="shared" si="124"/>
        <v>1894.8889590511408</v>
      </c>
      <c r="AY119" s="289">
        <f t="shared" si="124"/>
        <v>0</v>
      </c>
      <c r="AZ119" s="289">
        <f t="shared" si="124"/>
        <v>0</v>
      </c>
      <c r="BA119" s="289">
        <f t="shared" si="124"/>
        <v>0</v>
      </c>
      <c r="BB119" s="289">
        <f t="shared" si="124"/>
        <v>0</v>
      </c>
      <c r="BC119" s="289">
        <f t="shared" si="124"/>
        <v>0</v>
      </c>
      <c r="BD119" s="289">
        <f t="shared" si="124"/>
        <v>0</v>
      </c>
      <c r="BE119" s="289">
        <f t="shared" si="124"/>
        <v>0</v>
      </c>
      <c r="BF119" s="289">
        <f t="shared" si="124"/>
        <v>0</v>
      </c>
      <c r="BG119" s="289">
        <f t="shared" si="124"/>
        <v>0</v>
      </c>
      <c r="BH119" s="289">
        <f t="shared" si="124"/>
        <v>0</v>
      </c>
      <c r="BI119" s="289">
        <f t="shared" si="124"/>
        <v>0</v>
      </c>
      <c r="BJ119" s="289">
        <f t="shared" si="124"/>
        <v>0</v>
      </c>
      <c r="BK119" s="285">
        <f aca="true" t="shared" si="125" ref="BK119:BK133">SUM(AV119:BJ119)</f>
        <v>5320.882622459178</v>
      </c>
      <c r="BL119" s="136"/>
      <c r="BM119" s="136"/>
    </row>
    <row r="120" spans="3:65" ht="13.5" customHeight="1">
      <c r="C120" s="435"/>
      <c r="D120" s="430" t="s">
        <v>158</v>
      </c>
      <c r="E120" s="430"/>
      <c r="F120" s="431"/>
      <c r="G120" s="211">
        <v>700</v>
      </c>
      <c r="H120" s="74">
        <f t="shared" si="117"/>
        <v>3.5</v>
      </c>
      <c r="I120" s="145"/>
      <c r="K120" s="204"/>
      <c r="L120" s="188"/>
      <c r="M120" s="191" t="s">
        <v>158</v>
      </c>
      <c r="O120" s="88">
        <f>$H$120*$G$72*O25</f>
        <v>700</v>
      </c>
      <c r="P120" s="88">
        <f aca="true" t="shared" si="126" ref="P120:AD120">$H$120*$G$72*P25*P44</f>
        <v>717.395</v>
      </c>
      <c r="Q120" s="88">
        <f t="shared" si="126"/>
        <v>742.63</v>
      </c>
      <c r="R120" s="88">
        <f t="shared" si="126"/>
        <v>764.9089</v>
      </c>
      <c r="S120" s="88">
        <f t="shared" si="126"/>
        <v>787.8561669999999</v>
      </c>
      <c r="T120" s="88">
        <f t="shared" si="126"/>
        <v>811.4918520099999</v>
      </c>
      <c r="U120" s="88">
        <f t="shared" si="126"/>
        <v>835.8366075703</v>
      </c>
      <c r="V120" s="88">
        <f t="shared" si="126"/>
        <v>860.911705797409</v>
      </c>
      <c r="W120" s="88">
        <f t="shared" si="126"/>
        <v>886.7390569713313</v>
      </c>
      <c r="X120" s="88">
        <f t="shared" si="126"/>
        <v>913.3412286804713</v>
      </c>
      <c r="Y120" s="88">
        <f t="shared" si="126"/>
        <v>940.7414655408854</v>
      </c>
      <c r="Z120" s="88">
        <f t="shared" si="126"/>
        <v>968.963709507112</v>
      </c>
      <c r="AA120" s="88">
        <f t="shared" si="126"/>
        <v>998.0326207923254</v>
      </c>
      <c r="AB120" s="88">
        <f t="shared" si="126"/>
        <v>1027.973599416095</v>
      </c>
      <c r="AC120" s="88">
        <f t="shared" si="126"/>
        <v>1058.812807398578</v>
      </c>
      <c r="AD120" s="88">
        <f t="shared" si="126"/>
        <v>1090.5771916205354</v>
      </c>
      <c r="AE120" s="66"/>
      <c r="AJ120" s="315"/>
      <c r="AL120" s="36"/>
      <c r="AM120" s="36"/>
      <c r="AN120" s="36"/>
      <c r="AO120" s="36"/>
      <c r="AP120" s="134"/>
      <c r="AR120" s="175" t="str">
        <f t="shared" si="123"/>
        <v>Bulls Financed in Year 2</v>
      </c>
      <c r="AS120" s="173"/>
      <c r="AT120" s="174"/>
      <c r="AU120" s="121">
        <v>2</v>
      </c>
      <c r="AV120" s="120"/>
      <c r="AW120" s="120">
        <f>IF(AW100=0,0,$AQ$100+AW100)</f>
        <v>1536.423300126745</v>
      </c>
      <c r="AX120" s="120">
        <f>IF(AX100=0,0,$AQ$100+AX100)</f>
        <v>1643.9729311356173</v>
      </c>
      <c r="AY120" s="120">
        <f>IF(AY100=0,0,$AQ$100+AY100)</f>
        <v>1759.0510363151104</v>
      </c>
      <c r="AZ120" s="120">
        <f aca="true" t="shared" si="127" ref="AZ120:BJ120">IF(AZ100=0,0,$AQ$100+AZ100)</f>
        <v>0</v>
      </c>
      <c r="BA120" s="120">
        <f t="shared" si="127"/>
        <v>0</v>
      </c>
      <c r="BB120" s="120">
        <f t="shared" si="127"/>
        <v>0</v>
      </c>
      <c r="BC120" s="120">
        <f t="shared" si="127"/>
        <v>0</v>
      </c>
      <c r="BD120" s="120">
        <f t="shared" si="127"/>
        <v>0</v>
      </c>
      <c r="BE120" s="120">
        <f t="shared" si="127"/>
        <v>0</v>
      </c>
      <c r="BF120" s="120">
        <f t="shared" si="127"/>
        <v>0</v>
      </c>
      <c r="BG120" s="120">
        <f t="shared" si="127"/>
        <v>0</v>
      </c>
      <c r="BH120" s="120">
        <f t="shared" si="127"/>
        <v>0</v>
      </c>
      <c r="BI120" s="120">
        <f t="shared" si="127"/>
        <v>0</v>
      </c>
      <c r="BJ120" s="120">
        <f t="shared" si="127"/>
        <v>0</v>
      </c>
      <c r="BK120" s="286">
        <f t="shared" si="125"/>
        <v>4939.447267577473</v>
      </c>
      <c r="BL120" s="120"/>
      <c r="BM120" s="120"/>
    </row>
    <row r="121" spans="2:65" ht="13.5" customHeight="1">
      <c r="B121" s="3"/>
      <c r="C121" s="2" t="s">
        <v>57</v>
      </c>
      <c r="G121" s="211">
        <v>0</v>
      </c>
      <c r="H121" s="74">
        <f t="shared" si="117"/>
        <v>0</v>
      </c>
      <c r="I121" s="145"/>
      <c r="K121" s="204"/>
      <c r="L121" s="189" t="s">
        <v>57</v>
      </c>
      <c r="M121" s="40"/>
      <c r="N121" s="40"/>
      <c r="O121" s="88">
        <f>$H$121*$G$72*O25</f>
        <v>0</v>
      </c>
      <c r="P121" s="88">
        <f aca="true" t="shared" si="128" ref="P121:AD121">$H$121*$G$72*P25*P44</f>
        <v>0</v>
      </c>
      <c r="Q121" s="88">
        <f t="shared" si="128"/>
        <v>0</v>
      </c>
      <c r="R121" s="88">
        <f t="shared" si="128"/>
        <v>0</v>
      </c>
      <c r="S121" s="88">
        <f t="shared" si="128"/>
        <v>0</v>
      </c>
      <c r="T121" s="88">
        <f t="shared" si="128"/>
        <v>0</v>
      </c>
      <c r="U121" s="88">
        <f t="shared" si="128"/>
        <v>0</v>
      </c>
      <c r="V121" s="88">
        <f t="shared" si="128"/>
        <v>0</v>
      </c>
      <c r="W121" s="88">
        <f t="shared" si="128"/>
        <v>0</v>
      </c>
      <c r="X121" s="88">
        <f t="shared" si="128"/>
        <v>0</v>
      </c>
      <c r="Y121" s="88">
        <f t="shared" si="128"/>
        <v>0</v>
      </c>
      <c r="Z121" s="88">
        <f t="shared" si="128"/>
        <v>0</v>
      </c>
      <c r="AA121" s="88">
        <f t="shared" si="128"/>
        <v>0</v>
      </c>
      <c r="AB121" s="88">
        <f t="shared" si="128"/>
        <v>0</v>
      </c>
      <c r="AC121" s="88">
        <f t="shared" si="128"/>
        <v>0</v>
      </c>
      <c r="AD121" s="88">
        <f t="shared" si="128"/>
        <v>0</v>
      </c>
      <c r="AE121" s="66"/>
      <c r="AJ121" s="315"/>
      <c r="AL121" s="36"/>
      <c r="AM121" s="36"/>
      <c r="AN121" s="36"/>
      <c r="AO121" s="36"/>
      <c r="AP121" s="134"/>
      <c r="AR121" s="175" t="str">
        <f t="shared" si="123"/>
        <v>Bulls Financed in Year 3</v>
      </c>
      <c r="AS121" s="173"/>
      <c r="AT121" s="174"/>
      <c r="AU121" s="121">
        <v>3</v>
      </c>
      <c r="AV121" s="120"/>
      <c r="AW121" s="120"/>
      <c r="AX121" s="120">
        <f>IF(AX101=0,0,$AQ$101+AX101)</f>
        <v>1463.836372561702</v>
      </c>
      <c r="AY121" s="120">
        <f>IF(AY101=0,0,$AQ$101+AY101)</f>
        <v>1566.3049186410212</v>
      </c>
      <c r="AZ121" s="120">
        <f>IF(AZ101=0,0,$AQ$101+AZ101)</f>
        <v>1675.9462629458928</v>
      </c>
      <c r="BA121" s="120">
        <f aca="true" t="shared" si="129" ref="BA121:BJ121">IF(BA101=0,0,$AQ$101+BA101)</f>
        <v>0</v>
      </c>
      <c r="BB121" s="120">
        <f t="shared" si="129"/>
        <v>0</v>
      </c>
      <c r="BC121" s="120">
        <f t="shared" si="129"/>
        <v>0</v>
      </c>
      <c r="BD121" s="120">
        <f t="shared" si="129"/>
        <v>0</v>
      </c>
      <c r="BE121" s="120">
        <f t="shared" si="129"/>
        <v>0</v>
      </c>
      <c r="BF121" s="120">
        <f t="shared" si="129"/>
        <v>0</v>
      </c>
      <c r="BG121" s="120">
        <f t="shared" si="129"/>
        <v>0</v>
      </c>
      <c r="BH121" s="120">
        <f t="shared" si="129"/>
        <v>0</v>
      </c>
      <c r="BI121" s="120">
        <f t="shared" si="129"/>
        <v>0</v>
      </c>
      <c r="BJ121" s="120">
        <f t="shared" si="129"/>
        <v>0</v>
      </c>
      <c r="BK121" s="286">
        <f t="shared" si="125"/>
        <v>4706.087554148617</v>
      </c>
      <c r="BL121" s="120"/>
      <c r="BM121" s="120"/>
    </row>
    <row r="122" spans="2:65" ht="13.5" customHeight="1">
      <c r="B122" s="3"/>
      <c r="C122" s="2" t="s">
        <v>149</v>
      </c>
      <c r="G122" s="211">
        <v>450</v>
      </c>
      <c r="H122" s="74">
        <f t="shared" si="117"/>
        <v>2.25</v>
      </c>
      <c r="I122" s="145"/>
      <c r="K122" s="204"/>
      <c r="L122" s="189" t="s">
        <v>149</v>
      </c>
      <c r="M122" s="40"/>
      <c r="N122" s="40"/>
      <c r="O122" s="88">
        <f>$H$122*$G$72*O25</f>
        <v>450</v>
      </c>
      <c r="P122" s="88">
        <f aca="true" t="shared" si="130" ref="P122:AD122">$H$122*$G$72*P25*P44</f>
        <v>461.1825</v>
      </c>
      <c r="Q122" s="88">
        <f t="shared" si="130"/>
        <v>477.405</v>
      </c>
      <c r="R122" s="88">
        <f t="shared" si="130"/>
        <v>491.72715</v>
      </c>
      <c r="S122" s="88">
        <f t="shared" si="130"/>
        <v>506.47896449999996</v>
      </c>
      <c r="T122" s="88">
        <f t="shared" si="130"/>
        <v>521.6733334349999</v>
      </c>
      <c r="U122" s="88">
        <f t="shared" si="130"/>
        <v>537.3235334380499</v>
      </c>
      <c r="V122" s="88">
        <f t="shared" si="130"/>
        <v>553.4432394411915</v>
      </c>
      <c r="W122" s="88">
        <f t="shared" si="130"/>
        <v>570.0465366244273</v>
      </c>
      <c r="X122" s="88">
        <f t="shared" si="130"/>
        <v>587.1479327231601</v>
      </c>
      <c r="Y122" s="88">
        <f t="shared" si="130"/>
        <v>604.7623707048549</v>
      </c>
      <c r="Z122" s="88">
        <f t="shared" si="130"/>
        <v>622.9052418260005</v>
      </c>
      <c r="AA122" s="88">
        <f t="shared" si="130"/>
        <v>641.5923990807806</v>
      </c>
      <c r="AB122" s="88">
        <f t="shared" si="130"/>
        <v>660.840171053204</v>
      </c>
      <c r="AC122" s="88">
        <f t="shared" si="130"/>
        <v>680.6653761848</v>
      </c>
      <c r="AD122" s="88">
        <f t="shared" si="130"/>
        <v>701.0853374703441</v>
      </c>
      <c r="AE122" s="66"/>
      <c r="AJ122" s="315"/>
      <c r="AL122" s="36"/>
      <c r="AM122" s="36"/>
      <c r="AN122" s="36"/>
      <c r="AO122" s="36"/>
      <c r="AP122" s="134"/>
      <c r="AR122" s="175" t="str">
        <f t="shared" si="123"/>
        <v>Bulls Financed in Year 4</v>
      </c>
      <c r="AS122" s="173"/>
      <c r="AT122" s="174"/>
      <c r="AU122" s="121">
        <v>4</v>
      </c>
      <c r="AV122" s="120"/>
      <c r="AW122" s="120"/>
      <c r="AX122" s="120"/>
      <c r="AY122" s="120">
        <f>IF(AY102=0,0,$AQ$102+AY102)</f>
        <v>1392.8527707059268</v>
      </c>
      <c r="AZ122" s="120">
        <f>IF(AZ102=0,0,$AQ$102+AZ102)</f>
        <v>1490.352464655342</v>
      </c>
      <c r="BA122" s="120">
        <f>IF(BA102=0,0,$AQ$102+BA102)</f>
        <v>1594.6771371812158</v>
      </c>
      <c r="BB122" s="120">
        <f aca="true" t="shared" si="131" ref="BB122:BJ122">IF(BB102=0,0,$AQ$102+BB102)</f>
        <v>0</v>
      </c>
      <c r="BC122" s="120">
        <f t="shared" si="131"/>
        <v>0</v>
      </c>
      <c r="BD122" s="120">
        <f t="shared" si="131"/>
        <v>0</v>
      </c>
      <c r="BE122" s="120">
        <f t="shared" si="131"/>
        <v>0</v>
      </c>
      <c r="BF122" s="120">
        <f t="shared" si="131"/>
        <v>0</v>
      </c>
      <c r="BG122" s="120">
        <f t="shared" si="131"/>
        <v>0</v>
      </c>
      <c r="BH122" s="120">
        <f t="shared" si="131"/>
        <v>0</v>
      </c>
      <c r="BI122" s="120">
        <f t="shared" si="131"/>
        <v>0</v>
      </c>
      <c r="BJ122" s="120">
        <f t="shared" si="131"/>
        <v>0</v>
      </c>
      <c r="BK122" s="286">
        <f t="shared" si="125"/>
        <v>4477.8823725424845</v>
      </c>
      <c r="BL122" s="120"/>
      <c r="BM122" s="120"/>
    </row>
    <row r="123" spans="2:65" ht="13.5" customHeight="1">
      <c r="B123" s="3"/>
      <c r="C123" s="2" t="s">
        <v>58</v>
      </c>
      <c r="G123" s="211">
        <v>0</v>
      </c>
      <c r="H123" s="74">
        <f t="shared" si="117"/>
        <v>0</v>
      </c>
      <c r="I123" s="145"/>
      <c r="K123" s="204"/>
      <c r="L123" s="189" t="s">
        <v>58</v>
      </c>
      <c r="M123" s="40"/>
      <c r="N123" s="40"/>
      <c r="O123" s="88">
        <f>$H$123*$G$72*O25</f>
        <v>0</v>
      </c>
      <c r="P123" s="88">
        <f aca="true" t="shared" si="132" ref="P123:AD123">$H$123*$G$72*P25*P44</f>
        <v>0</v>
      </c>
      <c r="Q123" s="88">
        <f t="shared" si="132"/>
        <v>0</v>
      </c>
      <c r="R123" s="88">
        <f t="shared" si="132"/>
        <v>0</v>
      </c>
      <c r="S123" s="88">
        <f t="shared" si="132"/>
        <v>0</v>
      </c>
      <c r="T123" s="88">
        <f t="shared" si="132"/>
        <v>0</v>
      </c>
      <c r="U123" s="88">
        <f t="shared" si="132"/>
        <v>0</v>
      </c>
      <c r="V123" s="88">
        <f t="shared" si="132"/>
        <v>0</v>
      </c>
      <c r="W123" s="88">
        <f t="shared" si="132"/>
        <v>0</v>
      </c>
      <c r="X123" s="88">
        <f t="shared" si="132"/>
        <v>0</v>
      </c>
      <c r="Y123" s="88">
        <f t="shared" si="132"/>
        <v>0</v>
      </c>
      <c r="Z123" s="88">
        <f t="shared" si="132"/>
        <v>0</v>
      </c>
      <c r="AA123" s="88">
        <f t="shared" si="132"/>
        <v>0</v>
      </c>
      <c r="AB123" s="88">
        <f t="shared" si="132"/>
        <v>0</v>
      </c>
      <c r="AC123" s="88">
        <f t="shared" si="132"/>
        <v>0</v>
      </c>
      <c r="AD123" s="88">
        <f t="shared" si="132"/>
        <v>0</v>
      </c>
      <c r="AE123" s="66"/>
      <c r="AJ123" s="315"/>
      <c r="AL123" s="36"/>
      <c r="AM123" s="36"/>
      <c r="AN123" s="36"/>
      <c r="AO123" s="36"/>
      <c r="AP123" s="134"/>
      <c r="AR123" s="175" t="str">
        <f t="shared" si="123"/>
        <v>Bulls Financed in Year 5</v>
      </c>
      <c r="AS123" s="173"/>
      <c r="AT123" s="174"/>
      <c r="AU123" s="121">
        <v>5</v>
      </c>
      <c r="AV123" s="120"/>
      <c r="AW123" s="120"/>
      <c r="AX123" s="120"/>
      <c r="AY123" s="120"/>
      <c r="AZ123" s="120">
        <f>IF(AZ103=0,0,$AQ$103+AZ103)</f>
        <v>1316.1846504263835</v>
      </c>
      <c r="BA123" s="120">
        <f>IF(BA103=0,0,$AQ$103+BA103)</f>
        <v>1408.3175759562303</v>
      </c>
      <c r="BB123" s="120">
        <f>IF(BB103=0,0,$AQ$103+BB103)</f>
        <v>1506.8998062731664</v>
      </c>
      <c r="BC123" s="120">
        <f aca="true" t="shared" si="133" ref="BC123:BJ123">IF(BC103=0,0,$AQ$103+BC103)</f>
        <v>0</v>
      </c>
      <c r="BD123" s="120">
        <f t="shared" si="133"/>
        <v>0</v>
      </c>
      <c r="BE123" s="120">
        <f t="shared" si="133"/>
        <v>0</v>
      </c>
      <c r="BF123" s="120">
        <f t="shared" si="133"/>
        <v>0</v>
      </c>
      <c r="BG123" s="120">
        <f t="shared" si="133"/>
        <v>0</v>
      </c>
      <c r="BH123" s="120">
        <f t="shared" si="133"/>
        <v>0</v>
      </c>
      <c r="BI123" s="120">
        <f t="shared" si="133"/>
        <v>0</v>
      </c>
      <c r="BJ123" s="120">
        <f t="shared" si="133"/>
        <v>0</v>
      </c>
      <c r="BK123" s="286">
        <f t="shared" si="125"/>
        <v>4231.40203265578</v>
      </c>
      <c r="BL123" s="120"/>
      <c r="BM123" s="120"/>
    </row>
    <row r="124" spans="2:65" ht="13.5" customHeight="1">
      <c r="B124" s="3"/>
      <c r="C124" s="2" t="s">
        <v>59</v>
      </c>
      <c r="D124" s="3"/>
      <c r="E124" s="3"/>
      <c r="G124" s="211">
        <v>1450</v>
      </c>
      <c r="H124" s="74">
        <f t="shared" si="117"/>
        <v>7.25</v>
      </c>
      <c r="I124" s="145"/>
      <c r="K124" s="204"/>
      <c r="L124" s="189" t="s">
        <v>59</v>
      </c>
      <c r="M124" s="191"/>
      <c r="N124" s="191"/>
      <c r="O124" s="88">
        <f>$H$124*$G$72*O25</f>
        <v>1450</v>
      </c>
      <c r="P124" s="88">
        <f aca="true" t="shared" si="134" ref="P124:AD124">$H$124*$G$72*P25*P44</f>
        <v>1486.0325</v>
      </c>
      <c r="Q124" s="88">
        <f t="shared" si="134"/>
        <v>1538.3049999999998</v>
      </c>
      <c r="R124" s="88">
        <f t="shared" si="134"/>
        <v>1584.45415</v>
      </c>
      <c r="S124" s="88">
        <f t="shared" si="134"/>
        <v>1631.9877745</v>
      </c>
      <c r="T124" s="88">
        <f t="shared" si="134"/>
        <v>1680.9474077349998</v>
      </c>
      <c r="U124" s="88">
        <f t="shared" si="134"/>
        <v>1731.3758299670499</v>
      </c>
      <c r="V124" s="88">
        <f t="shared" si="134"/>
        <v>1783.3171048660615</v>
      </c>
      <c r="W124" s="88">
        <f t="shared" si="134"/>
        <v>1836.8166180120434</v>
      </c>
      <c r="X124" s="88">
        <f t="shared" si="134"/>
        <v>1891.9211165524048</v>
      </c>
      <c r="Y124" s="88">
        <f t="shared" si="134"/>
        <v>1948.678750048977</v>
      </c>
      <c r="Z124" s="88">
        <f t="shared" si="134"/>
        <v>2007.1391125504463</v>
      </c>
      <c r="AA124" s="88">
        <f t="shared" si="134"/>
        <v>2067.35328592696</v>
      </c>
      <c r="AB124" s="88">
        <f t="shared" si="134"/>
        <v>2129.3738845047683</v>
      </c>
      <c r="AC124" s="88">
        <f t="shared" si="134"/>
        <v>2193.255101039911</v>
      </c>
      <c r="AD124" s="88">
        <f t="shared" si="134"/>
        <v>2259.0527540711087</v>
      </c>
      <c r="AE124" s="66"/>
      <c r="AJ124" s="315"/>
      <c r="AL124" s="36"/>
      <c r="AM124" s="36"/>
      <c r="AN124" s="36"/>
      <c r="AO124" s="36"/>
      <c r="AP124" s="134"/>
      <c r="AR124" s="175" t="str">
        <f t="shared" si="123"/>
        <v>Bulls Financed in Year 6</v>
      </c>
      <c r="AS124" s="173"/>
      <c r="AT124" s="174"/>
      <c r="AU124" s="121">
        <v>6</v>
      </c>
      <c r="AV124" s="120"/>
      <c r="AW124" s="120"/>
      <c r="AX124" s="120"/>
      <c r="AY124" s="120"/>
      <c r="AZ124" s="120"/>
      <c r="BA124" s="120">
        <f>IF(BA104=0,0,$AQ$104+BA104)</f>
        <v>1245.929832983912</v>
      </c>
      <c r="BB124" s="120">
        <f>IF(BB104=0,0,$AQ$104+BB104)</f>
        <v>1333.144921292786</v>
      </c>
      <c r="BC124" s="120">
        <f>IF(BC104=0,0,$AQ$104+BC104)</f>
        <v>1426.465065783281</v>
      </c>
      <c r="BD124" s="120">
        <f aca="true" t="shared" si="135" ref="BD124:BJ124">IF(BD104=0,0,$AQ$104+BD104)</f>
        <v>0</v>
      </c>
      <c r="BE124" s="120">
        <f t="shared" si="135"/>
        <v>0</v>
      </c>
      <c r="BF124" s="120">
        <f t="shared" si="135"/>
        <v>0</v>
      </c>
      <c r="BG124" s="120">
        <f t="shared" si="135"/>
        <v>0</v>
      </c>
      <c r="BH124" s="120">
        <f t="shared" si="135"/>
        <v>0</v>
      </c>
      <c r="BI124" s="120">
        <f t="shared" si="135"/>
        <v>0</v>
      </c>
      <c r="BJ124" s="120">
        <f t="shared" si="135"/>
        <v>0</v>
      </c>
      <c r="BK124" s="286">
        <f t="shared" si="125"/>
        <v>4005.5398200599793</v>
      </c>
      <c r="BL124" s="120"/>
      <c r="BM124" s="120"/>
    </row>
    <row r="125" spans="2:65" ht="13.5" customHeight="1">
      <c r="B125" s="3"/>
      <c r="C125" s="2" t="s">
        <v>60</v>
      </c>
      <c r="D125" s="3"/>
      <c r="E125" s="3"/>
      <c r="G125" s="211">
        <v>500</v>
      </c>
      <c r="H125" s="74">
        <f t="shared" si="117"/>
        <v>2.5</v>
      </c>
      <c r="I125" s="145"/>
      <c r="K125" s="204"/>
      <c r="L125" s="189" t="s">
        <v>60</v>
      </c>
      <c r="M125" s="191"/>
      <c r="N125" s="191"/>
      <c r="O125" s="88">
        <f>$H$125*$G$72*O25</f>
        <v>500</v>
      </c>
      <c r="P125" s="88">
        <f aca="true" t="shared" si="136" ref="P125:AD125">$H$125*$G$72*P25*P44</f>
        <v>512.4250000000001</v>
      </c>
      <c r="Q125" s="88">
        <f t="shared" si="136"/>
        <v>530.4499999999999</v>
      </c>
      <c r="R125" s="88">
        <f t="shared" si="136"/>
        <v>546.3635</v>
      </c>
      <c r="S125" s="88">
        <f t="shared" si="136"/>
        <v>562.7544049999999</v>
      </c>
      <c r="T125" s="88">
        <f t="shared" si="136"/>
        <v>579.63703715</v>
      </c>
      <c r="U125" s="88">
        <f t="shared" si="136"/>
        <v>597.0261482645</v>
      </c>
      <c r="V125" s="88">
        <f t="shared" si="136"/>
        <v>614.936932712435</v>
      </c>
      <c r="W125" s="88">
        <f t="shared" si="136"/>
        <v>633.385040693808</v>
      </c>
      <c r="X125" s="88">
        <f t="shared" si="136"/>
        <v>652.3865919146224</v>
      </c>
      <c r="Y125" s="88">
        <f t="shared" si="136"/>
        <v>671.958189672061</v>
      </c>
      <c r="Z125" s="88">
        <f t="shared" si="136"/>
        <v>692.1169353622229</v>
      </c>
      <c r="AA125" s="88">
        <f t="shared" si="136"/>
        <v>712.8804434230896</v>
      </c>
      <c r="AB125" s="88">
        <f t="shared" si="136"/>
        <v>734.2668567257822</v>
      </c>
      <c r="AC125" s="88">
        <f t="shared" si="136"/>
        <v>756.2948624275556</v>
      </c>
      <c r="AD125" s="88">
        <f t="shared" si="136"/>
        <v>778.9837083003823</v>
      </c>
      <c r="AE125" s="66"/>
      <c r="AJ125" s="315"/>
      <c r="AL125" s="36"/>
      <c r="AM125" s="36"/>
      <c r="AN125" s="36"/>
      <c r="AO125" s="36"/>
      <c r="AP125" s="134"/>
      <c r="AR125" s="175" t="str">
        <f t="shared" si="123"/>
        <v>Bulls Financed in Year 7</v>
      </c>
      <c r="AS125" s="173"/>
      <c r="AT125" s="174"/>
      <c r="AU125" s="121">
        <v>7</v>
      </c>
      <c r="AV125" s="120"/>
      <c r="AW125" s="120"/>
      <c r="AX125" s="120"/>
      <c r="AY125" s="120"/>
      <c r="AZ125" s="120"/>
      <c r="BA125" s="120"/>
      <c r="BB125" s="120">
        <f>IF(BB105=0,0,$AQ$105+BB105)</f>
        <v>1217.0699702170875</v>
      </c>
      <c r="BC125" s="120">
        <f>IF(BC105=0,0,$AQ$105+BC105)</f>
        <v>1302.264868132284</v>
      </c>
      <c r="BD125" s="120">
        <f>IF(BD105=0,0,$AQ$105+BD105)</f>
        <v>1393.4234089015436</v>
      </c>
      <c r="BE125" s="120">
        <f aca="true" t="shared" si="137" ref="BE125:BJ125">IF(BE105=0,0,$AQ$105+BE105)</f>
        <v>0</v>
      </c>
      <c r="BF125" s="120">
        <f t="shared" si="137"/>
        <v>0</v>
      </c>
      <c r="BG125" s="120">
        <f t="shared" si="137"/>
        <v>0</v>
      </c>
      <c r="BH125" s="120">
        <f t="shared" si="137"/>
        <v>0</v>
      </c>
      <c r="BI125" s="120">
        <f t="shared" si="137"/>
        <v>0</v>
      </c>
      <c r="BJ125" s="120">
        <f t="shared" si="137"/>
        <v>0</v>
      </c>
      <c r="BK125" s="286">
        <f t="shared" si="125"/>
        <v>3912.758247250915</v>
      </c>
      <c r="BL125" s="120"/>
      <c r="BM125" s="120"/>
    </row>
    <row r="126" spans="2:65" ht="13.5" customHeight="1">
      <c r="B126" s="22"/>
      <c r="C126" s="559" t="s">
        <v>56</v>
      </c>
      <c r="D126" s="560"/>
      <c r="G126" s="211">
        <v>0</v>
      </c>
      <c r="H126" s="74">
        <f t="shared" si="117"/>
        <v>0</v>
      </c>
      <c r="I126" s="145"/>
      <c r="K126" s="204"/>
      <c r="L126" s="553" t="str">
        <f>C126</f>
        <v>Other</v>
      </c>
      <c r="M126" s="553"/>
      <c r="N126" s="553"/>
      <c r="O126" s="88">
        <f>$H$126*$G$72*O25</f>
        <v>0</v>
      </c>
      <c r="P126" s="88">
        <f aca="true" t="shared" si="138" ref="P126:AD126">$H$126*$G$72*P25*P44</f>
        <v>0</v>
      </c>
      <c r="Q126" s="88">
        <f t="shared" si="138"/>
        <v>0</v>
      </c>
      <c r="R126" s="88">
        <f t="shared" si="138"/>
        <v>0</v>
      </c>
      <c r="S126" s="88">
        <f t="shared" si="138"/>
        <v>0</v>
      </c>
      <c r="T126" s="88">
        <f t="shared" si="138"/>
        <v>0</v>
      </c>
      <c r="U126" s="88">
        <f t="shared" si="138"/>
        <v>0</v>
      </c>
      <c r="V126" s="88">
        <f t="shared" si="138"/>
        <v>0</v>
      </c>
      <c r="W126" s="88">
        <f t="shared" si="138"/>
        <v>0</v>
      </c>
      <c r="X126" s="88">
        <f t="shared" si="138"/>
        <v>0</v>
      </c>
      <c r="Y126" s="88">
        <f t="shared" si="138"/>
        <v>0</v>
      </c>
      <c r="Z126" s="88">
        <f t="shared" si="138"/>
        <v>0</v>
      </c>
      <c r="AA126" s="88">
        <f t="shared" si="138"/>
        <v>0</v>
      </c>
      <c r="AB126" s="88">
        <f t="shared" si="138"/>
        <v>0</v>
      </c>
      <c r="AC126" s="88">
        <f t="shared" si="138"/>
        <v>0</v>
      </c>
      <c r="AD126" s="88">
        <f t="shared" si="138"/>
        <v>0</v>
      </c>
      <c r="AE126" s="66"/>
      <c r="AJ126" s="315"/>
      <c r="AL126" s="36"/>
      <c r="AM126" s="36"/>
      <c r="AN126" s="36"/>
      <c r="AO126" s="36"/>
      <c r="AP126" s="134"/>
      <c r="AR126" s="175" t="str">
        <f t="shared" si="123"/>
        <v>Bulls Financed in Year 8</v>
      </c>
      <c r="AS126" s="173"/>
      <c r="AT126" s="174"/>
      <c r="AU126" s="121">
        <v>8</v>
      </c>
      <c r="AV126" s="120"/>
      <c r="AW126" s="120"/>
      <c r="AX126" s="120"/>
      <c r="AY126" s="120"/>
      <c r="AZ126" s="120"/>
      <c r="BA126" s="120"/>
      <c r="BB126" s="120"/>
      <c r="BC126" s="120">
        <f aca="true" t="shared" si="139" ref="BC126:BJ126">IF(BC106=0,0,$AQ$106+BC106)</f>
        <v>1231.0626309525176</v>
      </c>
      <c r="BD126" s="120">
        <f t="shared" si="139"/>
        <v>1317.237015119194</v>
      </c>
      <c r="BE126" s="120">
        <f t="shared" si="139"/>
        <v>1409.4436061775375</v>
      </c>
      <c r="BF126" s="120">
        <f t="shared" si="139"/>
        <v>0</v>
      </c>
      <c r="BG126" s="120">
        <f t="shared" si="139"/>
        <v>0</v>
      </c>
      <c r="BH126" s="120">
        <f t="shared" si="139"/>
        <v>0</v>
      </c>
      <c r="BI126" s="120">
        <f t="shared" si="139"/>
        <v>0</v>
      </c>
      <c r="BJ126" s="120">
        <f t="shared" si="139"/>
        <v>0</v>
      </c>
      <c r="BK126" s="286">
        <f t="shared" si="125"/>
        <v>3957.743252249249</v>
      </c>
      <c r="BL126" s="120"/>
      <c r="BM126" s="120"/>
    </row>
    <row r="127" spans="2:65" ht="13.5" customHeight="1">
      <c r="B127" s="22"/>
      <c r="C127" s="561" t="s">
        <v>56</v>
      </c>
      <c r="D127" s="562"/>
      <c r="G127" s="211">
        <v>0</v>
      </c>
      <c r="H127" s="74">
        <f t="shared" si="117"/>
        <v>0</v>
      </c>
      <c r="I127" s="145"/>
      <c r="K127" s="204"/>
      <c r="L127" s="553" t="str">
        <f>C127</f>
        <v>Other</v>
      </c>
      <c r="M127" s="553"/>
      <c r="N127" s="553"/>
      <c r="O127" s="88">
        <f>$H$127*$G$72*O25</f>
        <v>0</v>
      </c>
      <c r="P127" s="88">
        <f aca="true" t="shared" si="140" ref="P127:AD127">$H$127*$G$72*P25*P44</f>
        <v>0</v>
      </c>
      <c r="Q127" s="88">
        <f t="shared" si="140"/>
        <v>0</v>
      </c>
      <c r="R127" s="88">
        <f t="shared" si="140"/>
        <v>0</v>
      </c>
      <c r="S127" s="88">
        <f t="shared" si="140"/>
        <v>0</v>
      </c>
      <c r="T127" s="88">
        <f t="shared" si="140"/>
        <v>0</v>
      </c>
      <c r="U127" s="88">
        <f t="shared" si="140"/>
        <v>0</v>
      </c>
      <c r="V127" s="88">
        <f t="shared" si="140"/>
        <v>0</v>
      </c>
      <c r="W127" s="88">
        <f t="shared" si="140"/>
        <v>0</v>
      </c>
      <c r="X127" s="88">
        <f t="shared" si="140"/>
        <v>0</v>
      </c>
      <c r="Y127" s="88">
        <f t="shared" si="140"/>
        <v>0</v>
      </c>
      <c r="Z127" s="88">
        <f t="shared" si="140"/>
        <v>0</v>
      </c>
      <c r="AA127" s="88">
        <f t="shared" si="140"/>
        <v>0</v>
      </c>
      <c r="AB127" s="88">
        <f t="shared" si="140"/>
        <v>0</v>
      </c>
      <c r="AC127" s="88">
        <f t="shared" si="140"/>
        <v>0</v>
      </c>
      <c r="AD127" s="88">
        <f t="shared" si="140"/>
        <v>0</v>
      </c>
      <c r="AE127" s="66"/>
      <c r="AJ127" s="315"/>
      <c r="AL127" s="36"/>
      <c r="AM127" s="36"/>
      <c r="AN127" s="36"/>
      <c r="AO127" s="36"/>
      <c r="AP127" s="134"/>
      <c r="AR127" s="175" t="str">
        <f t="shared" si="123"/>
        <v>Bulls Financed in Year 9</v>
      </c>
      <c r="AS127" s="173"/>
      <c r="AT127" s="174"/>
      <c r="AU127" s="121">
        <v>9</v>
      </c>
      <c r="AV127" s="120"/>
      <c r="AW127" s="120"/>
      <c r="AX127" s="120"/>
      <c r="AY127" s="120"/>
      <c r="AZ127" s="120"/>
      <c r="BA127" s="120"/>
      <c r="BB127" s="120"/>
      <c r="BC127" s="120"/>
      <c r="BD127" s="120">
        <f aca="true" t="shared" si="141" ref="BD127:BJ127">IF(BD107=0,0,$AQ$107+BD107)</f>
        <v>1265.7527690257712</v>
      </c>
      <c r="BE127" s="120">
        <f t="shared" si="141"/>
        <v>1354.355462857575</v>
      </c>
      <c r="BF127" s="120">
        <f t="shared" si="141"/>
        <v>1449.1603452576053</v>
      </c>
      <c r="BG127" s="120">
        <f t="shared" si="141"/>
        <v>0</v>
      </c>
      <c r="BH127" s="120">
        <f t="shared" si="141"/>
        <v>0</v>
      </c>
      <c r="BI127" s="120">
        <f t="shared" si="141"/>
        <v>0</v>
      </c>
      <c r="BJ127" s="120">
        <f t="shared" si="141"/>
        <v>0</v>
      </c>
      <c r="BK127" s="286">
        <f t="shared" si="125"/>
        <v>4069.2685771409515</v>
      </c>
      <c r="BL127" s="120"/>
      <c r="BM127" s="120"/>
    </row>
    <row r="128" spans="2:65" ht="13.5" customHeight="1" thickBot="1">
      <c r="B128" s="22"/>
      <c r="C128" s="563" t="s">
        <v>56</v>
      </c>
      <c r="D128" s="564"/>
      <c r="G128" s="232">
        <v>0</v>
      </c>
      <c r="H128" s="341">
        <f t="shared" si="117"/>
        <v>0</v>
      </c>
      <c r="I128" s="145"/>
      <c r="K128" s="204"/>
      <c r="L128" s="553" t="str">
        <f>C128</f>
        <v>Other</v>
      </c>
      <c r="M128" s="553"/>
      <c r="N128" s="553"/>
      <c r="O128" s="88">
        <f>$H$128*$G$72*O25</f>
        <v>0</v>
      </c>
      <c r="P128" s="88">
        <f aca="true" t="shared" si="142" ref="P128:AD128">$H$128*$G$72*P25*P44</f>
        <v>0</v>
      </c>
      <c r="Q128" s="88">
        <f t="shared" si="142"/>
        <v>0</v>
      </c>
      <c r="R128" s="88">
        <f t="shared" si="142"/>
        <v>0</v>
      </c>
      <c r="S128" s="88">
        <f t="shared" si="142"/>
        <v>0</v>
      </c>
      <c r="T128" s="88">
        <f t="shared" si="142"/>
        <v>0</v>
      </c>
      <c r="U128" s="88">
        <f t="shared" si="142"/>
        <v>0</v>
      </c>
      <c r="V128" s="88">
        <f t="shared" si="142"/>
        <v>0</v>
      </c>
      <c r="W128" s="88">
        <f t="shared" si="142"/>
        <v>0</v>
      </c>
      <c r="X128" s="88">
        <f t="shared" si="142"/>
        <v>0</v>
      </c>
      <c r="Y128" s="88">
        <f t="shared" si="142"/>
        <v>0</v>
      </c>
      <c r="Z128" s="88">
        <f t="shared" si="142"/>
        <v>0</v>
      </c>
      <c r="AA128" s="88">
        <f t="shared" si="142"/>
        <v>0</v>
      </c>
      <c r="AB128" s="88">
        <f t="shared" si="142"/>
        <v>0</v>
      </c>
      <c r="AC128" s="88">
        <f t="shared" si="142"/>
        <v>0</v>
      </c>
      <c r="AD128" s="88">
        <f t="shared" si="142"/>
        <v>0</v>
      </c>
      <c r="AE128" s="66"/>
      <c r="AL128" s="36"/>
      <c r="AM128" s="36"/>
      <c r="AN128" s="36"/>
      <c r="AO128" s="36"/>
      <c r="AP128" s="134"/>
      <c r="AR128" s="175" t="str">
        <f t="shared" si="123"/>
        <v>Bulls Financed in Year 10</v>
      </c>
      <c r="AS128" s="173"/>
      <c r="AT128" s="174"/>
      <c r="AU128" s="121">
        <v>10</v>
      </c>
      <c r="AV128" s="120"/>
      <c r="AW128" s="120"/>
      <c r="AX128" s="120"/>
      <c r="AY128" s="120"/>
      <c r="AZ128" s="120"/>
      <c r="BA128" s="120"/>
      <c r="BB128" s="120"/>
      <c r="BC128" s="120"/>
      <c r="BD128" s="120"/>
      <c r="BE128" s="120">
        <f aca="true" t="shared" si="143" ref="BE128:BJ128">IF(BE108=0,0,$AQ$108+BE108)</f>
        <v>1313.2695127731688</v>
      </c>
      <c r="BF128" s="120">
        <f t="shared" si="143"/>
        <v>1405.1983786672909</v>
      </c>
      <c r="BG128" s="120">
        <f t="shared" si="143"/>
        <v>1503.5622651740011</v>
      </c>
      <c r="BH128" s="120">
        <f t="shared" si="143"/>
        <v>0</v>
      </c>
      <c r="BI128" s="120">
        <f t="shared" si="143"/>
        <v>0</v>
      </c>
      <c r="BJ128" s="120">
        <f t="shared" si="143"/>
        <v>0</v>
      </c>
      <c r="BK128" s="286">
        <f t="shared" si="125"/>
        <v>4222.030156614461</v>
      </c>
      <c r="BL128" s="120"/>
      <c r="BM128" s="120"/>
    </row>
    <row r="129" spans="2:65" ht="13.5" customHeight="1" thickTop="1">
      <c r="B129" s="3"/>
      <c r="C129" s="2" t="s">
        <v>177</v>
      </c>
      <c r="D129" s="3"/>
      <c r="E129" s="3"/>
      <c r="G129" s="3"/>
      <c r="H129" s="178">
        <f>SUM(H108:H128)</f>
        <v>66.05</v>
      </c>
      <c r="I129" s="145"/>
      <c r="K129" s="204"/>
      <c r="L129" s="554" t="s">
        <v>192</v>
      </c>
      <c r="M129" s="554"/>
      <c r="N129" s="554"/>
      <c r="O129" s="180">
        <f aca="true" t="shared" si="144" ref="O129:AD129">SUM(O108:O128)</f>
        <v>13210</v>
      </c>
      <c r="P129" s="180">
        <f t="shared" si="144"/>
        <v>13541.6675</v>
      </c>
      <c r="Q129" s="180">
        <f t="shared" si="144"/>
        <v>14014.489000000001</v>
      </c>
      <c r="R129" s="180">
        <f t="shared" si="144"/>
        <v>14434.92367</v>
      </c>
      <c r="S129" s="180">
        <f t="shared" si="144"/>
        <v>14867.971380099996</v>
      </c>
      <c r="T129" s="180">
        <f t="shared" si="144"/>
        <v>15314.010521502996</v>
      </c>
      <c r="U129" s="180">
        <f t="shared" si="144"/>
        <v>15773.43083714809</v>
      </c>
      <c r="V129" s="180">
        <f t="shared" si="144"/>
        <v>16246.633762262534</v>
      </c>
      <c r="W129" s="180">
        <f t="shared" si="144"/>
        <v>16734.032775130407</v>
      </c>
      <c r="X129" s="180">
        <f t="shared" si="144"/>
        <v>17236.053758384325</v>
      </c>
      <c r="Y129" s="180">
        <f t="shared" si="144"/>
        <v>17753.135371135853</v>
      </c>
      <c r="Z129" s="180">
        <f t="shared" si="144"/>
        <v>18285.729432269927</v>
      </c>
      <c r="AA129" s="180">
        <f t="shared" si="144"/>
        <v>18834.301315238023</v>
      </c>
      <c r="AB129" s="180">
        <f t="shared" si="144"/>
        <v>19399.33035469517</v>
      </c>
      <c r="AC129" s="180">
        <f t="shared" si="144"/>
        <v>19981.31026533602</v>
      </c>
      <c r="AD129" s="180">
        <f t="shared" si="144"/>
        <v>20580.7495732961</v>
      </c>
      <c r="AE129" s="68"/>
      <c r="AL129" s="36"/>
      <c r="AM129" s="36"/>
      <c r="AN129" s="36"/>
      <c r="AO129" s="36"/>
      <c r="AP129" s="134"/>
      <c r="AR129" s="175" t="str">
        <f t="shared" si="123"/>
        <v>Bulls Financed in Year 11</v>
      </c>
      <c r="AS129" s="175"/>
      <c r="AT129" s="174"/>
      <c r="AU129" s="121">
        <v>11</v>
      </c>
      <c r="AV129" s="120"/>
      <c r="AW129" s="120"/>
      <c r="AX129" s="120"/>
      <c r="AY129" s="120"/>
      <c r="AZ129" s="120"/>
      <c r="BA129" s="120"/>
      <c r="BB129" s="120"/>
      <c r="BC129" s="120"/>
      <c r="BD129" s="120"/>
      <c r="BE129" s="120"/>
      <c r="BF129" s="120">
        <f>IF(BF109=0,0,$AQ$109+BF109)</f>
        <v>1347.2425269837315</v>
      </c>
      <c r="BG129" s="120">
        <f>IF(BG109=0,0,$AQ$109+BG109)</f>
        <v>1441.5495038725928</v>
      </c>
      <c r="BH129" s="120">
        <f>IF(BH109=0,0,$AQ$109+BH109)</f>
        <v>1542.4579691436743</v>
      </c>
      <c r="BI129" s="120">
        <f>IF(BI109=0,0,$AQ$109+BI109)</f>
        <v>0</v>
      </c>
      <c r="BJ129" s="120">
        <f>IF(BJ109=0,0,$AQ$109+BJ109)</f>
        <v>0</v>
      </c>
      <c r="BK129" s="286">
        <f t="shared" si="125"/>
        <v>4331.249999999998</v>
      </c>
      <c r="BL129" s="120"/>
      <c r="BM129" s="120"/>
    </row>
    <row r="130" spans="2:65" ht="13.5" customHeight="1">
      <c r="B130" s="3"/>
      <c r="C130" s="3"/>
      <c r="D130" s="3"/>
      <c r="E130" s="3"/>
      <c r="F130" s="3"/>
      <c r="G130" s="5"/>
      <c r="H130" s="7"/>
      <c r="I130" s="145"/>
      <c r="K130" s="204"/>
      <c r="L130" s="40"/>
      <c r="M130" s="40"/>
      <c r="N130" s="40"/>
      <c r="O130" s="88"/>
      <c r="P130" s="72"/>
      <c r="Q130" s="72"/>
      <c r="R130" s="72"/>
      <c r="S130" s="72"/>
      <c r="T130" s="72"/>
      <c r="U130" s="72"/>
      <c r="V130" s="72"/>
      <c r="W130" s="72"/>
      <c r="X130" s="72"/>
      <c r="Y130" s="72"/>
      <c r="Z130" s="72"/>
      <c r="AA130" s="72"/>
      <c r="AB130" s="72"/>
      <c r="AC130" s="72"/>
      <c r="AD130" s="72"/>
      <c r="AP130" s="41"/>
      <c r="AR130" s="175" t="str">
        <f t="shared" si="123"/>
        <v>Bulls Financed in Year 12</v>
      </c>
      <c r="AS130" s="175"/>
      <c r="AT130" s="174"/>
      <c r="AU130" s="121">
        <v>12</v>
      </c>
      <c r="AV130" s="120"/>
      <c r="AW130" s="120"/>
      <c r="AX130" s="120"/>
      <c r="AY130" s="120"/>
      <c r="AZ130" s="120"/>
      <c r="BA130" s="120"/>
      <c r="BB130" s="120"/>
      <c r="BC130" s="120"/>
      <c r="BD130" s="120"/>
      <c r="BE130" s="120"/>
      <c r="BF130" s="120"/>
      <c r="BG130" s="120">
        <f>IF(BG110=0,0,$AQ$110+BG110)</f>
        <v>1399.7324955675133</v>
      </c>
      <c r="BH130" s="120">
        <f>IF(BH110=0,0,$AQ$110+BH110)</f>
        <v>1497.7137702572393</v>
      </c>
      <c r="BI130" s="120">
        <f>IF(BI110=0,0,$AQ$110+BI110)</f>
        <v>1602.553734175246</v>
      </c>
      <c r="BJ130" s="120">
        <f>IF(BJ110=0,0,$AQ$110+BJ110)</f>
        <v>0</v>
      </c>
      <c r="BK130" s="286">
        <f t="shared" si="125"/>
        <v>4499.999999999998</v>
      </c>
      <c r="BL130" s="120"/>
      <c r="BM130" s="120"/>
    </row>
    <row r="131" spans="3:65" ht="13.5" customHeight="1">
      <c r="C131" s="11" t="s">
        <v>61</v>
      </c>
      <c r="D131" s="3"/>
      <c r="E131" s="3"/>
      <c r="F131" s="3"/>
      <c r="G131" s="5"/>
      <c r="H131" s="7"/>
      <c r="I131" s="145"/>
      <c r="K131" s="145"/>
      <c r="L131" s="40"/>
      <c r="M131" s="40"/>
      <c r="N131" s="40"/>
      <c r="O131" s="88"/>
      <c r="P131" s="72"/>
      <c r="Q131" s="72"/>
      <c r="R131" s="72"/>
      <c r="S131" s="72"/>
      <c r="T131" s="72"/>
      <c r="U131" s="72"/>
      <c r="V131" s="72"/>
      <c r="W131" s="72"/>
      <c r="X131" s="72"/>
      <c r="Y131" s="72"/>
      <c r="Z131" s="72"/>
      <c r="AA131" s="72"/>
      <c r="AB131" s="72"/>
      <c r="AC131" s="72"/>
      <c r="AD131" s="72"/>
      <c r="AP131" s="41"/>
      <c r="AR131" s="175" t="str">
        <f t="shared" si="123"/>
        <v>Bulls Financed in Year 13</v>
      </c>
      <c r="AS131" s="175"/>
      <c r="AT131" s="174"/>
      <c r="AU131" s="121">
        <v>13</v>
      </c>
      <c r="AV131" s="120"/>
      <c r="AW131" s="120"/>
      <c r="AX131" s="120"/>
      <c r="AY131" s="120"/>
      <c r="AZ131" s="120"/>
      <c r="BA131" s="120"/>
      <c r="BB131" s="120"/>
      <c r="BC131" s="120"/>
      <c r="BD131" s="120"/>
      <c r="BE131" s="120"/>
      <c r="BF131" s="120"/>
      <c r="BG131" s="120"/>
      <c r="BH131" s="120">
        <f>IF(BH111=0,0,$AQ$111+BH111)</f>
        <v>1487.2157765404831</v>
      </c>
      <c r="BI131" s="120">
        <f>IF(BI111=0,0,$AQ$111+BI111)</f>
        <v>1591.320880898317</v>
      </c>
      <c r="BJ131" s="120">
        <f>IF(BJ111=0,0,$AQ$111+BJ111)</f>
        <v>1702.7133425611992</v>
      </c>
      <c r="BK131" s="286">
        <f t="shared" si="125"/>
        <v>4781.249999999999</v>
      </c>
      <c r="BL131" s="120"/>
      <c r="BM131" s="120"/>
    </row>
    <row r="132" spans="2:65" ht="13.5" customHeight="1">
      <c r="B132" s="3"/>
      <c r="C132" s="2" t="s">
        <v>62</v>
      </c>
      <c r="D132" s="3"/>
      <c r="E132" s="3"/>
      <c r="F132" s="3"/>
      <c r="G132" s="5"/>
      <c r="H132" s="7"/>
      <c r="I132" s="145"/>
      <c r="K132" s="145"/>
      <c r="L132" s="40"/>
      <c r="M132" s="40"/>
      <c r="N132" s="40"/>
      <c r="O132" s="88"/>
      <c r="P132" s="72"/>
      <c r="Q132" s="72"/>
      <c r="R132" s="72"/>
      <c r="S132" s="72"/>
      <c r="T132" s="72"/>
      <c r="U132" s="72"/>
      <c r="V132" s="72"/>
      <c r="W132" s="72"/>
      <c r="X132" s="72"/>
      <c r="Y132" s="72"/>
      <c r="Z132" s="72"/>
      <c r="AA132" s="72"/>
      <c r="AB132" s="72"/>
      <c r="AC132" s="72"/>
      <c r="AD132" s="72"/>
      <c r="AP132" s="41"/>
      <c r="AR132" s="175" t="str">
        <f t="shared" si="123"/>
        <v>Bulls Financed in Year 14</v>
      </c>
      <c r="AS132" s="175"/>
      <c r="AU132" s="121">
        <v>14</v>
      </c>
      <c r="AV132" s="120"/>
      <c r="AW132" s="120"/>
      <c r="AX132" s="120"/>
      <c r="AY132" s="120"/>
      <c r="AZ132" s="120"/>
      <c r="BA132" s="120"/>
      <c r="BB132" s="120"/>
      <c r="BC132" s="120"/>
      <c r="BD132" s="120"/>
      <c r="BE132" s="120"/>
      <c r="BF132" s="120"/>
      <c r="BG132" s="120"/>
      <c r="BH132" s="120"/>
      <c r="BI132" s="120">
        <f>IF(BI112=0,0,$AQ$112+BI112)</f>
        <v>1539.705745124265</v>
      </c>
      <c r="BJ132" s="120">
        <f>IF(BJ112=0,0,$AQ$112+BJ112)</f>
        <v>1647.4851472829635</v>
      </c>
      <c r="BK132" s="286">
        <f t="shared" si="125"/>
        <v>3187.1908924072286</v>
      </c>
      <c r="BL132" s="120"/>
      <c r="BM132" s="120"/>
    </row>
    <row r="133" spans="2:65" ht="13.5" customHeight="1" thickBot="1">
      <c r="B133" s="3"/>
      <c r="C133" s="2" t="s">
        <v>63</v>
      </c>
      <c r="D133" s="3"/>
      <c r="E133" s="3"/>
      <c r="F133" s="3"/>
      <c r="G133" s="5"/>
      <c r="H133" s="7"/>
      <c r="I133" s="145"/>
      <c r="K133" s="145"/>
      <c r="L133" s="40"/>
      <c r="M133" s="40"/>
      <c r="N133" s="40"/>
      <c r="O133" s="88"/>
      <c r="P133" s="72"/>
      <c r="Q133" s="72"/>
      <c r="R133" s="72"/>
      <c r="S133" s="72"/>
      <c r="T133" s="72"/>
      <c r="U133" s="72"/>
      <c r="V133" s="72"/>
      <c r="W133" s="72"/>
      <c r="X133" s="72"/>
      <c r="Y133" s="72"/>
      <c r="Z133" s="72"/>
      <c r="AA133" s="72"/>
      <c r="AB133" s="72"/>
      <c r="AC133" s="72"/>
      <c r="AD133" s="72"/>
      <c r="AR133" s="175" t="str">
        <f t="shared" si="123"/>
        <v>Bulls Financed in Year 15</v>
      </c>
      <c r="AS133" s="175"/>
      <c r="AU133" s="124">
        <v>15</v>
      </c>
      <c r="AV133" s="126"/>
      <c r="AW133" s="126"/>
      <c r="AX133" s="126"/>
      <c r="AY133" s="126"/>
      <c r="AZ133" s="126"/>
      <c r="BA133" s="126"/>
      <c r="BB133" s="126"/>
      <c r="BC133" s="126"/>
      <c r="BD133" s="126"/>
      <c r="BE133" s="126"/>
      <c r="BF133" s="126"/>
      <c r="BG133" s="126"/>
      <c r="BH133" s="126"/>
      <c r="BI133" s="126"/>
      <c r="BJ133" s="126">
        <f>IF(BJ113=0,0,$AQ$113+BJ113)</f>
        <v>1662.1823384864224</v>
      </c>
      <c r="BK133" s="287">
        <f t="shared" si="125"/>
        <v>1662.1823384864224</v>
      </c>
      <c r="BL133" s="120"/>
      <c r="BM133" s="120"/>
    </row>
    <row r="134" spans="2:62" ht="13.5" customHeight="1" thickTop="1">
      <c r="B134" s="3"/>
      <c r="C134" s="2" t="s">
        <v>408</v>
      </c>
      <c r="D134" s="3"/>
      <c r="G134" s="233">
        <v>0.08</v>
      </c>
      <c r="H134" s="7"/>
      <c r="I134" s="145"/>
      <c r="J134" s="36"/>
      <c r="K134" s="145"/>
      <c r="L134" s="40"/>
      <c r="M134" s="40"/>
      <c r="N134" s="40"/>
      <c r="O134" s="88"/>
      <c r="P134" s="72"/>
      <c r="Q134" s="72"/>
      <c r="R134" s="72"/>
      <c r="S134" s="72"/>
      <c r="T134" s="72"/>
      <c r="U134" s="72"/>
      <c r="V134" s="72"/>
      <c r="W134" s="72"/>
      <c r="X134" s="72"/>
      <c r="Y134" s="72"/>
      <c r="Z134" s="72"/>
      <c r="AA134" s="72"/>
      <c r="AB134" s="72"/>
      <c r="AC134" s="72"/>
      <c r="AD134" s="72"/>
      <c r="AQ134" s="41"/>
      <c r="AR134" s="41"/>
      <c r="AS134" s="41"/>
      <c r="AV134" s="130">
        <f aca="true" t="shared" si="145" ref="AV134:BJ134">SUM(AV119:AV133)</f>
        <v>1655.0694026125782</v>
      </c>
      <c r="AW134" s="130">
        <f t="shared" si="145"/>
        <v>3307.347560922204</v>
      </c>
      <c r="AX134" s="130">
        <f t="shared" si="145"/>
        <v>5002.69826274846</v>
      </c>
      <c r="AY134" s="130">
        <f t="shared" si="145"/>
        <v>4718.208725662058</v>
      </c>
      <c r="AZ134" s="130">
        <f t="shared" si="145"/>
        <v>4482.4833780276185</v>
      </c>
      <c r="BA134" s="130">
        <f t="shared" si="145"/>
        <v>4248.924546121358</v>
      </c>
      <c r="BB134" s="130">
        <f t="shared" si="145"/>
        <v>4057.1146977830404</v>
      </c>
      <c r="BC134" s="130">
        <f t="shared" si="145"/>
        <v>3959.792564868083</v>
      </c>
      <c r="BD134" s="130">
        <f t="shared" si="145"/>
        <v>3976.4131930465087</v>
      </c>
      <c r="BE134" s="130">
        <f t="shared" si="145"/>
        <v>4077.068581808281</v>
      </c>
      <c r="BF134" s="130">
        <f t="shared" si="145"/>
        <v>4201.601250908628</v>
      </c>
      <c r="BG134" s="130">
        <f t="shared" si="145"/>
        <v>4344.8442646141075</v>
      </c>
      <c r="BH134" s="130">
        <f t="shared" si="145"/>
        <v>4527.3875159413965</v>
      </c>
      <c r="BI134" s="130">
        <f t="shared" si="145"/>
        <v>4733.580360197828</v>
      </c>
      <c r="BJ134" s="130">
        <f t="shared" si="145"/>
        <v>5012.380828330584</v>
      </c>
    </row>
    <row r="135" spans="2:48" ht="13.5" customHeight="1">
      <c r="B135" s="3"/>
      <c r="C135" s="2" t="s">
        <v>64</v>
      </c>
      <c r="D135" s="3"/>
      <c r="G135" s="234">
        <v>6</v>
      </c>
      <c r="H135" s="7"/>
      <c r="I135" s="145"/>
      <c r="J135" s="36"/>
      <c r="K135" s="145"/>
      <c r="L135" s="40"/>
      <c r="M135" s="40"/>
      <c r="N135" s="40"/>
      <c r="O135" s="88"/>
      <c r="P135" s="72"/>
      <c r="Q135" s="72"/>
      <c r="R135" s="72"/>
      <c r="S135" s="72"/>
      <c r="T135" s="72"/>
      <c r="U135" s="72"/>
      <c r="V135" s="72"/>
      <c r="W135" s="72"/>
      <c r="X135" s="72"/>
      <c r="Y135" s="72"/>
      <c r="Z135" s="72"/>
      <c r="AA135" s="72"/>
      <c r="AB135" s="72"/>
      <c r="AC135" s="72"/>
      <c r="AD135" s="72"/>
      <c r="AV135" s="130"/>
    </row>
    <row r="136" spans="2:47" ht="13.5" customHeight="1">
      <c r="B136" s="3"/>
      <c r="C136" s="2" t="s">
        <v>407</v>
      </c>
      <c r="G136" s="235">
        <v>0.03</v>
      </c>
      <c r="H136" s="7"/>
      <c r="I136" s="145"/>
      <c r="J136" s="36"/>
      <c r="K136" s="145"/>
      <c r="L136" s="40"/>
      <c r="M136" s="40"/>
      <c r="N136" s="40"/>
      <c r="O136" s="88"/>
      <c r="P136" s="72"/>
      <c r="Q136" s="72"/>
      <c r="R136" s="72"/>
      <c r="S136" s="72"/>
      <c r="T136" s="72"/>
      <c r="U136" s="72"/>
      <c r="V136" s="72"/>
      <c r="W136" s="72"/>
      <c r="X136" s="72"/>
      <c r="Y136" s="72"/>
      <c r="Z136" s="72"/>
      <c r="AA136" s="72"/>
      <c r="AB136" s="72"/>
      <c r="AC136" s="72"/>
      <c r="AD136" s="72"/>
      <c r="AI136" s="574" t="s">
        <v>239</v>
      </c>
      <c r="AJ136" s="574"/>
      <c r="AK136" s="574"/>
      <c r="AL136" s="574"/>
      <c r="AM136" s="574"/>
      <c r="AU136" s="571" t="s">
        <v>311</v>
      </c>
    </row>
    <row r="137" spans="2:47" ht="13.5" customHeight="1" thickBot="1">
      <c r="B137" s="3"/>
      <c r="C137" s="2" t="s">
        <v>102</v>
      </c>
      <c r="H137" s="339">
        <f>((H129+H103)*G134/12)*G135</f>
        <v>9.72608</v>
      </c>
      <c r="I137" s="145"/>
      <c r="J137" s="36"/>
      <c r="K137" s="145"/>
      <c r="L137" s="554" t="s">
        <v>17</v>
      </c>
      <c r="M137" s="554"/>
      <c r="N137" s="554"/>
      <c r="O137" s="88">
        <f>$H$137*O25</f>
        <v>1945.216</v>
      </c>
      <c r="P137" s="88">
        <f aca="true" t="shared" si="146" ref="P137:AD137">$H$137*P25*P44</f>
        <v>1993.5546176</v>
      </c>
      <c r="Q137" s="88">
        <f t="shared" si="146"/>
        <v>2063.6796544</v>
      </c>
      <c r="R137" s="88">
        <f t="shared" si="146"/>
        <v>2125.5900440319997</v>
      </c>
      <c r="S137" s="88">
        <f t="shared" si="146"/>
        <v>2189.3577453529597</v>
      </c>
      <c r="T137" s="88">
        <f t="shared" si="146"/>
        <v>2255.038477713548</v>
      </c>
      <c r="U137" s="88">
        <f t="shared" si="146"/>
        <v>2322.689632044955</v>
      </c>
      <c r="V137" s="88">
        <f t="shared" si="146"/>
        <v>2392.3703210063036</v>
      </c>
      <c r="W137" s="88">
        <f t="shared" si="146"/>
        <v>2464.141430636493</v>
      </c>
      <c r="X137" s="88">
        <f t="shared" si="146"/>
        <v>2538.065673555588</v>
      </c>
      <c r="Y137" s="88">
        <f t="shared" si="146"/>
        <v>2614.2076437622554</v>
      </c>
      <c r="Z137" s="88">
        <f t="shared" si="146"/>
        <v>2692.633873075123</v>
      </c>
      <c r="AA137" s="88">
        <f t="shared" si="146"/>
        <v>2773.412889267377</v>
      </c>
      <c r="AB137" s="88">
        <f t="shared" si="146"/>
        <v>2856.615275945398</v>
      </c>
      <c r="AC137" s="88">
        <f t="shared" si="146"/>
        <v>2942.31373422376</v>
      </c>
      <c r="AD137" s="88">
        <f t="shared" si="146"/>
        <v>3030.583146250473</v>
      </c>
      <c r="AE137" s="66"/>
      <c r="AJ137" s="60"/>
      <c r="AK137" s="60" t="s">
        <v>286</v>
      </c>
      <c r="AL137" s="60" t="s">
        <v>289</v>
      </c>
      <c r="AM137" s="291" t="s">
        <v>292</v>
      </c>
      <c r="AN137" s="575" t="s">
        <v>12</v>
      </c>
      <c r="AO137" s="576"/>
      <c r="AP137" s="576"/>
      <c r="AQ137" s="576"/>
      <c r="AR137" s="576"/>
      <c r="AS137" s="576"/>
      <c r="AT137" s="577"/>
      <c r="AU137" s="572"/>
    </row>
    <row r="138" spans="2:62" ht="13.5" customHeight="1">
      <c r="B138" s="3"/>
      <c r="C138" s="3"/>
      <c r="G138" s="5"/>
      <c r="H138" s="7"/>
      <c r="I138" s="145"/>
      <c r="J138" s="36"/>
      <c r="K138" s="145"/>
      <c r="L138" s="40" t="s">
        <v>240</v>
      </c>
      <c r="M138" s="40"/>
      <c r="N138" s="40"/>
      <c r="O138" s="193"/>
      <c r="P138" s="88">
        <f>-1*(AV43+AV114)</f>
        <v>372.4617835721426</v>
      </c>
      <c r="Q138" s="88">
        <f>-1*(AW43+AW114)</f>
        <v>602.3682341196852</v>
      </c>
      <c r="R138" s="88">
        <f>-1*(AX43+AX114)</f>
        <v>700.2800336455342</v>
      </c>
      <c r="S138" s="88">
        <f aca="true" t="shared" si="147" ref="S138:AD138">-1*(AY43+AY114)</f>
        <v>663.5429213311158</v>
      </c>
      <c r="T138" s="88">
        <f t="shared" si="147"/>
        <v>629.4664528206763</v>
      </c>
      <c r="U138" s="88">
        <f t="shared" si="147"/>
        <v>596.0804037629416</v>
      </c>
      <c r="V138" s="88">
        <f t="shared" si="147"/>
        <v>572.5487628420105</v>
      </c>
      <c r="W138" s="88">
        <f t="shared" si="147"/>
        <v>565.5927616546452</v>
      </c>
      <c r="X138" s="88">
        <f t="shared" si="147"/>
        <v>573.256082513746</v>
      </c>
      <c r="Y138" s="88">
        <f t="shared" si="147"/>
        <v>590.4492699635027</v>
      </c>
      <c r="Z138" s="88">
        <f t="shared" si="147"/>
        <v>608.241969236923</v>
      </c>
      <c r="AA138" s="88">
        <f t="shared" si="147"/>
        <v>629.1298816733189</v>
      </c>
      <c r="AB138" s="88">
        <f t="shared" si="147"/>
        <v>659.6782831503313</v>
      </c>
      <c r="AC138" s="88">
        <f t="shared" si="147"/>
        <v>689.2611570344335</v>
      </c>
      <c r="AD138" s="88">
        <f t="shared" si="147"/>
        <v>731.9730318205854</v>
      </c>
      <c r="AJ138" s="60"/>
      <c r="AK138" s="60" t="s">
        <v>287</v>
      </c>
      <c r="AL138" s="60" t="s">
        <v>70</v>
      </c>
      <c r="AM138" s="291" t="s">
        <v>293</v>
      </c>
      <c r="AN138" s="60">
        <v>1</v>
      </c>
      <c r="AO138" s="60">
        <v>2</v>
      </c>
      <c r="AP138" s="60">
        <v>3</v>
      </c>
      <c r="AQ138" s="60">
        <v>4</v>
      </c>
      <c r="AR138" s="60">
        <v>5</v>
      </c>
      <c r="AS138" s="60">
        <v>6</v>
      </c>
      <c r="AT138" s="60">
        <v>7</v>
      </c>
      <c r="AU138" s="572"/>
      <c r="AV138" s="276">
        <v>1</v>
      </c>
      <c r="AW138" s="276">
        <v>2</v>
      </c>
      <c r="AX138" s="276">
        <v>3</v>
      </c>
      <c r="AY138" s="276">
        <v>4</v>
      </c>
      <c r="AZ138" s="276">
        <v>5</v>
      </c>
      <c r="BA138" s="276">
        <v>6</v>
      </c>
      <c r="BB138" s="276">
        <v>7</v>
      </c>
      <c r="BC138" s="276">
        <v>8</v>
      </c>
      <c r="BD138" s="276">
        <v>9</v>
      </c>
      <c r="BE138" s="276">
        <v>10</v>
      </c>
      <c r="BF138" s="276">
        <v>11</v>
      </c>
      <c r="BG138" s="276">
        <v>12</v>
      </c>
      <c r="BH138" s="276">
        <v>13</v>
      </c>
      <c r="BI138" s="276">
        <v>14</v>
      </c>
      <c r="BJ138" s="276">
        <v>15</v>
      </c>
    </row>
    <row r="139" spans="2:63" ht="13.5" customHeight="1">
      <c r="B139" s="3"/>
      <c r="C139" s="3"/>
      <c r="D139" s="36"/>
      <c r="E139" s="36"/>
      <c r="F139" s="36"/>
      <c r="G139" s="5"/>
      <c r="H139" s="7"/>
      <c r="I139" s="145"/>
      <c r="J139" s="36"/>
      <c r="K139" s="145"/>
      <c r="L139" s="45" t="s">
        <v>248</v>
      </c>
      <c r="M139" s="40"/>
      <c r="N139" s="40"/>
      <c r="O139" s="401">
        <f aca="true" t="shared" si="148" ref="O139:AD139">O103+O129+O137+O138</f>
        <v>50575.616</v>
      </c>
      <c r="P139" s="401">
        <f t="shared" si="148"/>
        <v>52035.03690117214</v>
      </c>
      <c r="Q139" s="401">
        <f t="shared" si="148"/>
        <v>54054.98298851969</v>
      </c>
      <c r="R139" s="401">
        <f t="shared" si="148"/>
        <v>55756.47323067753</v>
      </c>
      <c r="S139" s="401">
        <f t="shared" si="148"/>
        <v>57371.42191427407</v>
      </c>
      <c r="T139" s="401">
        <f t="shared" si="148"/>
        <v>59038.581815551915</v>
      </c>
      <c r="U139" s="401">
        <f t="shared" si="148"/>
        <v>60757.46922737612</v>
      </c>
      <c r="V139" s="401">
        <f t="shared" si="148"/>
        <v>62538.7792511636</v>
      </c>
      <c r="W139" s="401">
        <f t="shared" si="148"/>
        <v>64390.810164625866</v>
      </c>
      <c r="X139" s="401">
        <f t="shared" si="148"/>
        <v>66313.23000757412</v>
      </c>
      <c r="Y139" s="401">
        <f t="shared" si="148"/>
        <v>68302.62241277569</v>
      </c>
      <c r="Z139" s="401">
        <f t="shared" si="148"/>
        <v>70351.78030633347</v>
      </c>
      <c r="AA139" s="401">
        <f t="shared" si="148"/>
        <v>72464.97436888276</v>
      </c>
      <c r="AB139" s="401">
        <f t="shared" si="148"/>
        <v>74650.59810497606</v>
      </c>
      <c r="AC139" s="401">
        <f t="shared" si="148"/>
        <v>76899.90857351491</v>
      </c>
      <c r="AD139" s="401">
        <f t="shared" si="148"/>
        <v>79228.9398707955</v>
      </c>
      <c r="AE139" s="76"/>
      <c r="AI139" s="60" t="s">
        <v>238</v>
      </c>
      <c r="AJ139" s="60" t="s">
        <v>13</v>
      </c>
      <c r="AK139" s="60" t="s">
        <v>288</v>
      </c>
      <c r="AL139" s="60" t="s">
        <v>290</v>
      </c>
      <c r="AM139" s="291" t="s">
        <v>294</v>
      </c>
      <c r="AN139" s="575" t="s">
        <v>11</v>
      </c>
      <c r="AO139" s="576"/>
      <c r="AP139" s="576"/>
      <c r="AQ139" s="576"/>
      <c r="AR139" s="576"/>
      <c r="AS139" s="576"/>
      <c r="AT139" s="577"/>
      <c r="AU139" s="573"/>
      <c r="AV139" s="60">
        <f aca="true" t="shared" si="149" ref="AV139:BJ139">P19</f>
        <v>2006</v>
      </c>
      <c r="AW139" s="60">
        <f t="shared" si="149"/>
        <v>2007</v>
      </c>
      <c r="AX139" s="60">
        <f t="shared" si="149"/>
        <v>2008</v>
      </c>
      <c r="AY139" s="60">
        <f t="shared" si="149"/>
        <v>2009</v>
      </c>
      <c r="AZ139" s="60">
        <f t="shared" si="149"/>
        <v>2010</v>
      </c>
      <c r="BA139" s="60">
        <f t="shared" si="149"/>
        <v>2011</v>
      </c>
      <c r="BB139" s="60">
        <f t="shared" si="149"/>
        <v>2012</v>
      </c>
      <c r="BC139" s="60">
        <f t="shared" si="149"/>
        <v>2013</v>
      </c>
      <c r="BD139" s="60">
        <f t="shared" si="149"/>
        <v>2014</v>
      </c>
      <c r="BE139" s="60">
        <f t="shared" si="149"/>
        <v>2015</v>
      </c>
      <c r="BF139" s="60">
        <f t="shared" si="149"/>
        <v>2016</v>
      </c>
      <c r="BG139" s="60">
        <f t="shared" si="149"/>
        <v>2017</v>
      </c>
      <c r="BH139" s="60">
        <f t="shared" si="149"/>
        <v>2018</v>
      </c>
      <c r="BI139" s="60">
        <f t="shared" si="149"/>
        <v>2019</v>
      </c>
      <c r="BJ139" s="60">
        <f t="shared" si="149"/>
        <v>2020</v>
      </c>
      <c r="BK139" s="60" t="s">
        <v>43</v>
      </c>
    </row>
    <row r="140" spans="3:63" ht="13.5" customHeight="1">
      <c r="C140" s="444" t="s">
        <v>65</v>
      </c>
      <c r="D140" s="26"/>
      <c r="E140" s="25"/>
      <c r="F140" s="25"/>
      <c r="G140" s="25"/>
      <c r="H140" s="209">
        <f>H103+H129+H137</f>
        <v>252.87807999999998</v>
      </c>
      <c r="I140" s="145"/>
      <c r="J140" s="36"/>
      <c r="K140" s="145"/>
      <c r="L140" s="45" t="s">
        <v>251</v>
      </c>
      <c r="M140" s="40"/>
      <c r="N140" s="40"/>
      <c r="O140" s="402">
        <f>O139/IF(O25=0,1,O25)</f>
        <v>252.87808</v>
      </c>
      <c r="P140" s="402">
        <f>P139/IF(P25=0,1,P25)</f>
        <v>261.4825974933273</v>
      </c>
      <c r="Q140" s="402">
        <f>Q139/IF(Q25=0,1,Q25)</f>
        <v>270.27491494259846</v>
      </c>
      <c r="R140" s="402">
        <f aca="true" t="shared" si="150" ref="R140:AD140">R139/IF(R25=0,1,R25)</f>
        <v>278.78236615338767</v>
      </c>
      <c r="S140" s="402">
        <f t="shared" si="150"/>
        <v>286.85710957137036</v>
      </c>
      <c r="T140" s="402">
        <f t="shared" si="150"/>
        <v>295.19290907775957</v>
      </c>
      <c r="U140" s="402">
        <f t="shared" si="150"/>
        <v>303.7873461368806</v>
      </c>
      <c r="V140" s="402">
        <f t="shared" si="150"/>
        <v>312.693896255818</v>
      </c>
      <c r="W140" s="402">
        <f t="shared" si="150"/>
        <v>321.9540508231293</v>
      </c>
      <c r="X140" s="402">
        <f t="shared" si="150"/>
        <v>331.5661500378706</v>
      </c>
      <c r="Y140" s="402">
        <f t="shared" si="150"/>
        <v>341.51311206387845</v>
      </c>
      <c r="Z140" s="402">
        <f t="shared" si="150"/>
        <v>351.75890153166733</v>
      </c>
      <c r="AA140" s="402">
        <f t="shared" si="150"/>
        <v>362.3248718444138</v>
      </c>
      <c r="AB140" s="402">
        <f t="shared" si="150"/>
        <v>373.2529905248803</v>
      </c>
      <c r="AC140" s="402">
        <f t="shared" si="150"/>
        <v>384.4995428675746</v>
      </c>
      <c r="AD140" s="402">
        <f t="shared" si="150"/>
        <v>396.1446993539775</v>
      </c>
      <c r="AE140" s="148"/>
      <c r="AH140" s="155" t="s">
        <v>217</v>
      </c>
      <c r="AI140" s="155" t="s">
        <v>217</v>
      </c>
      <c r="AJ140" s="155" t="s">
        <v>5</v>
      </c>
      <c r="AK140" s="60" t="s">
        <v>70</v>
      </c>
      <c r="AL140" s="60" t="s">
        <v>291</v>
      </c>
      <c r="AM140" s="291" t="s">
        <v>295</v>
      </c>
      <c r="AN140" s="303">
        <v>0.4375</v>
      </c>
      <c r="AO140" s="304">
        <v>0.2813</v>
      </c>
      <c r="AP140" s="304">
        <v>0.25</v>
      </c>
      <c r="AQ140" s="304">
        <v>0.0312</v>
      </c>
      <c r="AR140" s="305">
        <v>0</v>
      </c>
      <c r="AS140" s="305">
        <v>0</v>
      </c>
      <c r="AT140" s="305">
        <v>0</v>
      </c>
      <c r="AU140" s="302">
        <f>SUM(AN140:AT140)</f>
        <v>1</v>
      </c>
      <c r="AV140" s="290"/>
      <c r="AW140" s="138"/>
      <c r="AX140" s="138"/>
      <c r="AY140" s="138"/>
      <c r="AZ140" s="138"/>
      <c r="BA140" s="138"/>
      <c r="BB140" s="138"/>
      <c r="BC140" s="138"/>
      <c r="BD140" s="138"/>
      <c r="BE140" s="138"/>
      <c r="BF140" s="138"/>
      <c r="BG140" s="138"/>
      <c r="BH140" s="138"/>
      <c r="BI140" s="138"/>
      <c r="BJ140" s="138"/>
      <c r="BK140" s="60" t="s">
        <v>70</v>
      </c>
    </row>
    <row r="141" spans="4:63" ht="13.5" customHeight="1">
      <c r="D141" s="3"/>
      <c r="G141" s="9" t="s">
        <v>429</v>
      </c>
      <c r="H141" s="178">
        <f>$J$57-H140</f>
        <v>407.63022</v>
      </c>
      <c r="I141" s="145"/>
      <c r="J141" s="36"/>
      <c r="K141" s="145"/>
      <c r="L141" s="45"/>
      <c r="M141" s="40"/>
      <c r="N141" s="40"/>
      <c r="O141" s="184"/>
      <c r="P141" s="184"/>
      <c r="Q141" s="184"/>
      <c r="R141" s="184"/>
      <c r="S141" s="184"/>
      <c r="T141" s="184"/>
      <c r="U141" s="184"/>
      <c r="V141" s="184"/>
      <c r="W141" s="184"/>
      <c r="X141" s="184"/>
      <c r="Y141" s="184"/>
      <c r="Z141" s="184"/>
      <c r="AA141" s="184"/>
      <c r="AB141" s="184"/>
      <c r="AC141" s="184"/>
      <c r="AD141" s="184"/>
      <c r="AE141" s="148"/>
      <c r="AH141" s="60">
        <f aca="true" t="shared" si="151" ref="AH141:AH155">AH28</f>
        <v>2006</v>
      </c>
      <c r="AI141" s="60">
        <v>1</v>
      </c>
      <c r="AJ141" s="139">
        <f aca="true" t="shared" si="152" ref="AJ141:AJ155">AL99+AP99</f>
        <v>7094.510163278906</v>
      </c>
      <c r="AK141" s="318">
        <v>0</v>
      </c>
      <c r="AL141" s="319">
        <v>0</v>
      </c>
      <c r="AM141" s="273">
        <f>IF(AJ141-AK141-AL141&lt;0,0,AJ141-AK141-AL141)</f>
        <v>7094.510163278906</v>
      </c>
      <c r="AN141" s="66">
        <f>IF(AK141+AL141&gt;AJ141,AJ141,(AK141+AL141)+AM141*$AN$140)</f>
        <v>3103.848196434521</v>
      </c>
      <c r="AO141" s="66">
        <f aca="true" t="shared" si="153" ref="AO141:AT141">$AM$141*AO140</f>
        <v>1995.685708930356</v>
      </c>
      <c r="AP141" s="66">
        <f t="shared" si="153"/>
        <v>1773.6275408197264</v>
      </c>
      <c r="AQ141" s="66">
        <f t="shared" si="153"/>
        <v>221.34871709430183</v>
      </c>
      <c r="AR141" s="66">
        <f t="shared" si="153"/>
        <v>0</v>
      </c>
      <c r="AS141" s="66">
        <f t="shared" si="153"/>
        <v>0</v>
      </c>
      <c r="AT141" s="66">
        <f t="shared" si="153"/>
        <v>0</v>
      </c>
      <c r="AV141" s="277">
        <f aca="true" t="shared" si="154" ref="AV141:BB141">AN141</f>
        <v>3103.848196434521</v>
      </c>
      <c r="AW141" s="261">
        <f t="shared" si="154"/>
        <v>1995.685708930356</v>
      </c>
      <c r="AX141" s="261">
        <f t="shared" si="154"/>
        <v>1773.6275408197264</v>
      </c>
      <c r="AY141" s="261">
        <f t="shared" si="154"/>
        <v>221.34871709430183</v>
      </c>
      <c r="AZ141" s="261">
        <f t="shared" si="154"/>
        <v>0</v>
      </c>
      <c r="BA141" s="261">
        <f t="shared" si="154"/>
        <v>0</v>
      </c>
      <c r="BB141" s="261">
        <f t="shared" si="154"/>
        <v>0</v>
      </c>
      <c r="BC141" s="261"/>
      <c r="BD141" s="261"/>
      <c r="BE141" s="261"/>
      <c r="BF141" s="261"/>
      <c r="BG141" s="261"/>
      <c r="BH141" s="261"/>
      <c r="BI141" s="261"/>
      <c r="BJ141" s="261"/>
      <c r="BK141" s="278">
        <f aca="true" t="shared" si="155" ref="BK141:BK155">SUM(AV141:BJ141)</f>
        <v>7094.510163278905</v>
      </c>
    </row>
    <row r="142" spans="4:63" ht="13.5" customHeight="1">
      <c r="D142" s="3"/>
      <c r="G142" s="9"/>
      <c r="H142" s="28"/>
      <c r="I142" s="145"/>
      <c r="J142" s="36"/>
      <c r="K142" s="145"/>
      <c r="L142" s="40"/>
      <c r="M142" s="40"/>
      <c r="N142" s="40"/>
      <c r="O142" s="362" t="s">
        <v>253</v>
      </c>
      <c r="P142" s="354"/>
      <c r="Q142" s="354"/>
      <c r="R142" s="354"/>
      <c r="S142" s="354"/>
      <c r="T142" s="354"/>
      <c r="U142" s="354"/>
      <c r="V142" s="354"/>
      <c r="W142" s="354"/>
      <c r="X142" s="354"/>
      <c r="Y142" s="354"/>
      <c r="Z142" s="354"/>
      <c r="AA142" s="354"/>
      <c r="AB142" s="354"/>
      <c r="AC142" s="354"/>
      <c r="AD142" s="355"/>
      <c r="AH142" s="60">
        <f t="shared" si="151"/>
        <v>2007</v>
      </c>
      <c r="AI142" s="60">
        <v>2</v>
      </c>
      <c r="AJ142" s="139">
        <f t="shared" si="152"/>
        <v>6585.9296901032985</v>
      </c>
      <c r="AK142" s="320">
        <v>0</v>
      </c>
      <c r="AL142" s="321">
        <v>0</v>
      </c>
      <c r="AM142" s="274">
        <f aca="true" t="shared" si="156" ref="AM142:AM155">IF(AJ142-AK142-AL142&lt;0,0,AJ142-AK142-AL142)</f>
        <v>6585.9296901032985</v>
      </c>
      <c r="AN142" s="66">
        <f aca="true" t="shared" si="157" ref="AN142:AN155">IF(AK142+AL142&gt;AJ142,AJ142,(AK142+AL142)+AM142*$AN$140)</f>
        <v>2881.344239420193</v>
      </c>
      <c r="AO142" s="66">
        <f aca="true" t="shared" si="158" ref="AO142:AT142">$AM$142*AO140</f>
        <v>1852.6220218260578</v>
      </c>
      <c r="AP142" s="66">
        <f t="shared" si="158"/>
        <v>1646.4824225258246</v>
      </c>
      <c r="AQ142" s="66">
        <f t="shared" si="158"/>
        <v>205.48100633122291</v>
      </c>
      <c r="AR142" s="66">
        <f t="shared" si="158"/>
        <v>0</v>
      </c>
      <c r="AS142" s="66">
        <f t="shared" si="158"/>
        <v>0</v>
      </c>
      <c r="AT142" s="66">
        <f t="shared" si="158"/>
        <v>0</v>
      </c>
      <c r="AV142" s="277"/>
      <c r="AW142" s="261">
        <f aca="true" t="shared" si="159" ref="AW142:BC142">AN142</f>
        <v>2881.344239420193</v>
      </c>
      <c r="AX142" s="261">
        <f t="shared" si="159"/>
        <v>1852.6220218260578</v>
      </c>
      <c r="AY142" s="261">
        <f t="shared" si="159"/>
        <v>1646.4824225258246</v>
      </c>
      <c r="AZ142" s="261">
        <f t="shared" si="159"/>
        <v>205.48100633122291</v>
      </c>
      <c r="BA142" s="261">
        <f t="shared" si="159"/>
        <v>0</v>
      </c>
      <c r="BB142" s="261">
        <f t="shared" si="159"/>
        <v>0</v>
      </c>
      <c r="BC142" s="261">
        <f t="shared" si="159"/>
        <v>0</v>
      </c>
      <c r="BD142" s="261"/>
      <c r="BE142" s="261"/>
      <c r="BF142" s="261"/>
      <c r="BG142" s="261"/>
      <c r="BH142" s="261"/>
      <c r="BI142" s="261"/>
      <c r="BJ142" s="261"/>
      <c r="BK142" s="279">
        <f t="shared" si="155"/>
        <v>6585.929690103298</v>
      </c>
    </row>
    <row r="143" spans="2:63" ht="13.5" customHeight="1">
      <c r="B143" s="3"/>
      <c r="C143" s="3"/>
      <c r="D143" s="3"/>
      <c r="I143" s="145"/>
      <c r="J143" s="36"/>
      <c r="K143" s="145"/>
      <c r="L143" s="40" t="s">
        <v>247</v>
      </c>
      <c r="M143" s="40"/>
      <c r="N143" s="40"/>
      <c r="O143" s="88">
        <f aca="true" t="shared" si="160" ref="O143:AD143">O58-O139</f>
        <v>81526.044</v>
      </c>
      <c r="P143" s="88">
        <f t="shared" si="160"/>
        <v>71197.89428095202</v>
      </c>
      <c r="Q143" s="88">
        <f t="shared" si="160"/>
        <v>61704.216078770354</v>
      </c>
      <c r="R143" s="88">
        <f t="shared" si="160"/>
        <v>54533.78729800038</v>
      </c>
      <c r="S143" s="88">
        <f t="shared" si="160"/>
        <v>47570.69992303012</v>
      </c>
      <c r="T143" s="88">
        <f t="shared" si="160"/>
        <v>40127.110962896906</v>
      </c>
      <c r="U143" s="88">
        <f t="shared" si="160"/>
        <v>33114.993881171</v>
      </c>
      <c r="V143" s="88">
        <f t="shared" si="160"/>
        <v>29159.286607091963</v>
      </c>
      <c r="W143" s="88">
        <f t="shared" si="160"/>
        <v>28361.508905892282</v>
      </c>
      <c r="X143" s="88">
        <f t="shared" si="160"/>
        <v>29052.758485011655</v>
      </c>
      <c r="Y143" s="88">
        <f t="shared" si="160"/>
        <v>30643.434279785084</v>
      </c>
      <c r="Z143" s="88">
        <f t="shared" si="160"/>
        <v>31153.9153311665</v>
      </c>
      <c r="AA143" s="88">
        <f t="shared" si="160"/>
        <v>32995.48863111723</v>
      </c>
      <c r="AB143" s="88">
        <f t="shared" si="160"/>
        <v>37401.143832523914</v>
      </c>
      <c r="AC143" s="88">
        <f t="shared" si="160"/>
        <v>39106.60072648506</v>
      </c>
      <c r="AD143" s="88">
        <f t="shared" si="160"/>
        <v>46005.35994170446</v>
      </c>
      <c r="AH143" s="60">
        <f t="shared" si="151"/>
        <v>2008</v>
      </c>
      <c r="AI143" s="60">
        <v>3</v>
      </c>
      <c r="AJ143" s="139">
        <f t="shared" si="152"/>
        <v>6274.78340553149</v>
      </c>
      <c r="AK143" s="320">
        <v>0</v>
      </c>
      <c r="AL143" s="321">
        <v>0</v>
      </c>
      <c r="AM143" s="274">
        <f t="shared" si="156"/>
        <v>6274.78340553149</v>
      </c>
      <c r="AN143" s="66">
        <f t="shared" si="157"/>
        <v>2745.217739920027</v>
      </c>
      <c r="AO143" s="66">
        <f aca="true" t="shared" si="161" ref="AO143:AT143">$AM$143*AO140</f>
        <v>1765.0965719760081</v>
      </c>
      <c r="AP143" s="66">
        <f t="shared" si="161"/>
        <v>1568.6958513828724</v>
      </c>
      <c r="AQ143" s="66">
        <f t="shared" si="161"/>
        <v>195.77324225258246</v>
      </c>
      <c r="AR143" s="66">
        <f t="shared" si="161"/>
        <v>0</v>
      </c>
      <c r="AS143" s="66">
        <f t="shared" si="161"/>
        <v>0</v>
      </c>
      <c r="AT143" s="66">
        <f t="shared" si="161"/>
        <v>0</v>
      </c>
      <c r="AV143" s="277"/>
      <c r="AW143" s="261"/>
      <c r="AX143" s="261">
        <f aca="true" t="shared" si="162" ref="AX143:BD143">AN143</f>
        <v>2745.217739920027</v>
      </c>
      <c r="AY143" s="261">
        <f t="shared" si="162"/>
        <v>1765.0965719760081</v>
      </c>
      <c r="AZ143" s="261">
        <f t="shared" si="162"/>
        <v>1568.6958513828724</v>
      </c>
      <c r="BA143" s="261">
        <f t="shared" si="162"/>
        <v>195.77324225258246</v>
      </c>
      <c r="BB143" s="261">
        <f t="shared" si="162"/>
        <v>0</v>
      </c>
      <c r="BC143" s="261">
        <f t="shared" si="162"/>
        <v>0</v>
      </c>
      <c r="BD143" s="261">
        <f t="shared" si="162"/>
        <v>0</v>
      </c>
      <c r="BE143" s="261"/>
      <c r="BF143" s="261"/>
      <c r="BG143" s="261"/>
      <c r="BH143" s="261"/>
      <c r="BI143" s="261"/>
      <c r="BJ143" s="261"/>
      <c r="BK143" s="279">
        <f t="shared" si="155"/>
        <v>6274.78340553149</v>
      </c>
    </row>
    <row r="144" spans="2:63" ht="13.5" customHeight="1">
      <c r="B144" s="3"/>
      <c r="C144" s="3"/>
      <c r="D144" s="3"/>
      <c r="I144" s="145"/>
      <c r="J144" s="36"/>
      <c r="K144" s="145"/>
      <c r="L144" s="40" t="s">
        <v>252</v>
      </c>
      <c r="M144" s="40"/>
      <c r="N144" s="40"/>
      <c r="O144" s="199">
        <f aca="true" t="shared" si="163" ref="O144:AD144">O60-O140</f>
        <v>407.63021999999995</v>
      </c>
      <c r="P144" s="199">
        <f t="shared" si="163"/>
        <v>357.7783632208645</v>
      </c>
      <c r="Q144" s="199">
        <f t="shared" si="163"/>
        <v>308.5210803938518</v>
      </c>
      <c r="R144" s="199">
        <f t="shared" si="163"/>
        <v>272.6689364900019</v>
      </c>
      <c r="S144" s="199">
        <f t="shared" si="163"/>
        <v>237.8534996151506</v>
      </c>
      <c r="T144" s="199">
        <f t="shared" si="163"/>
        <v>200.63555481448452</v>
      </c>
      <c r="U144" s="199">
        <f t="shared" si="163"/>
        <v>165.57496940585497</v>
      </c>
      <c r="V144" s="199">
        <f t="shared" si="163"/>
        <v>145.7964330354598</v>
      </c>
      <c r="W144" s="199">
        <f t="shared" si="163"/>
        <v>141.80754452946144</v>
      </c>
      <c r="X144" s="199">
        <f t="shared" si="163"/>
        <v>145.26379242505828</v>
      </c>
      <c r="Y144" s="199">
        <f t="shared" si="163"/>
        <v>153.21717139892542</v>
      </c>
      <c r="Z144" s="199">
        <f t="shared" si="163"/>
        <v>155.7695766558325</v>
      </c>
      <c r="AA144" s="199">
        <f t="shared" si="163"/>
        <v>164.97744315558612</v>
      </c>
      <c r="AB144" s="199">
        <f t="shared" si="163"/>
        <v>187.00571916261953</v>
      </c>
      <c r="AC144" s="199">
        <f t="shared" si="163"/>
        <v>195.53300363242528</v>
      </c>
      <c r="AD144" s="199">
        <f t="shared" si="163"/>
        <v>230.02679970852233</v>
      </c>
      <c r="AH144" s="60">
        <f t="shared" si="151"/>
        <v>2009</v>
      </c>
      <c r="AI144" s="60">
        <v>4</v>
      </c>
      <c r="AJ144" s="139">
        <f t="shared" si="152"/>
        <v>5970.509830056647</v>
      </c>
      <c r="AK144" s="320">
        <v>0</v>
      </c>
      <c r="AL144" s="321">
        <v>0</v>
      </c>
      <c r="AM144" s="274">
        <f t="shared" si="156"/>
        <v>5970.509830056647</v>
      </c>
      <c r="AN144" s="66">
        <f t="shared" si="157"/>
        <v>2612.098050649783</v>
      </c>
      <c r="AO144" s="66">
        <f aca="true" t="shared" si="164" ref="AO144:AT144">$AM$144*AO140</f>
        <v>1679.5044151949348</v>
      </c>
      <c r="AP144" s="66">
        <f t="shared" si="164"/>
        <v>1492.6274575141617</v>
      </c>
      <c r="AQ144" s="66">
        <f t="shared" si="164"/>
        <v>186.2799066977674</v>
      </c>
      <c r="AR144" s="66">
        <f t="shared" si="164"/>
        <v>0</v>
      </c>
      <c r="AS144" s="66">
        <f t="shared" si="164"/>
        <v>0</v>
      </c>
      <c r="AT144" s="66">
        <f t="shared" si="164"/>
        <v>0</v>
      </c>
      <c r="AV144" s="277"/>
      <c r="AW144" s="261"/>
      <c r="AX144" s="261"/>
      <c r="AY144" s="261">
        <f aca="true" t="shared" si="165" ref="AY144:BE144">AN144</f>
        <v>2612.098050649783</v>
      </c>
      <c r="AZ144" s="261">
        <f t="shared" si="165"/>
        <v>1679.5044151949348</v>
      </c>
      <c r="BA144" s="261">
        <f t="shared" si="165"/>
        <v>1492.6274575141617</v>
      </c>
      <c r="BB144" s="261">
        <f t="shared" si="165"/>
        <v>186.2799066977674</v>
      </c>
      <c r="BC144" s="261">
        <f t="shared" si="165"/>
        <v>0</v>
      </c>
      <c r="BD144" s="261">
        <f t="shared" si="165"/>
        <v>0</v>
      </c>
      <c r="BE144" s="261">
        <f t="shared" si="165"/>
        <v>0</v>
      </c>
      <c r="BF144" s="261"/>
      <c r="BG144" s="261"/>
      <c r="BH144" s="261"/>
      <c r="BI144" s="261"/>
      <c r="BJ144" s="261"/>
      <c r="BK144" s="279">
        <f t="shared" si="155"/>
        <v>5970.509830056647</v>
      </c>
    </row>
    <row r="145" spans="2:63" ht="13.5" customHeight="1">
      <c r="B145" s="3"/>
      <c r="C145" s="3"/>
      <c r="D145" s="3"/>
      <c r="I145" s="145"/>
      <c r="J145" s="36"/>
      <c r="K145" s="145"/>
      <c r="L145" s="40"/>
      <c r="M145" s="40"/>
      <c r="N145" s="40"/>
      <c r="O145" s="72"/>
      <c r="P145" s="72"/>
      <c r="Q145" s="72"/>
      <c r="R145" s="72"/>
      <c r="S145" s="72"/>
      <c r="T145" s="72"/>
      <c r="U145" s="72"/>
      <c r="V145" s="72"/>
      <c r="W145" s="72"/>
      <c r="X145" s="72"/>
      <c r="Y145" s="72"/>
      <c r="Z145" s="72"/>
      <c r="AA145" s="72"/>
      <c r="AB145" s="72"/>
      <c r="AC145" s="72"/>
      <c r="AD145" s="72"/>
      <c r="AH145" s="60">
        <f t="shared" si="151"/>
        <v>2010</v>
      </c>
      <c r="AI145" s="60">
        <v>5</v>
      </c>
      <c r="AJ145" s="139">
        <f t="shared" si="152"/>
        <v>5641.869376874375</v>
      </c>
      <c r="AK145" s="320">
        <v>0</v>
      </c>
      <c r="AL145" s="321">
        <v>0</v>
      </c>
      <c r="AM145" s="274">
        <f t="shared" si="156"/>
        <v>5641.869376874375</v>
      </c>
      <c r="AN145" s="66">
        <f t="shared" si="157"/>
        <v>2468.317852382539</v>
      </c>
      <c r="AO145" s="66">
        <f aca="true" t="shared" si="166" ref="AO145:AT145">$AM$145*AO140</f>
        <v>1587.0578557147617</v>
      </c>
      <c r="AP145" s="66">
        <f t="shared" si="166"/>
        <v>1410.4673442185938</v>
      </c>
      <c r="AQ145" s="66">
        <f t="shared" si="166"/>
        <v>176.0263245584805</v>
      </c>
      <c r="AR145" s="66">
        <f t="shared" si="166"/>
        <v>0</v>
      </c>
      <c r="AS145" s="66">
        <f t="shared" si="166"/>
        <v>0</v>
      </c>
      <c r="AT145" s="66">
        <f t="shared" si="166"/>
        <v>0</v>
      </c>
      <c r="AV145" s="277"/>
      <c r="AW145" s="261"/>
      <c r="AX145" s="261"/>
      <c r="AY145" s="261"/>
      <c r="AZ145" s="261">
        <f aca="true" t="shared" si="167" ref="AZ145:BF145">AN145</f>
        <v>2468.317852382539</v>
      </c>
      <c r="BA145" s="261">
        <f t="shared" si="167"/>
        <v>1587.0578557147617</v>
      </c>
      <c r="BB145" s="261">
        <f t="shared" si="167"/>
        <v>1410.4673442185938</v>
      </c>
      <c r="BC145" s="261">
        <f t="shared" si="167"/>
        <v>176.0263245584805</v>
      </c>
      <c r="BD145" s="261">
        <f t="shared" si="167"/>
        <v>0</v>
      </c>
      <c r="BE145" s="261">
        <f t="shared" si="167"/>
        <v>0</v>
      </c>
      <c r="BF145" s="261">
        <f t="shared" si="167"/>
        <v>0</v>
      </c>
      <c r="BG145" s="261"/>
      <c r="BH145" s="261"/>
      <c r="BI145" s="261"/>
      <c r="BJ145" s="261"/>
      <c r="BK145" s="279">
        <f t="shared" si="155"/>
        <v>5641.869376874375</v>
      </c>
    </row>
    <row r="146" spans="2:63" ht="13.5" customHeight="1">
      <c r="B146" s="24"/>
      <c r="C146" s="3"/>
      <c r="D146" s="10"/>
      <c r="E146" s="10"/>
      <c r="F146" s="10"/>
      <c r="H146" s="24"/>
      <c r="I146" s="145"/>
      <c r="J146" s="36"/>
      <c r="K146" s="145"/>
      <c r="L146" s="40"/>
      <c r="M146" s="40"/>
      <c r="N146" s="40"/>
      <c r="O146" s="72"/>
      <c r="P146" s="72"/>
      <c r="Q146" s="72"/>
      <c r="R146" s="72"/>
      <c r="S146" s="72"/>
      <c r="T146" s="72"/>
      <c r="U146" s="72"/>
      <c r="V146" s="72"/>
      <c r="W146" s="72"/>
      <c r="X146" s="72"/>
      <c r="Y146" s="72"/>
      <c r="Z146" s="72"/>
      <c r="AA146" s="72"/>
      <c r="AB146" s="72"/>
      <c r="AC146" s="72"/>
      <c r="AD146" s="72"/>
      <c r="AH146" s="60">
        <f t="shared" si="151"/>
        <v>2011</v>
      </c>
      <c r="AI146" s="60">
        <v>6</v>
      </c>
      <c r="AJ146" s="139">
        <f t="shared" si="152"/>
        <v>5340.719760079974</v>
      </c>
      <c r="AK146" s="320">
        <v>0</v>
      </c>
      <c r="AL146" s="321">
        <v>0</v>
      </c>
      <c r="AM146" s="274">
        <f t="shared" si="156"/>
        <v>5340.719760079974</v>
      </c>
      <c r="AN146" s="66">
        <f t="shared" si="157"/>
        <v>2336.5648950349887</v>
      </c>
      <c r="AO146" s="66">
        <f aca="true" t="shared" si="168" ref="AO146:AT146">$AM$146*AO140</f>
        <v>1502.3444685104967</v>
      </c>
      <c r="AP146" s="66">
        <f t="shared" si="168"/>
        <v>1335.1799400199934</v>
      </c>
      <c r="AQ146" s="66">
        <f t="shared" si="168"/>
        <v>166.63045651449517</v>
      </c>
      <c r="AR146" s="66">
        <f t="shared" si="168"/>
        <v>0</v>
      </c>
      <c r="AS146" s="66">
        <f t="shared" si="168"/>
        <v>0</v>
      </c>
      <c r="AT146" s="66">
        <f t="shared" si="168"/>
        <v>0</v>
      </c>
      <c r="AV146" s="277"/>
      <c r="AW146" s="261"/>
      <c r="AX146" s="261"/>
      <c r="AY146" s="261"/>
      <c r="AZ146" s="261"/>
      <c r="BA146" s="261">
        <f aca="true" t="shared" si="169" ref="BA146:BG146">AN146</f>
        <v>2336.5648950349887</v>
      </c>
      <c r="BB146" s="261">
        <f t="shared" si="169"/>
        <v>1502.3444685104967</v>
      </c>
      <c r="BC146" s="261">
        <f t="shared" si="169"/>
        <v>1335.1799400199934</v>
      </c>
      <c r="BD146" s="261">
        <f t="shared" si="169"/>
        <v>166.63045651449517</v>
      </c>
      <c r="BE146" s="261">
        <f t="shared" si="169"/>
        <v>0</v>
      </c>
      <c r="BF146" s="261">
        <f t="shared" si="169"/>
        <v>0</v>
      </c>
      <c r="BG146" s="261">
        <f t="shared" si="169"/>
        <v>0</v>
      </c>
      <c r="BH146" s="261"/>
      <c r="BI146" s="261"/>
      <c r="BJ146" s="261"/>
      <c r="BK146" s="279">
        <f t="shared" si="155"/>
        <v>5340.719760079975</v>
      </c>
    </row>
    <row r="147" spans="2:63" ht="15.75" customHeight="1">
      <c r="B147" s="191"/>
      <c r="C147" s="445" t="s">
        <v>413</v>
      </c>
      <c r="D147" s="210"/>
      <c r="E147" s="25"/>
      <c r="F147" s="25"/>
      <c r="G147" s="25"/>
      <c r="H147" s="27"/>
      <c r="I147" s="145"/>
      <c r="J147" s="36"/>
      <c r="K147" s="145"/>
      <c r="L147" s="40"/>
      <c r="M147" s="40"/>
      <c r="N147" s="40"/>
      <c r="O147" s="72"/>
      <c r="P147" s="72"/>
      <c r="Q147" s="72"/>
      <c r="R147" s="72"/>
      <c r="S147" s="72"/>
      <c r="T147" s="72"/>
      <c r="U147" s="72"/>
      <c r="V147" s="72"/>
      <c r="W147" s="72"/>
      <c r="X147" s="72"/>
      <c r="Y147" s="72"/>
      <c r="Z147" s="72"/>
      <c r="AA147" s="72"/>
      <c r="AB147" s="72"/>
      <c r="AC147" s="72"/>
      <c r="AD147" s="72"/>
      <c r="AH147" s="60">
        <f t="shared" si="151"/>
        <v>2012</v>
      </c>
      <c r="AI147" s="60">
        <v>7</v>
      </c>
      <c r="AJ147" s="139">
        <f t="shared" si="152"/>
        <v>5217.010996334555</v>
      </c>
      <c r="AK147" s="320">
        <v>0</v>
      </c>
      <c r="AL147" s="321">
        <v>0</v>
      </c>
      <c r="AM147" s="274">
        <f t="shared" si="156"/>
        <v>5217.010996334555</v>
      </c>
      <c r="AN147" s="66">
        <f t="shared" si="157"/>
        <v>2282.442310896368</v>
      </c>
      <c r="AO147" s="66">
        <f aca="true" t="shared" si="170" ref="AO147:AT147">$AM$147*AO140</f>
        <v>1467.5451932689102</v>
      </c>
      <c r="AP147" s="66">
        <f t="shared" si="170"/>
        <v>1304.2527490836387</v>
      </c>
      <c r="AQ147" s="66">
        <f t="shared" si="170"/>
        <v>162.77074308563812</v>
      </c>
      <c r="AR147" s="66">
        <f t="shared" si="170"/>
        <v>0</v>
      </c>
      <c r="AS147" s="66">
        <f t="shared" si="170"/>
        <v>0</v>
      </c>
      <c r="AT147" s="66">
        <f t="shared" si="170"/>
        <v>0</v>
      </c>
      <c r="AV147" s="277"/>
      <c r="AW147" s="261"/>
      <c r="AX147" s="261"/>
      <c r="AY147" s="261"/>
      <c r="AZ147" s="261"/>
      <c r="BA147" s="261"/>
      <c r="BB147" s="261">
        <f aca="true" t="shared" si="171" ref="BB147:BH147">AN147</f>
        <v>2282.442310896368</v>
      </c>
      <c r="BC147" s="261">
        <f t="shared" si="171"/>
        <v>1467.5451932689102</v>
      </c>
      <c r="BD147" s="261">
        <f t="shared" si="171"/>
        <v>1304.2527490836387</v>
      </c>
      <c r="BE147" s="261">
        <f t="shared" si="171"/>
        <v>162.77074308563812</v>
      </c>
      <c r="BF147" s="261">
        <f t="shared" si="171"/>
        <v>0</v>
      </c>
      <c r="BG147" s="261">
        <f t="shared" si="171"/>
        <v>0</v>
      </c>
      <c r="BH147" s="261">
        <f t="shared" si="171"/>
        <v>0</v>
      </c>
      <c r="BI147" s="261"/>
      <c r="BJ147" s="261"/>
      <c r="BK147" s="279">
        <f t="shared" si="155"/>
        <v>5217.010996334555</v>
      </c>
    </row>
    <row r="148" spans="3:63" ht="13.5" customHeight="1">
      <c r="C148" s="3"/>
      <c r="D148" s="3"/>
      <c r="E148" s="3"/>
      <c r="I148" s="145"/>
      <c r="J148" s="36"/>
      <c r="K148" s="145"/>
      <c r="L148" s="40"/>
      <c r="M148" s="40"/>
      <c r="N148" s="40"/>
      <c r="O148" s="60">
        <f aca="true" t="shared" si="172" ref="O148:AD148">O19</f>
        <v>2005</v>
      </c>
      <c r="P148" s="60">
        <f t="shared" si="172"/>
        <v>2006</v>
      </c>
      <c r="Q148" s="60">
        <f t="shared" si="172"/>
        <v>2007</v>
      </c>
      <c r="R148" s="60">
        <f t="shared" si="172"/>
        <v>2008</v>
      </c>
      <c r="S148" s="60">
        <f t="shared" si="172"/>
        <v>2009</v>
      </c>
      <c r="T148" s="60">
        <f t="shared" si="172"/>
        <v>2010</v>
      </c>
      <c r="U148" s="60">
        <f t="shared" si="172"/>
        <v>2011</v>
      </c>
      <c r="V148" s="60">
        <f t="shared" si="172"/>
        <v>2012</v>
      </c>
      <c r="W148" s="60">
        <f t="shared" si="172"/>
        <v>2013</v>
      </c>
      <c r="X148" s="60">
        <f t="shared" si="172"/>
        <v>2014</v>
      </c>
      <c r="Y148" s="60">
        <f t="shared" si="172"/>
        <v>2015</v>
      </c>
      <c r="Z148" s="60">
        <f t="shared" si="172"/>
        <v>2016</v>
      </c>
      <c r="AA148" s="60">
        <f t="shared" si="172"/>
        <v>2017</v>
      </c>
      <c r="AB148" s="60">
        <f t="shared" si="172"/>
        <v>2018</v>
      </c>
      <c r="AC148" s="60">
        <f t="shared" si="172"/>
        <v>2019</v>
      </c>
      <c r="AD148" s="60">
        <f t="shared" si="172"/>
        <v>2020</v>
      </c>
      <c r="AH148" s="60">
        <f t="shared" si="151"/>
        <v>2013</v>
      </c>
      <c r="AI148" s="60">
        <v>8</v>
      </c>
      <c r="AJ148" s="139">
        <f t="shared" si="152"/>
        <v>5276.991002999</v>
      </c>
      <c r="AK148" s="320">
        <v>0</v>
      </c>
      <c r="AL148" s="321">
        <v>0</v>
      </c>
      <c r="AM148" s="274">
        <f t="shared" si="156"/>
        <v>5276.991002999</v>
      </c>
      <c r="AN148" s="66">
        <f t="shared" si="157"/>
        <v>2308.6835638120624</v>
      </c>
      <c r="AO148" s="66">
        <f aca="true" t="shared" si="173" ref="AO148:AT148">$AM$148*AO140</f>
        <v>1484.4175691436185</v>
      </c>
      <c r="AP148" s="66">
        <f t="shared" si="173"/>
        <v>1319.24775074975</v>
      </c>
      <c r="AQ148" s="66">
        <f t="shared" si="173"/>
        <v>164.64211929356878</v>
      </c>
      <c r="AR148" s="66">
        <f t="shared" si="173"/>
        <v>0</v>
      </c>
      <c r="AS148" s="66">
        <f t="shared" si="173"/>
        <v>0</v>
      </c>
      <c r="AT148" s="66">
        <f t="shared" si="173"/>
        <v>0</v>
      </c>
      <c r="AV148" s="277"/>
      <c r="AW148" s="261"/>
      <c r="AX148" s="261"/>
      <c r="AY148" s="261"/>
      <c r="AZ148" s="261"/>
      <c r="BA148" s="261"/>
      <c r="BB148" s="261"/>
      <c r="BC148" s="261">
        <f aca="true" t="shared" si="174" ref="BC148:BI148">AN148</f>
        <v>2308.6835638120624</v>
      </c>
      <c r="BD148" s="261">
        <f t="shared" si="174"/>
        <v>1484.4175691436185</v>
      </c>
      <c r="BE148" s="261">
        <f t="shared" si="174"/>
        <v>1319.24775074975</v>
      </c>
      <c r="BF148" s="261">
        <f t="shared" si="174"/>
        <v>164.64211929356878</v>
      </c>
      <c r="BG148" s="261">
        <f t="shared" si="174"/>
        <v>0</v>
      </c>
      <c r="BH148" s="261">
        <f t="shared" si="174"/>
        <v>0</v>
      </c>
      <c r="BI148" s="261">
        <f t="shared" si="174"/>
        <v>0</v>
      </c>
      <c r="BJ148" s="261"/>
      <c r="BK148" s="279">
        <f t="shared" si="155"/>
        <v>5276.991002999</v>
      </c>
    </row>
    <row r="149" spans="3:63" ht="13.5" customHeight="1">
      <c r="C149" s="44" t="s">
        <v>92</v>
      </c>
      <c r="D149" s="4" t="s">
        <v>66</v>
      </c>
      <c r="E149" s="4" t="s">
        <v>67</v>
      </c>
      <c r="F149" s="4" t="s">
        <v>68</v>
      </c>
      <c r="G149" s="4" t="s">
        <v>69</v>
      </c>
      <c r="H149" s="4" t="s">
        <v>50</v>
      </c>
      <c r="I149" s="145"/>
      <c r="J149" s="36"/>
      <c r="K149" s="145"/>
      <c r="L149" s="40"/>
      <c r="M149" s="40"/>
      <c r="N149" s="40"/>
      <c r="O149" s="117" t="str">
        <f>$O$20</f>
        <v>Base Year = Yr 0</v>
      </c>
      <c r="P149" s="62" t="str">
        <f aca="true" t="shared" si="175" ref="P149:AD149">P20</f>
        <v>Year 1</v>
      </c>
      <c r="Q149" s="62" t="str">
        <f t="shared" si="175"/>
        <v>Year 2</v>
      </c>
      <c r="R149" s="62" t="str">
        <f t="shared" si="175"/>
        <v>Year 3</v>
      </c>
      <c r="S149" s="62" t="str">
        <f t="shared" si="175"/>
        <v>Year 4</v>
      </c>
      <c r="T149" s="62" t="str">
        <f t="shared" si="175"/>
        <v>Year 5</v>
      </c>
      <c r="U149" s="62" t="str">
        <f t="shared" si="175"/>
        <v>Year 6</v>
      </c>
      <c r="V149" s="62" t="str">
        <f t="shared" si="175"/>
        <v>Year 7</v>
      </c>
      <c r="W149" s="62" t="str">
        <f t="shared" si="175"/>
        <v>Year 8</v>
      </c>
      <c r="X149" s="62" t="str">
        <f t="shared" si="175"/>
        <v>Year 9</v>
      </c>
      <c r="Y149" s="62" t="str">
        <f t="shared" si="175"/>
        <v>Year 10</v>
      </c>
      <c r="Z149" s="62" t="str">
        <f t="shared" si="175"/>
        <v>Year 11</v>
      </c>
      <c r="AA149" s="62" t="str">
        <f t="shared" si="175"/>
        <v>Year 12</v>
      </c>
      <c r="AB149" s="62" t="str">
        <f t="shared" si="175"/>
        <v>Year 13</v>
      </c>
      <c r="AC149" s="62" t="str">
        <f t="shared" si="175"/>
        <v>Year 14</v>
      </c>
      <c r="AD149" s="62" t="str">
        <f t="shared" si="175"/>
        <v>Year 15</v>
      </c>
      <c r="AH149" s="60">
        <f t="shared" si="151"/>
        <v>2014</v>
      </c>
      <c r="AI149" s="60">
        <v>9</v>
      </c>
      <c r="AJ149" s="139">
        <f t="shared" si="152"/>
        <v>5425.691436187937</v>
      </c>
      <c r="AK149" s="320">
        <v>0</v>
      </c>
      <c r="AL149" s="321">
        <v>0</v>
      </c>
      <c r="AM149" s="274">
        <f t="shared" si="156"/>
        <v>5425.691436187937</v>
      </c>
      <c r="AN149" s="66">
        <f t="shared" si="157"/>
        <v>2373.7400033322224</v>
      </c>
      <c r="AO149" s="66">
        <f aca="true" t="shared" si="176" ref="AO149:AT149">$AM$149*AO140</f>
        <v>1526.2470009996666</v>
      </c>
      <c r="AP149" s="66">
        <f t="shared" si="176"/>
        <v>1356.4228590469843</v>
      </c>
      <c r="AQ149" s="66">
        <f t="shared" si="176"/>
        <v>169.28157280906362</v>
      </c>
      <c r="AR149" s="66">
        <f t="shared" si="176"/>
        <v>0</v>
      </c>
      <c r="AS149" s="66">
        <f t="shared" si="176"/>
        <v>0</v>
      </c>
      <c r="AT149" s="66">
        <f t="shared" si="176"/>
        <v>0</v>
      </c>
      <c r="AV149" s="277"/>
      <c r="AW149" s="261"/>
      <c r="AX149" s="261"/>
      <c r="AY149" s="261"/>
      <c r="AZ149" s="261"/>
      <c r="BA149" s="261"/>
      <c r="BB149" s="261"/>
      <c r="BC149" s="261"/>
      <c r="BD149" s="261">
        <f aca="true" t="shared" si="177" ref="BD149:BJ149">AN149</f>
        <v>2373.7400033322224</v>
      </c>
      <c r="BE149" s="261">
        <f t="shared" si="177"/>
        <v>1526.2470009996666</v>
      </c>
      <c r="BF149" s="261">
        <f t="shared" si="177"/>
        <v>1356.4228590469843</v>
      </c>
      <c r="BG149" s="261">
        <f t="shared" si="177"/>
        <v>169.28157280906362</v>
      </c>
      <c r="BH149" s="261">
        <f t="shared" si="177"/>
        <v>0</v>
      </c>
      <c r="BI149" s="261">
        <f t="shared" si="177"/>
        <v>0</v>
      </c>
      <c r="BJ149" s="261">
        <f t="shared" si="177"/>
        <v>0</v>
      </c>
      <c r="BK149" s="279">
        <f t="shared" si="155"/>
        <v>5425.691436187936</v>
      </c>
    </row>
    <row r="150" spans="2:63" ht="13.5" customHeight="1">
      <c r="B150" s="9"/>
      <c r="C150" s="2" t="s">
        <v>398</v>
      </c>
      <c r="D150" s="4" t="s">
        <v>71</v>
      </c>
      <c r="E150" s="4" t="s">
        <v>72</v>
      </c>
      <c r="F150" s="4" t="s">
        <v>50</v>
      </c>
      <c r="G150" s="20" t="s">
        <v>70</v>
      </c>
      <c r="H150" s="4" t="s">
        <v>41</v>
      </c>
      <c r="I150" s="145"/>
      <c r="J150" s="36"/>
      <c r="K150" s="145"/>
      <c r="L150" s="192" t="s">
        <v>194</v>
      </c>
      <c r="M150" s="40"/>
      <c r="N150" s="40"/>
      <c r="O150" s="88"/>
      <c r="P150" s="88"/>
      <c r="Q150" s="88"/>
      <c r="R150" s="88"/>
      <c r="S150" s="88"/>
      <c r="T150" s="88"/>
      <c r="U150" s="88"/>
      <c r="V150" s="88"/>
      <c r="W150" s="88"/>
      <c r="X150" s="88"/>
      <c r="Y150" s="88"/>
      <c r="Z150" s="88"/>
      <c r="AA150" s="88"/>
      <c r="AB150" s="88"/>
      <c r="AC150" s="88"/>
      <c r="AD150" s="88"/>
      <c r="AH150" s="60">
        <f t="shared" si="151"/>
        <v>2015</v>
      </c>
      <c r="AI150" s="60">
        <v>10</v>
      </c>
      <c r="AJ150" s="139">
        <f t="shared" si="152"/>
        <v>5629.373542152615</v>
      </c>
      <c r="AK150" s="320">
        <v>0</v>
      </c>
      <c r="AL150" s="321">
        <v>0</v>
      </c>
      <c r="AM150" s="274">
        <f t="shared" si="156"/>
        <v>5629.373542152615</v>
      </c>
      <c r="AN150" s="66">
        <f t="shared" si="157"/>
        <v>2462.8509246917693</v>
      </c>
      <c r="AO150" s="66">
        <f aca="true" t="shared" si="178" ref="AO150:AT150">$AM$150*AO140</f>
        <v>1583.5427774075306</v>
      </c>
      <c r="AP150" s="66">
        <f t="shared" si="178"/>
        <v>1407.3433855381538</v>
      </c>
      <c r="AQ150" s="66">
        <f t="shared" si="178"/>
        <v>175.6364545151616</v>
      </c>
      <c r="AR150" s="66">
        <f t="shared" si="178"/>
        <v>0</v>
      </c>
      <c r="AS150" s="66">
        <f t="shared" si="178"/>
        <v>0</v>
      </c>
      <c r="AT150" s="66">
        <f t="shared" si="178"/>
        <v>0</v>
      </c>
      <c r="AV150" s="277"/>
      <c r="AW150" s="261"/>
      <c r="AX150" s="261"/>
      <c r="AY150" s="261"/>
      <c r="AZ150" s="261"/>
      <c r="BA150" s="261"/>
      <c r="BB150" s="261"/>
      <c r="BC150" s="261"/>
      <c r="BD150" s="261"/>
      <c r="BE150" s="261">
        <f aca="true" t="shared" si="179" ref="BE150:BJ150">AN150</f>
        <v>2462.8509246917693</v>
      </c>
      <c r="BF150" s="261">
        <f t="shared" si="179"/>
        <v>1583.5427774075306</v>
      </c>
      <c r="BG150" s="261">
        <f t="shared" si="179"/>
        <v>1407.3433855381538</v>
      </c>
      <c r="BH150" s="261">
        <f t="shared" si="179"/>
        <v>175.6364545151616</v>
      </c>
      <c r="BI150" s="261">
        <f t="shared" si="179"/>
        <v>0</v>
      </c>
      <c r="BJ150" s="261">
        <f t="shared" si="179"/>
        <v>0</v>
      </c>
      <c r="BK150" s="279">
        <f t="shared" si="155"/>
        <v>5629.373542152615</v>
      </c>
    </row>
    <row r="151" spans="2:64" ht="13.5" customHeight="1">
      <c r="B151" s="69" t="s">
        <v>87</v>
      </c>
      <c r="C151" s="219" t="s">
        <v>165</v>
      </c>
      <c r="D151" s="236">
        <f>40000*180/600</f>
        <v>12000</v>
      </c>
      <c r="E151" s="217">
        <v>15</v>
      </c>
      <c r="F151" s="237">
        <v>1200</v>
      </c>
      <c r="G151" s="90">
        <f aca="true" t="shared" si="180" ref="G151:G162">(D151-F151)/IF(E151=0,1,E151)</f>
        <v>720</v>
      </c>
      <c r="H151" s="70">
        <f aca="true" t="shared" si="181" ref="H151:H162">G151/$G$22</f>
        <v>3.6</v>
      </c>
      <c r="I151" s="145"/>
      <c r="J151" s="36"/>
      <c r="K151" s="145"/>
      <c r="L151" s="376"/>
      <c r="M151" s="377"/>
      <c r="N151" s="378"/>
      <c r="O151" s="88"/>
      <c r="P151" s="88"/>
      <c r="Q151" s="88"/>
      <c r="R151" s="88"/>
      <c r="S151" s="88"/>
      <c r="T151" s="88"/>
      <c r="U151" s="88"/>
      <c r="V151" s="88"/>
      <c r="W151" s="88"/>
      <c r="X151" s="88"/>
      <c r="Y151" s="88"/>
      <c r="Z151" s="88"/>
      <c r="AA151" s="88"/>
      <c r="AB151" s="88"/>
      <c r="AC151" s="88"/>
      <c r="AD151" s="88"/>
      <c r="AH151" s="60">
        <f t="shared" si="151"/>
        <v>2016</v>
      </c>
      <c r="AI151" s="60">
        <v>11</v>
      </c>
      <c r="AJ151" s="139">
        <f t="shared" si="152"/>
        <v>5775</v>
      </c>
      <c r="AK151" s="320">
        <v>0</v>
      </c>
      <c r="AL151" s="321">
        <v>0</v>
      </c>
      <c r="AM151" s="274">
        <f t="shared" si="156"/>
        <v>5775</v>
      </c>
      <c r="AN151" s="66">
        <f t="shared" si="157"/>
        <v>2526.5625</v>
      </c>
      <c r="AO151" s="66">
        <f aca="true" t="shared" si="182" ref="AO151:AT151">$AM$151*AO140</f>
        <v>1624.5075</v>
      </c>
      <c r="AP151" s="66">
        <f t="shared" si="182"/>
        <v>1443.75</v>
      </c>
      <c r="AQ151" s="66">
        <f t="shared" si="182"/>
        <v>180.17999999999998</v>
      </c>
      <c r="AR151" s="66">
        <f t="shared" si="182"/>
        <v>0</v>
      </c>
      <c r="AS151" s="66">
        <f t="shared" si="182"/>
        <v>0</v>
      </c>
      <c r="AT151" s="66">
        <f t="shared" si="182"/>
        <v>0</v>
      </c>
      <c r="AV151" s="277"/>
      <c r="AW151" s="261"/>
      <c r="AX151" s="261"/>
      <c r="AY151" s="261"/>
      <c r="AZ151" s="261"/>
      <c r="BA151" s="261"/>
      <c r="BB151" s="261"/>
      <c r="BC151" s="261"/>
      <c r="BD151" s="261"/>
      <c r="BE151" s="261"/>
      <c r="BF151" s="261">
        <f>AN151</f>
        <v>2526.5625</v>
      </c>
      <c r="BG151" s="261">
        <f>AO151</f>
        <v>1624.5075</v>
      </c>
      <c r="BH151" s="261">
        <f>AP151</f>
        <v>1443.75</v>
      </c>
      <c r="BI151" s="261">
        <f>AQ151</f>
        <v>180.17999999999998</v>
      </c>
      <c r="BJ151" s="261">
        <f>AR151</f>
        <v>0</v>
      </c>
      <c r="BK151" s="279">
        <f t="shared" si="155"/>
        <v>5775</v>
      </c>
      <c r="BL151" s="36"/>
    </row>
    <row r="152" spans="2:64" ht="13.5" customHeight="1">
      <c r="B152" s="23"/>
      <c r="C152" s="221" t="s">
        <v>115</v>
      </c>
      <c r="D152" s="238">
        <f>10000*0.8</f>
        <v>8000</v>
      </c>
      <c r="E152" s="213">
        <v>5</v>
      </c>
      <c r="F152" s="239">
        <v>800</v>
      </c>
      <c r="G152" s="90">
        <f t="shared" si="180"/>
        <v>1440</v>
      </c>
      <c r="H152" s="70">
        <f t="shared" si="181"/>
        <v>7.2</v>
      </c>
      <c r="I152" s="145"/>
      <c r="J152" s="36"/>
      <c r="K152" s="145"/>
      <c r="L152" s="379"/>
      <c r="M152" s="92"/>
      <c r="N152" s="380"/>
      <c r="O152" s="88"/>
      <c r="P152" s="88"/>
      <c r="Q152" s="88"/>
      <c r="R152" s="88"/>
      <c r="S152" s="88"/>
      <c r="T152" s="88"/>
      <c r="U152" s="88"/>
      <c r="V152" s="88"/>
      <c r="W152" s="88"/>
      <c r="X152" s="88"/>
      <c r="Y152" s="88"/>
      <c r="Z152" s="88"/>
      <c r="AA152" s="88"/>
      <c r="AB152" s="88"/>
      <c r="AC152" s="88"/>
      <c r="AD152" s="88"/>
      <c r="AH152" s="60">
        <f t="shared" si="151"/>
        <v>2017</v>
      </c>
      <c r="AI152" s="60">
        <v>12</v>
      </c>
      <c r="AJ152" s="139">
        <f t="shared" si="152"/>
        <v>6000</v>
      </c>
      <c r="AK152" s="320">
        <v>0</v>
      </c>
      <c r="AL152" s="321">
        <v>0</v>
      </c>
      <c r="AM152" s="274">
        <f t="shared" si="156"/>
        <v>6000</v>
      </c>
      <c r="AN152" s="66">
        <f t="shared" si="157"/>
        <v>2625</v>
      </c>
      <c r="AO152" s="66">
        <f aca="true" t="shared" si="183" ref="AO152:AT152">$AM$152*AO140</f>
        <v>1687.8</v>
      </c>
      <c r="AP152" s="66">
        <f t="shared" si="183"/>
        <v>1500</v>
      </c>
      <c r="AQ152" s="66">
        <f t="shared" si="183"/>
        <v>187.2</v>
      </c>
      <c r="AR152" s="66">
        <f t="shared" si="183"/>
        <v>0</v>
      </c>
      <c r="AS152" s="66">
        <f t="shared" si="183"/>
        <v>0</v>
      </c>
      <c r="AT152" s="66">
        <f t="shared" si="183"/>
        <v>0</v>
      </c>
      <c r="AV152" s="277"/>
      <c r="AW152" s="261"/>
      <c r="AX152" s="261"/>
      <c r="AY152" s="261"/>
      <c r="AZ152" s="261"/>
      <c r="BA152" s="261"/>
      <c r="BB152" s="261"/>
      <c r="BC152" s="261"/>
      <c r="BD152" s="261"/>
      <c r="BE152" s="261"/>
      <c r="BF152" s="261"/>
      <c r="BG152" s="261">
        <f>AN152</f>
        <v>2625</v>
      </c>
      <c r="BH152" s="261">
        <f>AO152</f>
        <v>1687.8</v>
      </c>
      <c r="BI152" s="261">
        <f>AP152</f>
        <v>1500</v>
      </c>
      <c r="BJ152" s="261">
        <f>AQ152</f>
        <v>187.2</v>
      </c>
      <c r="BK152" s="279">
        <f t="shared" si="155"/>
        <v>6000</v>
      </c>
      <c r="BL152" s="36"/>
    </row>
    <row r="153" spans="2:64" ht="13.5" customHeight="1">
      <c r="B153" s="23"/>
      <c r="C153" s="221" t="s">
        <v>104</v>
      </c>
      <c r="D153" s="238">
        <v>5500</v>
      </c>
      <c r="E153" s="213">
        <v>10</v>
      </c>
      <c r="F153" s="239">
        <v>450</v>
      </c>
      <c r="G153" s="90">
        <f t="shared" si="180"/>
        <v>505</v>
      </c>
      <c r="H153" s="70">
        <f t="shared" si="181"/>
        <v>2.525</v>
      </c>
      <c r="I153" s="145"/>
      <c r="J153" s="36"/>
      <c r="K153" s="145"/>
      <c r="L153" s="379"/>
      <c r="M153" s="92"/>
      <c r="N153" s="380"/>
      <c r="O153" s="88"/>
      <c r="P153" s="88"/>
      <c r="Q153" s="88"/>
      <c r="R153" s="88"/>
      <c r="S153" s="88"/>
      <c r="T153" s="88"/>
      <c r="U153" s="88"/>
      <c r="V153" s="88"/>
      <c r="W153" s="88"/>
      <c r="X153" s="88"/>
      <c r="Y153" s="88"/>
      <c r="Z153" s="88"/>
      <c r="AA153" s="88"/>
      <c r="AB153" s="88"/>
      <c r="AC153" s="88"/>
      <c r="AD153" s="88"/>
      <c r="AH153" s="60">
        <f t="shared" si="151"/>
        <v>2018</v>
      </c>
      <c r="AI153" s="60">
        <v>13</v>
      </c>
      <c r="AJ153" s="139">
        <f t="shared" si="152"/>
        <v>6375</v>
      </c>
      <c r="AK153" s="320">
        <v>0</v>
      </c>
      <c r="AL153" s="321">
        <v>0</v>
      </c>
      <c r="AM153" s="274">
        <f t="shared" si="156"/>
        <v>6375</v>
      </c>
      <c r="AN153" s="66">
        <f t="shared" si="157"/>
        <v>2789.0625</v>
      </c>
      <c r="AO153" s="66">
        <f aca="true" t="shared" si="184" ref="AO153:AT153">$AM$153*AO140</f>
        <v>1793.2875</v>
      </c>
      <c r="AP153" s="66">
        <f t="shared" si="184"/>
        <v>1593.75</v>
      </c>
      <c r="AQ153" s="66">
        <f t="shared" si="184"/>
        <v>198.89999999999998</v>
      </c>
      <c r="AR153" s="66">
        <f t="shared" si="184"/>
        <v>0</v>
      </c>
      <c r="AS153" s="66">
        <f t="shared" si="184"/>
        <v>0</v>
      </c>
      <c r="AT153" s="66">
        <f t="shared" si="184"/>
        <v>0</v>
      </c>
      <c r="AV153" s="277"/>
      <c r="AW153" s="261"/>
      <c r="AX153" s="261"/>
      <c r="AY153" s="261"/>
      <c r="AZ153" s="261"/>
      <c r="BA153" s="261"/>
      <c r="BB153" s="261"/>
      <c r="BC153" s="261"/>
      <c r="BD153" s="261"/>
      <c r="BE153" s="261"/>
      <c r="BF153" s="261"/>
      <c r="BG153" s="261"/>
      <c r="BH153" s="261">
        <f>AN153</f>
        <v>2789.0625</v>
      </c>
      <c r="BI153" s="261">
        <f>AO153</f>
        <v>1793.2875</v>
      </c>
      <c r="BJ153" s="261">
        <f>AP153</f>
        <v>1593.75</v>
      </c>
      <c r="BK153" s="279">
        <f t="shared" si="155"/>
        <v>6176.1</v>
      </c>
      <c r="BL153" s="36"/>
    </row>
    <row r="154" spans="2:64" ht="13.5" customHeight="1">
      <c r="B154" s="23"/>
      <c r="C154" s="221" t="s">
        <v>116</v>
      </c>
      <c r="D154" s="238">
        <v>0</v>
      </c>
      <c r="E154" s="213">
        <v>10</v>
      </c>
      <c r="F154" s="239">
        <v>0</v>
      </c>
      <c r="G154" s="90">
        <f t="shared" si="180"/>
        <v>0</v>
      </c>
      <c r="H154" s="70">
        <f t="shared" si="181"/>
        <v>0</v>
      </c>
      <c r="I154" s="145"/>
      <c r="J154" s="36"/>
      <c r="K154" s="145"/>
      <c r="L154" s="379"/>
      <c r="M154" s="92"/>
      <c r="N154" s="380"/>
      <c r="O154" s="88"/>
      <c r="P154" s="88"/>
      <c r="Q154" s="88"/>
      <c r="R154" s="88"/>
      <c r="S154" s="88"/>
      <c r="T154" s="88"/>
      <c r="U154" s="88"/>
      <c r="V154" s="88"/>
      <c r="W154" s="88"/>
      <c r="X154" s="88"/>
      <c r="Y154" s="88"/>
      <c r="Z154" s="88"/>
      <c r="AA154" s="88"/>
      <c r="AB154" s="88"/>
      <c r="AC154" s="88"/>
      <c r="AD154" s="88"/>
      <c r="AH154" s="60">
        <f t="shared" si="151"/>
        <v>2019</v>
      </c>
      <c r="AI154" s="60">
        <v>14</v>
      </c>
      <c r="AJ154" s="139">
        <f t="shared" si="152"/>
        <v>6600</v>
      </c>
      <c r="AK154" s="320">
        <v>0</v>
      </c>
      <c r="AL154" s="321">
        <v>0</v>
      </c>
      <c r="AM154" s="274">
        <f t="shared" si="156"/>
        <v>6600</v>
      </c>
      <c r="AN154" s="66">
        <f t="shared" si="157"/>
        <v>2887.5</v>
      </c>
      <c r="AO154" s="66">
        <f aca="true" t="shared" si="185" ref="AO154:AT154">$AM$154*AO140</f>
        <v>1856.58</v>
      </c>
      <c r="AP154" s="66">
        <f t="shared" si="185"/>
        <v>1650</v>
      </c>
      <c r="AQ154" s="66">
        <f t="shared" si="185"/>
        <v>205.92</v>
      </c>
      <c r="AR154" s="66">
        <f t="shared" si="185"/>
        <v>0</v>
      </c>
      <c r="AS154" s="66">
        <f t="shared" si="185"/>
        <v>0</v>
      </c>
      <c r="AT154" s="66">
        <f t="shared" si="185"/>
        <v>0</v>
      </c>
      <c r="AV154" s="277"/>
      <c r="AW154" s="261"/>
      <c r="AX154" s="261"/>
      <c r="AY154" s="261"/>
      <c r="AZ154" s="261"/>
      <c r="BA154" s="261"/>
      <c r="BB154" s="261"/>
      <c r="BC154" s="261"/>
      <c r="BD154" s="261"/>
      <c r="BE154" s="261"/>
      <c r="BF154" s="261"/>
      <c r="BG154" s="261"/>
      <c r="BH154" s="261"/>
      <c r="BI154" s="261">
        <f>AN154</f>
        <v>2887.5</v>
      </c>
      <c r="BJ154" s="261">
        <f>AO154</f>
        <v>1856.58</v>
      </c>
      <c r="BK154" s="279">
        <f t="shared" si="155"/>
        <v>4744.08</v>
      </c>
      <c r="BL154" s="36"/>
    </row>
    <row r="155" spans="2:65" ht="13.5" customHeight="1" thickBot="1">
      <c r="B155" s="23"/>
      <c r="C155" s="221" t="s">
        <v>105</v>
      </c>
      <c r="D155" s="238">
        <v>1500</v>
      </c>
      <c r="E155" s="213">
        <v>10</v>
      </c>
      <c r="F155" s="239">
        <v>300</v>
      </c>
      <c r="G155" s="90">
        <f t="shared" si="180"/>
        <v>120</v>
      </c>
      <c r="H155" s="70">
        <f t="shared" si="181"/>
        <v>0.6</v>
      </c>
      <c r="I155" s="145"/>
      <c r="J155" s="36"/>
      <c r="K155" s="145"/>
      <c r="L155" s="379"/>
      <c r="M155" s="92"/>
      <c r="N155" s="380"/>
      <c r="O155" s="88"/>
      <c r="P155" s="88"/>
      <c r="Q155" s="88"/>
      <c r="R155" s="88"/>
      <c r="S155" s="88"/>
      <c r="T155" s="88"/>
      <c r="U155" s="88"/>
      <c r="V155" s="88"/>
      <c r="W155" s="88"/>
      <c r="X155" s="88"/>
      <c r="Y155" s="88"/>
      <c r="Z155" s="88"/>
      <c r="AA155" s="88"/>
      <c r="AB155" s="88"/>
      <c r="AC155" s="88"/>
      <c r="AD155" s="88"/>
      <c r="AH155" s="60">
        <f t="shared" si="151"/>
        <v>2020</v>
      </c>
      <c r="AI155" s="60">
        <v>15</v>
      </c>
      <c r="AJ155" s="139">
        <f t="shared" si="152"/>
        <v>7125</v>
      </c>
      <c r="AK155" s="322">
        <v>0</v>
      </c>
      <c r="AL155" s="323">
        <v>0</v>
      </c>
      <c r="AM155" s="275">
        <f t="shared" si="156"/>
        <v>7125</v>
      </c>
      <c r="AN155" s="66">
        <f t="shared" si="157"/>
        <v>3117.1875</v>
      </c>
      <c r="AO155" s="66">
        <f aca="true" t="shared" si="186" ref="AO155:AT155">$AM$155*AO140</f>
        <v>2004.2625</v>
      </c>
      <c r="AP155" s="66">
        <f t="shared" si="186"/>
        <v>1781.25</v>
      </c>
      <c r="AQ155" s="66">
        <f t="shared" si="186"/>
        <v>222.29999999999998</v>
      </c>
      <c r="AR155" s="66">
        <f t="shared" si="186"/>
        <v>0</v>
      </c>
      <c r="AS155" s="66">
        <f t="shared" si="186"/>
        <v>0</v>
      </c>
      <c r="AT155" s="66">
        <f t="shared" si="186"/>
        <v>0</v>
      </c>
      <c r="AV155" s="281"/>
      <c r="AW155" s="282"/>
      <c r="AX155" s="282"/>
      <c r="AY155" s="282"/>
      <c r="AZ155" s="282"/>
      <c r="BA155" s="282"/>
      <c r="BB155" s="282"/>
      <c r="BC155" s="282"/>
      <c r="BD155" s="282"/>
      <c r="BE155" s="282"/>
      <c r="BF155" s="282"/>
      <c r="BG155" s="282"/>
      <c r="BH155" s="282"/>
      <c r="BI155" s="282"/>
      <c r="BJ155" s="283">
        <f>AN155</f>
        <v>3117.1875</v>
      </c>
      <c r="BK155" s="280">
        <f t="shared" si="155"/>
        <v>3117.1875</v>
      </c>
      <c r="BL155" s="36"/>
      <c r="BM155" s="36"/>
    </row>
    <row r="156" spans="2:65" ht="13.5" customHeight="1" thickTop="1">
      <c r="B156" s="23"/>
      <c r="C156" s="221"/>
      <c r="D156" s="238">
        <v>0</v>
      </c>
      <c r="E156" s="213">
        <v>0</v>
      </c>
      <c r="F156" s="239">
        <v>0</v>
      </c>
      <c r="G156" s="90">
        <f t="shared" si="180"/>
        <v>0</v>
      </c>
      <c r="H156" s="70">
        <f t="shared" si="181"/>
        <v>0</v>
      </c>
      <c r="I156" s="145"/>
      <c r="J156" s="36"/>
      <c r="K156" s="145"/>
      <c r="L156" s="379"/>
      <c r="M156" s="92"/>
      <c r="N156" s="380"/>
      <c r="O156" s="88"/>
      <c r="P156" s="88"/>
      <c r="Q156" s="88"/>
      <c r="R156" s="88"/>
      <c r="S156" s="88"/>
      <c r="T156" s="88"/>
      <c r="U156" s="88"/>
      <c r="V156" s="88"/>
      <c r="W156" s="88"/>
      <c r="X156" s="88"/>
      <c r="Y156" s="88"/>
      <c r="Z156" s="88"/>
      <c r="AA156" s="88"/>
      <c r="AB156" s="88"/>
      <c r="AC156" s="88"/>
      <c r="AD156" s="88"/>
      <c r="AM156" s="60"/>
      <c r="AV156" s="130">
        <f aca="true" t="shared" si="187" ref="AV156:BJ156">SUM(AV141:AV155)</f>
        <v>3103.848196434521</v>
      </c>
      <c r="AW156" s="130">
        <f t="shared" si="187"/>
        <v>4877.029948350549</v>
      </c>
      <c r="AX156" s="130">
        <f t="shared" si="187"/>
        <v>6371.46730256581</v>
      </c>
      <c r="AY156" s="130">
        <f t="shared" si="187"/>
        <v>6245.025762245918</v>
      </c>
      <c r="AZ156" s="130">
        <f t="shared" si="187"/>
        <v>5921.99912529157</v>
      </c>
      <c r="BA156" s="130">
        <f t="shared" si="187"/>
        <v>5612.023450516494</v>
      </c>
      <c r="BB156" s="130">
        <f t="shared" si="187"/>
        <v>5381.534030323226</v>
      </c>
      <c r="BC156" s="130">
        <f t="shared" si="187"/>
        <v>5287.435021659447</v>
      </c>
      <c r="BD156" s="130">
        <f t="shared" si="187"/>
        <v>5329.040778073975</v>
      </c>
      <c r="BE156" s="130">
        <f t="shared" si="187"/>
        <v>5471.116419526824</v>
      </c>
      <c r="BF156" s="130">
        <f t="shared" si="187"/>
        <v>5631.170255748084</v>
      </c>
      <c r="BG156" s="130">
        <f t="shared" si="187"/>
        <v>5826.132458347218</v>
      </c>
      <c r="BH156" s="130">
        <f t="shared" si="187"/>
        <v>6096.248954515162</v>
      </c>
      <c r="BI156" s="130">
        <f t="shared" si="187"/>
        <v>6360.9675</v>
      </c>
      <c r="BJ156" s="130">
        <f t="shared" si="187"/>
        <v>6754.7175</v>
      </c>
      <c r="BK156" s="36"/>
      <c r="BL156" s="36"/>
      <c r="BM156" s="36"/>
    </row>
    <row r="157" spans="2:65" ht="13.5" customHeight="1">
      <c r="B157" s="196"/>
      <c r="C157" s="221" t="s">
        <v>106</v>
      </c>
      <c r="D157" s="238">
        <v>2500</v>
      </c>
      <c r="E157" s="213">
        <v>5</v>
      </c>
      <c r="F157" s="239">
        <v>700</v>
      </c>
      <c r="G157" s="90">
        <f t="shared" si="180"/>
        <v>360</v>
      </c>
      <c r="H157" s="70">
        <f t="shared" si="181"/>
        <v>1.8</v>
      </c>
      <c r="I157" s="145"/>
      <c r="J157" s="36"/>
      <c r="K157" s="145"/>
      <c r="L157" s="379"/>
      <c r="M157" s="92"/>
      <c r="N157" s="380"/>
      <c r="O157" s="88"/>
      <c r="P157" s="88"/>
      <c r="Q157" s="88"/>
      <c r="R157" s="88"/>
      <c r="S157" s="88"/>
      <c r="T157" s="88"/>
      <c r="U157" s="88"/>
      <c r="V157" s="88"/>
      <c r="W157" s="88"/>
      <c r="X157" s="88"/>
      <c r="Y157" s="88"/>
      <c r="Z157" s="88"/>
      <c r="AA157" s="88"/>
      <c r="AB157" s="88"/>
      <c r="AC157" s="88"/>
      <c r="AD157" s="88"/>
      <c r="AT157" s="140" t="s">
        <v>18</v>
      </c>
      <c r="AU157" s="36"/>
      <c r="BK157" s="36"/>
      <c r="BL157" s="36"/>
      <c r="BM157" s="36"/>
    </row>
    <row r="158" spans="2:30" ht="13.5" customHeight="1">
      <c r="B158" s="23"/>
      <c r="C158" s="221" t="s">
        <v>107</v>
      </c>
      <c r="D158" s="238">
        <v>3500</v>
      </c>
      <c r="E158" s="213">
        <v>10</v>
      </c>
      <c r="F158" s="239">
        <v>700</v>
      </c>
      <c r="G158" s="90">
        <f t="shared" si="180"/>
        <v>280</v>
      </c>
      <c r="H158" s="70">
        <f t="shared" si="181"/>
        <v>1.4</v>
      </c>
      <c r="I158" s="145"/>
      <c r="J158" s="36"/>
      <c r="K158" s="145"/>
      <c r="L158" s="379"/>
      <c r="M158" s="92"/>
      <c r="N158" s="380"/>
      <c r="O158" s="88"/>
      <c r="P158" s="88"/>
      <c r="Q158" s="88"/>
      <c r="R158" s="88"/>
      <c r="S158" s="88"/>
      <c r="T158" s="88"/>
      <c r="U158" s="88"/>
      <c r="V158" s="88"/>
      <c r="W158" s="88"/>
      <c r="X158" s="88"/>
      <c r="Y158" s="88"/>
      <c r="Z158" s="88"/>
      <c r="AA158" s="88"/>
      <c r="AB158" s="88"/>
      <c r="AC158" s="88"/>
      <c r="AD158" s="88"/>
    </row>
    <row r="159" spans="2:30" ht="13.5" customHeight="1">
      <c r="B159" s="23"/>
      <c r="C159" s="221" t="s">
        <v>117</v>
      </c>
      <c r="D159" s="238">
        <v>5000</v>
      </c>
      <c r="E159" s="213">
        <v>5</v>
      </c>
      <c r="F159" s="239">
        <v>3600</v>
      </c>
      <c r="G159" s="90">
        <f t="shared" si="180"/>
        <v>280</v>
      </c>
      <c r="H159" s="70">
        <f t="shared" si="181"/>
        <v>1.4</v>
      </c>
      <c r="I159" s="145"/>
      <c r="J159" s="36"/>
      <c r="K159" s="145"/>
      <c r="L159" s="379"/>
      <c r="M159" s="92"/>
      <c r="N159" s="380"/>
      <c r="O159" s="88"/>
      <c r="P159" s="88"/>
      <c r="Q159" s="88"/>
      <c r="R159" s="88"/>
      <c r="S159" s="88"/>
      <c r="T159" s="88"/>
      <c r="U159" s="88"/>
      <c r="V159" s="88"/>
      <c r="W159" s="88"/>
      <c r="X159" s="88"/>
      <c r="Y159" s="88"/>
      <c r="Z159" s="88"/>
      <c r="AA159" s="88"/>
      <c r="AB159" s="88"/>
      <c r="AC159" s="88"/>
      <c r="AD159" s="88"/>
    </row>
    <row r="160" spans="2:30" ht="13.5" customHeight="1">
      <c r="B160" s="23"/>
      <c r="C160" s="221" t="s">
        <v>56</v>
      </c>
      <c r="D160" s="238">
        <v>0</v>
      </c>
      <c r="E160" s="213">
        <v>0</v>
      </c>
      <c r="F160" s="239">
        <v>0</v>
      </c>
      <c r="G160" s="90">
        <f t="shared" si="180"/>
        <v>0</v>
      </c>
      <c r="H160" s="70">
        <f t="shared" si="181"/>
        <v>0</v>
      </c>
      <c r="I160" s="145"/>
      <c r="J160" s="36"/>
      <c r="K160" s="145"/>
      <c r="L160" s="379"/>
      <c r="M160" s="92"/>
      <c r="N160" s="380"/>
      <c r="O160" s="88"/>
      <c r="P160" s="88"/>
      <c r="Q160" s="88"/>
      <c r="R160" s="88"/>
      <c r="S160" s="88"/>
      <c r="T160" s="88"/>
      <c r="U160" s="88"/>
      <c r="V160" s="88"/>
      <c r="W160" s="88"/>
      <c r="X160" s="88"/>
      <c r="Y160" s="88"/>
      <c r="Z160" s="88"/>
      <c r="AA160" s="88"/>
      <c r="AB160" s="88"/>
      <c r="AC160" s="88"/>
      <c r="AD160" s="88"/>
    </row>
    <row r="161" spans="2:30" ht="13.5" customHeight="1">
      <c r="B161" s="23"/>
      <c r="C161" s="221" t="s">
        <v>56</v>
      </c>
      <c r="D161" s="238">
        <v>0</v>
      </c>
      <c r="E161" s="213">
        <v>0</v>
      </c>
      <c r="F161" s="239">
        <v>0</v>
      </c>
      <c r="G161" s="90">
        <f t="shared" si="180"/>
        <v>0</v>
      </c>
      <c r="H161" s="70">
        <f t="shared" si="181"/>
        <v>0</v>
      </c>
      <c r="I161" s="145"/>
      <c r="J161" s="36"/>
      <c r="K161" s="145"/>
      <c r="L161" s="379"/>
      <c r="M161" s="92"/>
      <c r="N161" s="380"/>
      <c r="O161" s="88"/>
      <c r="P161" s="88"/>
      <c r="Q161" s="88"/>
      <c r="R161" s="88"/>
      <c r="S161" s="88"/>
      <c r="T161" s="88"/>
      <c r="U161" s="88"/>
      <c r="V161" s="88"/>
      <c r="W161" s="88"/>
      <c r="X161" s="88"/>
      <c r="Y161" s="88"/>
      <c r="Z161" s="88"/>
      <c r="AA161" s="88"/>
      <c r="AB161" s="88"/>
      <c r="AC161" s="88"/>
      <c r="AD161" s="88"/>
    </row>
    <row r="162" spans="2:30" ht="13.5" customHeight="1" thickBot="1">
      <c r="B162" s="3"/>
      <c r="C162" s="223" t="s">
        <v>56</v>
      </c>
      <c r="D162" s="240">
        <v>0</v>
      </c>
      <c r="E162" s="218">
        <v>0</v>
      </c>
      <c r="F162" s="241">
        <v>0</v>
      </c>
      <c r="G162" s="77">
        <f t="shared" si="180"/>
        <v>0</v>
      </c>
      <c r="H162" s="75">
        <f t="shared" si="181"/>
        <v>0</v>
      </c>
      <c r="I162" s="145"/>
      <c r="J162" s="36"/>
      <c r="K162" s="145"/>
      <c r="L162" s="379"/>
      <c r="M162" s="92"/>
      <c r="N162" s="380"/>
      <c r="O162" s="88"/>
      <c r="P162" s="88"/>
      <c r="Q162" s="88"/>
      <c r="R162" s="88"/>
      <c r="S162" s="88"/>
      <c r="T162" s="88"/>
      <c r="U162" s="88"/>
      <c r="V162" s="88"/>
      <c r="W162" s="88"/>
      <c r="X162" s="88"/>
      <c r="Y162" s="88"/>
      <c r="Z162" s="88"/>
      <c r="AA162" s="88"/>
      <c r="AB162" s="88"/>
      <c r="AC162" s="88"/>
      <c r="AD162" s="88"/>
    </row>
    <row r="163" spans="3:30" ht="13.5" customHeight="1" thickTop="1">
      <c r="C163" s="2" t="s">
        <v>179</v>
      </c>
      <c r="D163" s="76">
        <f>SUM(D151:D162)</f>
        <v>38000</v>
      </c>
      <c r="E163" s="61"/>
      <c r="F163" s="76">
        <f>SUM(F151:F162)</f>
        <v>7750</v>
      </c>
      <c r="G163" s="76">
        <f>SUM(G151:G162)</f>
        <v>3705</v>
      </c>
      <c r="H163" s="28">
        <f>SUM(H151:H162)</f>
        <v>18.525</v>
      </c>
      <c r="I163" s="145"/>
      <c r="J163" s="36"/>
      <c r="K163" s="145"/>
      <c r="L163" s="379" t="s">
        <v>277</v>
      </c>
      <c r="M163" s="92"/>
      <c r="N163" s="380"/>
      <c r="O163" s="88">
        <f>$H$163*$O$25</f>
        <v>3704.9999999999995</v>
      </c>
      <c r="P163" s="88">
        <f aca="true" t="shared" si="188" ref="P163:AD163">$H$163*$O$25*P45</f>
        <v>3704.9999999999995</v>
      </c>
      <c r="Q163" s="88">
        <f t="shared" si="188"/>
        <v>3704.9999999999995</v>
      </c>
      <c r="R163" s="88">
        <f t="shared" si="188"/>
        <v>3704.9999999999995</v>
      </c>
      <c r="S163" s="88">
        <f t="shared" si="188"/>
        <v>3704.9999999999995</v>
      </c>
      <c r="T163" s="88">
        <f t="shared" si="188"/>
        <v>3704.9999999999995</v>
      </c>
      <c r="U163" s="88">
        <f t="shared" si="188"/>
        <v>3704.9999999999995</v>
      </c>
      <c r="V163" s="88">
        <f t="shared" si="188"/>
        <v>3704.9999999999995</v>
      </c>
      <c r="W163" s="88">
        <f t="shared" si="188"/>
        <v>3704.9999999999995</v>
      </c>
      <c r="X163" s="88">
        <f t="shared" si="188"/>
        <v>3704.9999999999995</v>
      </c>
      <c r="Y163" s="88">
        <f t="shared" si="188"/>
        <v>3704.9999999999995</v>
      </c>
      <c r="Z163" s="88">
        <f t="shared" si="188"/>
        <v>3704.9999999999995</v>
      </c>
      <c r="AA163" s="88">
        <f t="shared" si="188"/>
        <v>3704.9999999999995</v>
      </c>
      <c r="AB163" s="88">
        <f t="shared" si="188"/>
        <v>3704.9999999999995</v>
      </c>
      <c r="AC163" s="88">
        <f t="shared" si="188"/>
        <v>3704.9999999999995</v>
      </c>
      <c r="AD163" s="88">
        <f t="shared" si="188"/>
        <v>3704.9999999999995</v>
      </c>
    </row>
    <row r="164" spans="2:30" ht="13.5" customHeight="1">
      <c r="B164" s="3"/>
      <c r="C164" s="3"/>
      <c r="D164" s="3"/>
      <c r="E164" s="3"/>
      <c r="G164" s="12"/>
      <c r="H164" s="7"/>
      <c r="I164" s="145"/>
      <c r="J164" s="36"/>
      <c r="K164" s="145"/>
      <c r="L164" s="379"/>
      <c r="M164" s="92"/>
      <c r="N164" s="380"/>
      <c r="O164" s="88"/>
      <c r="P164" s="88"/>
      <c r="Q164" s="88"/>
      <c r="R164" s="88"/>
      <c r="S164" s="88"/>
      <c r="T164" s="88"/>
      <c r="U164" s="88"/>
      <c r="V164" s="88"/>
      <c r="W164" s="88"/>
      <c r="X164" s="88"/>
      <c r="Y164" s="88"/>
      <c r="Z164" s="88"/>
      <c r="AA164" s="88"/>
      <c r="AB164" s="88"/>
      <c r="AC164" s="88"/>
      <c r="AD164" s="88"/>
    </row>
    <row r="165" spans="2:30" ht="13.5" customHeight="1">
      <c r="B165" s="3"/>
      <c r="C165" s="2" t="s">
        <v>73</v>
      </c>
      <c r="D165" s="3"/>
      <c r="E165" s="3"/>
      <c r="G165" s="90">
        <f>((SUM(D151:D162)+SUM(F151:F162))/2)*$G$73</f>
        <v>915</v>
      </c>
      <c r="H165" s="70">
        <f>G165/$G$22</f>
        <v>4.575</v>
      </c>
      <c r="I165" s="145"/>
      <c r="J165" s="36"/>
      <c r="K165" s="145"/>
      <c r="L165" s="379"/>
      <c r="M165" s="92"/>
      <c r="N165" s="380"/>
      <c r="O165" s="88"/>
      <c r="P165" s="88"/>
      <c r="Q165" s="88"/>
      <c r="R165" s="88"/>
      <c r="S165" s="88"/>
      <c r="T165" s="88"/>
      <c r="U165" s="88"/>
      <c r="V165" s="88"/>
      <c r="W165" s="88"/>
      <c r="X165" s="88"/>
      <c r="Y165" s="88"/>
      <c r="Z165" s="88"/>
      <c r="AA165" s="88"/>
      <c r="AB165" s="88"/>
      <c r="AC165" s="88"/>
      <c r="AD165" s="88"/>
    </row>
    <row r="166" spans="2:30" ht="13.5" customHeight="1">
      <c r="B166" s="3"/>
      <c r="C166" s="2" t="s">
        <v>74</v>
      </c>
      <c r="D166" s="3"/>
      <c r="E166" s="3"/>
      <c r="G166" s="231">
        <v>0</v>
      </c>
      <c r="H166" s="70">
        <f>G166/$G$22</f>
        <v>0</v>
      </c>
      <c r="I166" s="145"/>
      <c r="J166" s="36"/>
      <c r="K166" s="145"/>
      <c r="L166" s="379"/>
      <c r="M166" s="92"/>
      <c r="N166" s="380"/>
      <c r="O166" s="88"/>
      <c r="P166" s="88"/>
      <c r="Q166" s="88"/>
      <c r="R166" s="88"/>
      <c r="S166" s="88"/>
      <c r="T166" s="88"/>
      <c r="U166" s="88"/>
      <c r="V166" s="88"/>
      <c r="W166" s="88"/>
      <c r="X166" s="88"/>
      <c r="Y166" s="88"/>
      <c r="Z166" s="88"/>
      <c r="AA166" s="88"/>
      <c r="AB166" s="88"/>
      <c r="AC166" s="88"/>
      <c r="AD166" s="88"/>
    </row>
    <row r="167" spans="2:30" ht="13.5" customHeight="1" thickBot="1">
      <c r="B167" s="3"/>
      <c r="C167" s="2" t="s">
        <v>418</v>
      </c>
      <c r="D167" s="3"/>
      <c r="E167" s="3"/>
      <c r="G167" s="232">
        <v>500</v>
      </c>
      <c r="H167" s="75">
        <f>G167/$G$22</f>
        <v>2.5</v>
      </c>
      <c r="I167" s="145"/>
      <c r="J167" s="36"/>
      <c r="K167" s="145"/>
      <c r="L167" s="379"/>
      <c r="M167" s="92"/>
      <c r="N167" s="380"/>
      <c r="O167" s="88"/>
      <c r="P167" s="88"/>
      <c r="Q167" s="88"/>
      <c r="R167" s="88"/>
      <c r="S167" s="88"/>
      <c r="T167" s="88"/>
      <c r="U167" s="88"/>
      <c r="V167" s="88"/>
      <c r="W167" s="88"/>
      <c r="X167" s="88"/>
      <c r="Y167" s="88"/>
      <c r="Z167" s="88"/>
      <c r="AA167" s="88"/>
      <c r="AB167" s="88"/>
      <c r="AC167" s="88"/>
      <c r="AD167" s="88"/>
    </row>
    <row r="168" spans="3:30" ht="13.5" customHeight="1" thickTop="1">
      <c r="C168" s="3" t="s">
        <v>178</v>
      </c>
      <c r="D168" s="3"/>
      <c r="E168" s="3"/>
      <c r="G168" s="20">
        <f>SUM(G165:G167)</f>
        <v>1415</v>
      </c>
      <c r="H168" s="28">
        <f>SUM(H165:H167)</f>
        <v>7.075</v>
      </c>
      <c r="I168" s="145"/>
      <c r="J168" s="36"/>
      <c r="K168" s="145"/>
      <c r="L168" s="555" t="s">
        <v>274</v>
      </c>
      <c r="M168" s="556"/>
      <c r="N168" s="557"/>
      <c r="O168" s="88">
        <f>$H$168*$O$25</f>
        <v>1415</v>
      </c>
      <c r="P168" s="88">
        <f aca="true" t="shared" si="189" ref="P168:AD168">$H$168*$O$25*P45</f>
        <v>1415</v>
      </c>
      <c r="Q168" s="88">
        <f t="shared" si="189"/>
        <v>1415</v>
      </c>
      <c r="R168" s="88">
        <f t="shared" si="189"/>
        <v>1415</v>
      </c>
      <c r="S168" s="88">
        <f t="shared" si="189"/>
        <v>1415</v>
      </c>
      <c r="T168" s="88">
        <f t="shared" si="189"/>
        <v>1415</v>
      </c>
      <c r="U168" s="88">
        <f t="shared" si="189"/>
        <v>1415</v>
      </c>
      <c r="V168" s="88">
        <f t="shared" si="189"/>
        <v>1415</v>
      </c>
      <c r="W168" s="88">
        <f t="shared" si="189"/>
        <v>1415</v>
      </c>
      <c r="X168" s="88">
        <f t="shared" si="189"/>
        <v>1415</v>
      </c>
      <c r="Y168" s="88">
        <f t="shared" si="189"/>
        <v>1415</v>
      </c>
      <c r="Z168" s="88">
        <f t="shared" si="189"/>
        <v>1415</v>
      </c>
      <c r="AA168" s="88">
        <f t="shared" si="189"/>
        <v>1415</v>
      </c>
      <c r="AB168" s="88">
        <f t="shared" si="189"/>
        <v>1415</v>
      </c>
      <c r="AC168" s="88">
        <f t="shared" si="189"/>
        <v>1415</v>
      </c>
      <c r="AD168" s="88">
        <f t="shared" si="189"/>
        <v>1415</v>
      </c>
    </row>
    <row r="169" spans="3:30" ht="13.5" customHeight="1">
      <c r="C169" s="44" t="s">
        <v>93</v>
      </c>
      <c r="D169" s="3"/>
      <c r="E169" s="3"/>
      <c r="G169" s="5"/>
      <c r="H169" s="7"/>
      <c r="I169" s="145"/>
      <c r="J169" s="36"/>
      <c r="K169" s="145"/>
      <c r="L169" s="192" t="s">
        <v>195</v>
      </c>
      <c r="M169" s="40"/>
      <c r="N169" s="40"/>
      <c r="O169" s="117" t="str">
        <f>$O$20</f>
        <v>Base Year = Yr 0</v>
      </c>
      <c r="P169" s="88"/>
      <c r="Q169" s="88"/>
      <c r="R169" s="88"/>
      <c r="S169" s="88"/>
      <c r="T169" s="88"/>
      <c r="U169" s="88"/>
      <c r="V169" s="88"/>
      <c r="W169" s="88"/>
      <c r="X169" s="88"/>
      <c r="Y169" s="88"/>
      <c r="Z169" s="88"/>
      <c r="AA169" s="88"/>
      <c r="AB169" s="88"/>
      <c r="AC169" s="88"/>
      <c r="AD169" s="88"/>
    </row>
    <row r="170" spans="2:30" ht="13.5" customHeight="1">
      <c r="B170" s="3"/>
      <c r="C170" s="3"/>
      <c r="D170" s="4" t="s">
        <v>66</v>
      </c>
      <c r="E170" s="4" t="s">
        <v>67</v>
      </c>
      <c r="F170" s="4" t="s">
        <v>68</v>
      </c>
      <c r="G170" s="4" t="s">
        <v>69</v>
      </c>
      <c r="H170" s="4" t="s">
        <v>50</v>
      </c>
      <c r="I170" s="145"/>
      <c r="J170" s="36"/>
      <c r="K170" s="145"/>
      <c r="L170" s="376"/>
      <c r="M170" s="377"/>
      <c r="N170" s="378"/>
      <c r="O170" s="88"/>
      <c r="P170" s="88"/>
      <c r="Q170" s="88"/>
      <c r="R170" s="88"/>
      <c r="S170" s="88"/>
      <c r="T170" s="88"/>
      <c r="U170" s="88"/>
      <c r="V170" s="88"/>
      <c r="W170" s="88"/>
      <c r="X170" s="88"/>
      <c r="Y170" s="88"/>
      <c r="Z170" s="88"/>
      <c r="AA170" s="88"/>
      <c r="AB170" s="88"/>
      <c r="AC170" s="88"/>
      <c r="AD170" s="88"/>
    </row>
    <row r="171" spans="2:30" ht="13.5" customHeight="1">
      <c r="B171" s="9"/>
      <c r="C171" s="2" t="s">
        <v>398</v>
      </c>
      <c r="D171" s="4" t="s">
        <v>71</v>
      </c>
      <c r="E171" s="4" t="s">
        <v>72</v>
      </c>
      <c r="F171" s="4" t="s">
        <v>50</v>
      </c>
      <c r="G171" s="20" t="s">
        <v>70</v>
      </c>
      <c r="H171" s="4" t="s">
        <v>41</v>
      </c>
      <c r="I171" s="145"/>
      <c r="J171" s="36"/>
      <c r="K171" s="145"/>
      <c r="L171" s="379"/>
      <c r="M171" s="92"/>
      <c r="N171" s="380"/>
      <c r="O171" s="88"/>
      <c r="P171" s="88"/>
      <c r="Q171" s="88"/>
      <c r="R171" s="88"/>
      <c r="S171" s="88"/>
      <c r="T171" s="88"/>
      <c r="U171" s="88"/>
      <c r="V171" s="88"/>
      <c r="W171" s="88"/>
      <c r="X171" s="88"/>
      <c r="Y171" s="88"/>
      <c r="Z171" s="88"/>
      <c r="AA171" s="88"/>
      <c r="AB171" s="88"/>
      <c r="AC171" s="88"/>
      <c r="AD171" s="88"/>
    </row>
    <row r="172" spans="3:30" ht="13.5" customHeight="1">
      <c r="C172" s="219" t="s">
        <v>108</v>
      </c>
      <c r="D172" s="236">
        <v>5000</v>
      </c>
      <c r="E172" s="217">
        <v>20</v>
      </c>
      <c r="F172" s="237">
        <v>0</v>
      </c>
      <c r="G172" s="90">
        <f aca="true" t="shared" si="190" ref="G172:G179">(D172-F172)/IF(E172=0,1,E172)</f>
        <v>250</v>
      </c>
      <c r="H172" s="70">
        <f aca="true" t="shared" si="191" ref="H172:H179">G172/$G$22</f>
        <v>1.25</v>
      </c>
      <c r="I172" s="145"/>
      <c r="J172" s="36"/>
      <c r="K172" s="145"/>
      <c r="L172" s="379"/>
      <c r="M172" s="92"/>
      <c r="N172" s="380"/>
      <c r="O172" s="88"/>
      <c r="P172" s="88"/>
      <c r="Q172" s="88"/>
      <c r="R172" s="88"/>
      <c r="S172" s="88"/>
      <c r="T172" s="88"/>
      <c r="U172" s="88"/>
      <c r="V172" s="88"/>
      <c r="W172" s="88"/>
      <c r="X172" s="88"/>
      <c r="Y172" s="88"/>
      <c r="Z172" s="88"/>
      <c r="AA172" s="88"/>
      <c r="AB172" s="88"/>
      <c r="AC172" s="88"/>
      <c r="AD172" s="88"/>
    </row>
    <row r="173" spans="2:30" ht="13.5" customHeight="1">
      <c r="B173" s="3"/>
      <c r="C173" s="221" t="s">
        <v>109</v>
      </c>
      <c r="D173" s="238">
        <v>3000</v>
      </c>
      <c r="E173" s="213">
        <v>20</v>
      </c>
      <c r="F173" s="239">
        <v>1000</v>
      </c>
      <c r="G173" s="90">
        <f t="shared" si="190"/>
        <v>100</v>
      </c>
      <c r="H173" s="70">
        <f t="shared" si="191"/>
        <v>0.5</v>
      </c>
      <c r="I173" s="145"/>
      <c r="J173" s="36"/>
      <c r="K173" s="145"/>
      <c r="L173" s="379"/>
      <c r="M173" s="92"/>
      <c r="N173" s="380"/>
      <c r="O173" s="88"/>
      <c r="P173" s="88"/>
      <c r="Q173" s="88"/>
      <c r="R173" s="88"/>
      <c r="S173" s="88"/>
      <c r="T173" s="88"/>
      <c r="U173" s="88"/>
      <c r="V173" s="88"/>
      <c r="W173" s="88"/>
      <c r="X173" s="88"/>
      <c r="Y173" s="88"/>
      <c r="Z173" s="88"/>
      <c r="AA173" s="88"/>
      <c r="AB173" s="88"/>
      <c r="AC173" s="88"/>
      <c r="AD173" s="88"/>
    </row>
    <row r="174" spans="2:30" ht="13.5" customHeight="1">
      <c r="B174" s="69" t="s">
        <v>87</v>
      </c>
      <c r="C174" s="221" t="s">
        <v>110</v>
      </c>
      <c r="D174" s="238">
        <v>5000</v>
      </c>
      <c r="E174" s="213">
        <v>15</v>
      </c>
      <c r="F174" s="239">
        <v>1000</v>
      </c>
      <c r="G174" s="90">
        <f t="shared" si="190"/>
        <v>266.6666666666667</v>
      </c>
      <c r="H174" s="70">
        <f t="shared" si="191"/>
        <v>1.3333333333333335</v>
      </c>
      <c r="I174" s="145"/>
      <c r="J174" s="36"/>
      <c r="K174" s="145"/>
      <c r="L174" s="379"/>
      <c r="M174" s="92"/>
      <c r="N174" s="380"/>
      <c r="O174" s="88"/>
      <c r="P174" s="88"/>
      <c r="Q174" s="88"/>
      <c r="R174" s="88"/>
      <c r="S174" s="88"/>
      <c r="T174" s="88"/>
      <c r="U174" s="88"/>
      <c r="V174" s="88"/>
      <c r="W174" s="88"/>
      <c r="X174" s="88"/>
      <c r="Y174" s="88"/>
      <c r="Z174" s="88"/>
      <c r="AA174" s="88"/>
      <c r="AB174" s="88"/>
      <c r="AC174" s="88"/>
      <c r="AD174" s="88"/>
    </row>
    <row r="175" spans="2:30" ht="13.5" customHeight="1">
      <c r="B175" s="3"/>
      <c r="C175" s="221" t="s">
        <v>111</v>
      </c>
      <c r="D175" s="238">
        <v>500</v>
      </c>
      <c r="E175" s="213">
        <v>25</v>
      </c>
      <c r="F175" s="239">
        <v>0</v>
      </c>
      <c r="G175" s="90">
        <f t="shared" si="190"/>
        <v>20</v>
      </c>
      <c r="H175" s="70">
        <f t="shared" si="191"/>
        <v>0.1</v>
      </c>
      <c r="I175" s="145"/>
      <c r="J175" s="36"/>
      <c r="K175" s="145"/>
      <c r="L175" s="379"/>
      <c r="M175" s="92"/>
      <c r="N175" s="380"/>
      <c r="O175" s="88"/>
      <c r="P175" s="88"/>
      <c r="Q175" s="88"/>
      <c r="R175" s="88"/>
      <c r="S175" s="88"/>
      <c r="T175" s="88"/>
      <c r="U175" s="88"/>
      <c r="V175" s="88"/>
      <c r="W175" s="88"/>
      <c r="X175" s="88"/>
      <c r="Y175" s="88"/>
      <c r="Z175" s="88"/>
      <c r="AA175" s="88"/>
      <c r="AB175" s="88"/>
      <c r="AC175" s="88"/>
      <c r="AD175" s="88"/>
    </row>
    <row r="176" spans="2:30" ht="13.5" customHeight="1">
      <c r="B176" s="3"/>
      <c r="C176" s="221" t="s">
        <v>118</v>
      </c>
      <c r="D176" s="238">
        <f>2000</f>
        <v>2000</v>
      </c>
      <c r="E176" s="213">
        <v>20</v>
      </c>
      <c r="F176" s="239">
        <v>0</v>
      </c>
      <c r="G176" s="90">
        <f t="shared" si="190"/>
        <v>100</v>
      </c>
      <c r="H176" s="70">
        <f t="shared" si="191"/>
        <v>0.5</v>
      </c>
      <c r="I176" s="145"/>
      <c r="J176" s="36"/>
      <c r="K176" s="145"/>
      <c r="L176" s="379"/>
      <c r="M176" s="92"/>
      <c r="N176" s="380"/>
      <c r="O176" s="88"/>
      <c r="P176" s="88"/>
      <c r="Q176" s="88"/>
      <c r="R176" s="88"/>
      <c r="S176" s="88"/>
      <c r="T176" s="88"/>
      <c r="U176" s="88"/>
      <c r="V176" s="88"/>
      <c r="W176" s="88"/>
      <c r="X176" s="88"/>
      <c r="Y176" s="88"/>
      <c r="Z176" s="88"/>
      <c r="AA176" s="88"/>
      <c r="AB176" s="88"/>
      <c r="AC176" s="88"/>
      <c r="AD176" s="88"/>
    </row>
    <row r="177" spans="2:30" ht="13.5" customHeight="1">
      <c r="B177" s="3"/>
      <c r="C177" s="221" t="s">
        <v>112</v>
      </c>
      <c r="D177" s="238">
        <v>1500</v>
      </c>
      <c r="E177" s="213">
        <v>25</v>
      </c>
      <c r="F177" s="239">
        <v>0</v>
      </c>
      <c r="G177" s="90">
        <f t="shared" si="190"/>
        <v>60</v>
      </c>
      <c r="H177" s="70">
        <f t="shared" si="191"/>
        <v>0.3</v>
      </c>
      <c r="I177" s="145"/>
      <c r="J177" s="36"/>
      <c r="K177" s="145"/>
      <c r="L177" s="379"/>
      <c r="M177" s="92"/>
      <c r="N177" s="380"/>
      <c r="O177" s="88"/>
      <c r="P177" s="88"/>
      <c r="Q177" s="88"/>
      <c r="R177" s="88"/>
      <c r="S177" s="88"/>
      <c r="T177" s="88"/>
      <c r="U177" s="88"/>
      <c r="V177" s="88"/>
      <c r="W177" s="88"/>
      <c r="X177" s="88"/>
      <c r="Y177" s="88"/>
      <c r="Z177" s="88"/>
      <c r="AA177" s="88"/>
      <c r="AB177" s="88"/>
      <c r="AC177" s="88"/>
      <c r="AD177" s="88"/>
    </row>
    <row r="178" spans="2:30" ht="13.5" customHeight="1">
      <c r="B178" s="3"/>
      <c r="C178" s="221" t="s">
        <v>56</v>
      </c>
      <c r="D178" s="238">
        <v>0</v>
      </c>
      <c r="E178" s="213">
        <v>0</v>
      </c>
      <c r="F178" s="239">
        <v>0</v>
      </c>
      <c r="G178" s="90">
        <f t="shared" si="190"/>
        <v>0</v>
      </c>
      <c r="H178" s="70">
        <f t="shared" si="191"/>
        <v>0</v>
      </c>
      <c r="I178" s="145"/>
      <c r="J178" s="36"/>
      <c r="K178" s="145"/>
      <c r="L178" s="379"/>
      <c r="M178" s="92"/>
      <c r="N178" s="380"/>
      <c r="O178" s="88"/>
      <c r="P178" s="88"/>
      <c r="Q178" s="88"/>
      <c r="R178" s="88"/>
      <c r="S178" s="88"/>
      <c r="T178" s="88"/>
      <c r="U178" s="88"/>
      <c r="V178" s="88"/>
      <c r="W178" s="88"/>
      <c r="X178" s="88"/>
      <c r="Y178" s="88"/>
      <c r="Z178" s="88"/>
      <c r="AA178" s="88"/>
      <c r="AB178" s="88"/>
      <c r="AC178" s="88"/>
      <c r="AD178" s="88"/>
    </row>
    <row r="179" spans="2:30" ht="13.5" customHeight="1" thickBot="1">
      <c r="B179" s="3"/>
      <c r="C179" s="223" t="s">
        <v>56</v>
      </c>
      <c r="D179" s="240">
        <v>0</v>
      </c>
      <c r="E179" s="218">
        <v>0</v>
      </c>
      <c r="F179" s="241">
        <v>0</v>
      </c>
      <c r="G179" s="77">
        <f t="shared" si="190"/>
        <v>0</v>
      </c>
      <c r="H179" s="75">
        <f t="shared" si="191"/>
        <v>0</v>
      </c>
      <c r="I179" s="145"/>
      <c r="J179" s="36"/>
      <c r="K179" s="145"/>
      <c r="L179" s="379"/>
      <c r="M179" s="92"/>
      <c r="N179" s="380"/>
      <c r="O179" s="88"/>
      <c r="P179" s="88"/>
      <c r="Q179" s="88"/>
      <c r="R179" s="88"/>
      <c r="S179" s="88"/>
      <c r="T179" s="88"/>
      <c r="U179" s="88"/>
      <c r="V179" s="88"/>
      <c r="W179" s="88"/>
      <c r="X179" s="88"/>
      <c r="Y179" s="88"/>
      <c r="Z179" s="88"/>
      <c r="AA179" s="88"/>
      <c r="AB179" s="88"/>
      <c r="AC179" s="88"/>
      <c r="AD179" s="88"/>
    </row>
    <row r="180" spans="3:30" ht="13.5" customHeight="1" thickTop="1">
      <c r="C180" s="2" t="s">
        <v>417</v>
      </c>
      <c r="D180" s="76">
        <f>SUM(D172:D179)</f>
        <v>17000</v>
      </c>
      <c r="E180" s="61"/>
      <c r="F180" s="76">
        <f>SUM(F172:F179)</f>
        <v>2000</v>
      </c>
      <c r="G180" s="20">
        <f>SUM(G172:G179)</f>
        <v>796.6666666666667</v>
      </c>
      <c r="H180" s="28">
        <f>SUM(H172:H179)</f>
        <v>3.9833333333333334</v>
      </c>
      <c r="I180" s="145"/>
      <c r="J180" s="36"/>
      <c r="K180" s="145"/>
      <c r="L180" s="379" t="s">
        <v>275</v>
      </c>
      <c r="M180" s="92"/>
      <c r="N180" s="380"/>
      <c r="O180" s="88">
        <f>$H$180*$O$25</f>
        <v>796.6666666666666</v>
      </c>
      <c r="P180" s="88">
        <f aca="true" t="shared" si="192" ref="P180:AD180">$H$180*$O$25*P45</f>
        <v>796.6666666666666</v>
      </c>
      <c r="Q180" s="88">
        <f t="shared" si="192"/>
        <v>796.6666666666666</v>
      </c>
      <c r="R180" s="88">
        <f t="shared" si="192"/>
        <v>796.6666666666666</v>
      </c>
      <c r="S180" s="88">
        <f t="shared" si="192"/>
        <v>796.6666666666666</v>
      </c>
      <c r="T180" s="88">
        <f t="shared" si="192"/>
        <v>796.6666666666666</v>
      </c>
      <c r="U180" s="88">
        <f t="shared" si="192"/>
        <v>796.6666666666666</v>
      </c>
      <c r="V180" s="88">
        <f t="shared" si="192"/>
        <v>796.6666666666666</v>
      </c>
      <c r="W180" s="88">
        <f t="shared" si="192"/>
        <v>796.6666666666666</v>
      </c>
      <c r="X180" s="88">
        <f t="shared" si="192"/>
        <v>796.6666666666666</v>
      </c>
      <c r="Y180" s="88">
        <f t="shared" si="192"/>
        <v>796.6666666666666</v>
      </c>
      <c r="Z180" s="88">
        <f t="shared" si="192"/>
        <v>796.6666666666666</v>
      </c>
      <c r="AA180" s="88">
        <f t="shared" si="192"/>
        <v>796.6666666666666</v>
      </c>
      <c r="AB180" s="88">
        <f t="shared" si="192"/>
        <v>796.6666666666666</v>
      </c>
      <c r="AC180" s="88">
        <f t="shared" si="192"/>
        <v>796.6666666666666</v>
      </c>
      <c r="AD180" s="88">
        <f t="shared" si="192"/>
        <v>796.6666666666666</v>
      </c>
    </row>
    <row r="181" spans="2:30" ht="13.5" customHeight="1">
      <c r="B181" s="3"/>
      <c r="C181" s="3"/>
      <c r="D181" s="3"/>
      <c r="E181" s="3"/>
      <c r="G181" s="12"/>
      <c r="H181" s="7"/>
      <c r="I181" s="145"/>
      <c r="J181" s="36"/>
      <c r="K181" s="145"/>
      <c r="L181" s="379"/>
      <c r="M181" s="92"/>
      <c r="N181" s="380"/>
      <c r="O181" s="88"/>
      <c r="P181" s="88"/>
      <c r="Q181" s="88"/>
      <c r="R181" s="88"/>
      <c r="S181" s="88"/>
      <c r="T181" s="88"/>
      <c r="U181" s="88"/>
      <c r="V181" s="88"/>
      <c r="W181" s="88"/>
      <c r="X181" s="88"/>
      <c r="Y181" s="88"/>
      <c r="Z181" s="88"/>
      <c r="AA181" s="88"/>
      <c r="AB181" s="88"/>
      <c r="AC181" s="88"/>
      <c r="AD181" s="88"/>
    </row>
    <row r="182" spans="2:30" ht="13.5" customHeight="1">
      <c r="B182" s="3"/>
      <c r="C182" s="2" t="s">
        <v>73</v>
      </c>
      <c r="D182" s="3"/>
      <c r="E182" s="3"/>
      <c r="G182" s="90">
        <f>((SUM(D172:D179)+SUM(F172:F179))/2)*$G$73</f>
        <v>380</v>
      </c>
      <c r="H182" s="70">
        <f>G182/$G$22</f>
        <v>1.9</v>
      </c>
      <c r="I182" s="145"/>
      <c r="J182" s="36"/>
      <c r="K182" s="145"/>
      <c r="L182" s="379"/>
      <c r="M182" s="92"/>
      <c r="N182" s="380"/>
      <c r="O182" s="88"/>
      <c r="P182" s="88"/>
      <c r="Q182" s="88"/>
      <c r="R182" s="88"/>
      <c r="S182" s="88"/>
      <c r="T182" s="88"/>
      <c r="U182" s="88"/>
      <c r="V182" s="88"/>
      <c r="W182" s="88"/>
      <c r="X182" s="88"/>
      <c r="Y182" s="88"/>
      <c r="Z182" s="88"/>
      <c r="AA182" s="88"/>
      <c r="AB182" s="88"/>
      <c r="AC182" s="88"/>
      <c r="AD182" s="88"/>
    </row>
    <row r="183" spans="2:30" ht="13.5" customHeight="1">
      <c r="B183" s="3"/>
      <c r="C183" s="2" t="s">
        <v>75</v>
      </c>
      <c r="D183" s="3"/>
      <c r="E183" s="3"/>
      <c r="G183" s="231">
        <v>1500</v>
      </c>
      <c r="H183" s="70">
        <f>G183/$G$22</f>
        <v>7.5</v>
      </c>
      <c r="I183" s="145"/>
      <c r="J183" s="36"/>
      <c r="K183" s="145"/>
      <c r="L183" s="379"/>
      <c r="M183" s="92"/>
      <c r="N183" s="380"/>
      <c r="O183" s="88"/>
      <c r="P183" s="88"/>
      <c r="Q183" s="88"/>
      <c r="R183" s="88"/>
      <c r="S183" s="88"/>
      <c r="T183" s="88"/>
      <c r="U183" s="88"/>
      <c r="V183" s="88"/>
      <c r="W183" s="88"/>
      <c r="X183" s="88"/>
      <c r="Y183" s="88"/>
      <c r="Z183" s="88"/>
      <c r="AA183" s="88"/>
      <c r="AB183" s="88"/>
      <c r="AC183" s="88"/>
      <c r="AD183" s="88"/>
    </row>
    <row r="184" spans="2:30" ht="13.5" customHeight="1" thickBot="1">
      <c r="B184" s="3"/>
      <c r="C184" s="565" t="s">
        <v>419</v>
      </c>
      <c r="D184" s="565"/>
      <c r="E184" s="3"/>
      <c r="G184" s="232">
        <v>800</v>
      </c>
      <c r="H184" s="75">
        <f>G184/$G$22</f>
        <v>4</v>
      </c>
      <c r="I184" s="145"/>
      <c r="J184" s="36"/>
      <c r="K184" s="145"/>
      <c r="L184" s="379"/>
      <c r="M184" s="92"/>
      <c r="N184" s="380"/>
      <c r="O184" s="88"/>
      <c r="P184" s="88"/>
      <c r="Q184" s="88"/>
      <c r="R184" s="88"/>
      <c r="S184" s="88"/>
      <c r="T184" s="88"/>
      <c r="U184" s="88"/>
      <c r="V184" s="88"/>
      <c r="W184" s="88"/>
      <c r="X184" s="88"/>
      <c r="Y184" s="88"/>
      <c r="Z184" s="88"/>
      <c r="AA184" s="88"/>
      <c r="AB184" s="88"/>
      <c r="AC184" s="88"/>
      <c r="AD184" s="88"/>
    </row>
    <row r="185" spans="3:30" ht="13.5" customHeight="1" thickTop="1">
      <c r="C185" s="3" t="s">
        <v>178</v>
      </c>
      <c r="D185" s="3"/>
      <c r="E185" s="3"/>
      <c r="G185" s="20">
        <f>SUM(G182:G184)</f>
        <v>2680</v>
      </c>
      <c r="H185" s="28">
        <f>SUM(H182:H184)</f>
        <v>13.4</v>
      </c>
      <c r="I185" s="145"/>
      <c r="J185" s="36"/>
      <c r="K185" s="145"/>
      <c r="L185" s="375" t="s">
        <v>274</v>
      </c>
      <c r="M185" s="382"/>
      <c r="N185" s="383"/>
      <c r="O185" s="88">
        <f>$H$185*$O$25</f>
        <v>2680</v>
      </c>
      <c r="P185" s="88">
        <f aca="true" t="shared" si="193" ref="P185:AD185">$H$185*$O$25*P45</f>
        <v>2680</v>
      </c>
      <c r="Q185" s="88">
        <f t="shared" si="193"/>
        <v>2680</v>
      </c>
      <c r="R185" s="88">
        <f t="shared" si="193"/>
        <v>2680</v>
      </c>
      <c r="S185" s="88">
        <f t="shared" si="193"/>
        <v>2680</v>
      </c>
      <c r="T185" s="88">
        <f t="shared" si="193"/>
        <v>2680</v>
      </c>
      <c r="U185" s="88">
        <f t="shared" si="193"/>
        <v>2680</v>
      </c>
      <c r="V185" s="88">
        <f t="shared" si="193"/>
        <v>2680</v>
      </c>
      <c r="W185" s="88">
        <f t="shared" si="193"/>
        <v>2680</v>
      </c>
      <c r="X185" s="88">
        <f t="shared" si="193"/>
        <v>2680</v>
      </c>
      <c r="Y185" s="88">
        <f t="shared" si="193"/>
        <v>2680</v>
      </c>
      <c r="Z185" s="88">
        <f t="shared" si="193"/>
        <v>2680</v>
      </c>
      <c r="AA185" s="88">
        <f t="shared" si="193"/>
        <v>2680</v>
      </c>
      <c r="AB185" s="88">
        <f t="shared" si="193"/>
        <v>2680</v>
      </c>
      <c r="AC185" s="88">
        <f t="shared" si="193"/>
        <v>2680</v>
      </c>
      <c r="AD185" s="88">
        <f t="shared" si="193"/>
        <v>2680</v>
      </c>
    </row>
    <row r="186" spans="2:30" ht="13.5" customHeight="1">
      <c r="B186" s="3"/>
      <c r="C186" s="3"/>
      <c r="D186" s="3"/>
      <c r="E186" s="3"/>
      <c r="G186" s="5"/>
      <c r="H186" s="28"/>
      <c r="I186" s="145"/>
      <c r="J186" s="36"/>
      <c r="K186" s="145"/>
      <c r="L186" s="40"/>
      <c r="M186" s="40"/>
      <c r="N186" s="40"/>
      <c r="O186" s="88"/>
      <c r="P186" s="88"/>
      <c r="Q186" s="88"/>
      <c r="R186" s="88"/>
      <c r="S186" s="88"/>
      <c r="T186" s="88"/>
      <c r="U186" s="88"/>
      <c r="V186" s="88"/>
      <c r="W186" s="88"/>
      <c r="X186" s="88"/>
      <c r="Y186" s="88"/>
      <c r="Z186" s="88"/>
      <c r="AA186" s="88"/>
      <c r="AB186" s="88"/>
      <c r="AC186" s="88"/>
      <c r="AD186" s="88"/>
    </row>
    <row r="187" spans="3:30" ht="13.5" customHeight="1">
      <c r="C187" s="44" t="s">
        <v>94</v>
      </c>
      <c r="D187" s="3"/>
      <c r="E187" s="3"/>
      <c r="G187" s="5"/>
      <c r="H187" s="6"/>
      <c r="I187" s="145"/>
      <c r="J187" s="36"/>
      <c r="K187" s="145"/>
      <c r="L187" s="192" t="s">
        <v>196</v>
      </c>
      <c r="M187" s="40"/>
      <c r="N187" s="40"/>
      <c r="O187" s="117" t="str">
        <f>$O$20</f>
        <v>Base Year = Yr 0</v>
      </c>
      <c r="P187" s="88"/>
      <c r="Q187" s="88"/>
      <c r="R187" s="88"/>
      <c r="S187" s="88"/>
      <c r="T187" s="88"/>
      <c r="U187" s="88"/>
      <c r="V187" s="88"/>
      <c r="W187" s="88"/>
      <c r="X187" s="88"/>
      <c r="Y187" s="88"/>
      <c r="Z187" s="88"/>
      <c r="AA187" s="88"/>
      <c r="AB187" s="88"/>
      <c r="AC187" s="88"/>
      <c r="AD187" s="88"/>
    </row>
    <row r="188" spans="2:30" ht="13.5" customHeight="1">
      <c r="B188" s="3"/>
      <c r="C188" s="2" t="s">
        <v>76</v>
      </c>
      <c r="D188" s="2" t="s">
        <v>77</v>
      </c>
      <c r="E188" s="2" t="s">
        <v>78</v>
      </c>
      <c r="F188" s="2" t="s">
        <v>28</v>
      </c>
      <c r="G188" s="5"/>
      <c r="H188" s="7"/>
      <c r="I188" s="145"/>
      <c r="J188" s="36"/>
      <c r="K188" s="145"/>
      <c r="L188" s="376"/>
      <c r="M188" s="377"/>
      <c r="N188" s="378"/>
      <c r="O188" s="88"/>
      <c r="P188" s="88"/>
      <c r="Q188" s="88"/>
      <c r="R188" s="88"/>
      <c r="S188" s="88"/>
      <c r="T188" s="88"/>
      <c r="U188" s="88"/>
      <c r="V188" s="88"/>
      <c r="W188" s="88"/>
      <c r="X188" s="88"/>
      <c r="Y188" s="88"/>
      <c r="Z188" s="88"/>
      <c r="AA188" s="88"/>
      <c r="AB188" s="88"/>
      <c r="AC188" s="88"/>
      <c r="AD188" s="88"/>
    </row>
    <row r="189" spans="2:30" ht="13.5" customHeight="1">
      <c r="B189" s="69" t="s">
        <v>87</v>
      </c>
      <c r="C189" s="219" t="s">
        <v>119</v>
      </c>
      <c r="D189" s="242">
        <v>1450</v>
      </c>
      <c r="E189" s="237">
        <v>125</v>
      </c>
      <c r="F189" s="90">
        <f aca="true" t="shared" si="194" ref="F189:F198">D189*E189</f>
        <v>181250</v>
      </c>
      <c r="G189" s="68"/>
      <c r="H189" s="70"/>
      <c r="I189" s="145"/>
      <c r="J189" s="36"/>
      <c r="K189" s="145"/>
      <c r="L189" s="379"/>
      <c r="M189" s="92"/>
      <c r="N189" s="380"/>
      <c r="O189" s="88"/>
      <c r="P189" s="88"/>
      <c r="Q189" s="88"/>
      <c r="R189" s="88"/>
      <c r="S189" s="88"/>
      <c r="T189" s="88"/>
      <c r="U189" s="88"/>
      <c r="V189" s="88"/>
      <c r="W189" s="88"/>
      <c r="X189" s="88"/>
      <c r="Y189" s="88"/>
      <c r="Z189" s="88"/>
      <c r="AA189" s="88"/>
      <c r="AB189" s="88"/>
      <c r="AC189" s="88"/>
      <c r="AD189" s="88"/>
    </row>
    <row r="190" spans="2:30" ht="13.5" customHeight="1">
      <c r="B190" s="23"/>
      <c r="C190" s="221" t="s">
        <v>120</v>
      </c>
      <c r="D190" s="243">
        <v>2100</v>
      </c>
      <c r="E190" s="239">
        <v>125</v>
      </c>
      <c r="F190" s="90">
        <f t="shared" si="194"/>
        <v>262500</v>
      </c>
      <c r="G190" s="68"/>
      <c r="H190" s="70"/>
      <c r="I190" s="145"/>
      <c r="J190" s="36"/>
      <c r="K190" s="145"/>
      <c r="L190" s="379"/>
      <c r="M190" s="92"/>
      <c r="N190" s="380"/>
      <c r="O190" s="88"/>
      <c r="P190" s="88"/>
      <c r="Q190" s="88"/>
      <c r="R190" s="88"/>
      <c r="S190" s="88"/>
      <c r="T190" s="88"/>
      <c r="U190" s="88"/>
      <c r="V190" s="88"/>
      <c r="W190" s="88"/>
      <c r="X190" s="88"/>
      <c r="Y190" s="88"/>
      <c r="Z190" s="88"/>
      <c r="AA190" s="88"/>
      <c r="AB190" s="88"/>
      <c r="AC190" s="88"/>
      <c r="AD190" s="88"/>
    </row>
    <row r="191" spans="2:30" ht="13.5" customHeight="1">
      <c r="B191" s="23"/>
      <c r="C191" s="221" t="s">
        <v>113</v>
      </c>
      <c r="D191" s="243">
        <v>600</v>
      </c>
      <c r="E191" s="239">
        <v>200</v>
      </c>
      <c r="F191" s="90">
        <f t="shared" si="194"/>
        <v>120000</v>
      </c>
      <c r="G191" s="68"/>
      <c r="H191" s="70"/>
      <c r="I191" s="145"/>
      <c r="J191" s="36"/>
      <c r="K191" s="145"/>
      <c r="L191" s="379"/>
      <c r="M191" s="92"/>
      <c r="N191" s="380"/>
      <c r="O191" s="88"/>
      <c r="P191" s="88"/>
      <c r="Q191" s="88"/>
      <c r="R191" s="88"/>
      <c r="S191" s="88"/>
      <c r="T191" s="88"/>
      <c r="U191" s="88"/>
      <c r="V191" s="88"/>
      <c r="W191" s="88"/>
      <c r="X191" s="88"/>
      <c r="Y191" s="88"/>
      <c r="Z191" s="88"/>
      <c r="AA191" s="88"/>
      <c r="AB191" s="88"/>
      <c r="AC191" s="88"/>
      <c r="AD191" s="88"/>
    </row>
    <row r="192" spans="2:30" ht="13.5" customHeight="1">
      <c r="B192" s="23"/>
      <c r="C192" s="221" t="s">
        <v>121</v>
      </c>
      <c r="D192" s="243">
        <v>1400</v>
      </c>
      <c r="E192" s="239">
        <v>125</v>
      </c>
      <c r="F192" s="90">
        <f t="shared" si="194"/>
        <v>175000</v>
      </c>
      <c r="G192" s="68"/>
      <c r="H192" s="70"/>
      <c r="I192" s="145"/>
      <c r="J192" s="36"/>
      <c r="K192" s="145"/>
      <c r="L192" s="379"/>
      <c r="M192" s="92"/>
      <c r="N192" s="380"/>
      <c r="O192" s="88"/>
      <c r="P192" s="88"/>
      <c r="Q192" s="88"/>
      <c r="R192" s="88"/>
      <c r="S192" s="88"/>
      <c r="T192" s="88"/>
      <c r="U192" s="88"/>
      <c r="V192" s="88"/>
      <c r="W192" s="88"/>
      <c r="X192" s="88"/>
      <c r="Y192" s="88"/>
      <c r="Z192" s="88"/>
      <c r="AA192" s="88"/>
      <c r="AB192" s="88"/>
      <c r="AC192" s="88"/>
      <c r="AD192" s="88"/>
    </row>
    <row r="193" spans="2:30" ht="13.5" customHeight="1">
      <c r="B193" s="23"/>
      <c r="C193" s="221" t="s">
        <v>122</v>
      </c>
      <c r="D193" s="243">
        <v>850</v>
      </c>
      <c r="E193" s="239">
        <v>150</v>
      </c>
      <c r="F193" s="90">
        <f t="shared" si="194"/>
        <v>127500</v>
      </c>
      <c r="G193" s="68"/>
      <c r="H193" s="70"/>
      <c r="I193" s="145"/>
      <c r="J193" s="36"/>
      <c r="K193" s="145"/>
      <c r="L193" s="379"/>
      <c r="M193" s="92"/>
      <c r="N193" s="380"/>
      <c r="O193" s="88"/>
      <c r="P193" s="88"/>
      <c r="Q193" s="88"/>
      <c r="R193" s="88"/>
      <c r="S193" s="88"/>
      <c r="T193" s="88"/>
      <c r="U193" s="88"/>
      <c r="V193" s="88"/>
      <c r="W193" s="88"/>
      <c r="X193" s="88"/>
      <c r="Y193" s="88"/>
      <c r="Z193" s="88"/>
      <c r="AA193" s="88"/>
      <c r="AB193" s="88"/>
      <c r="AC193" s="88"/>
      <c r="AD193" s="88"/>
    </row>
    <row r="194" spans="2:30" ht="13.5" customHeight="1">
      <c r="B194" s="23"/>
      <c r="C194" s="244" t="s">
        <v>123</v>
      </c>
      <c r="D194" s="243">
        <v>800</v>
      </c>
      <c r="E194" s="239">
        <v>150</v>
      </c>
      <c r="F194" s="90">
        <f t="shared" si="194"/>
        <v>120000</v>
      </c>
      <c r="G194" s="68"/>
      <c r="H194" s="70"/>
      <c r="I194" s="145"/>
      <c r="J194" s="36"/>
      <c r="K194" s="145"/>
      <c r="L194" s="379"/>
      <c r="M194" s="92"/>
      <c r="N194" s="380"/>
      <c r="O194" s="88"/>
      <c r="P194" s="88"/>
      <c r="Q194" s="88"/>
      <c r="R194" s="88"/>
      <c r="S194" s="88"/>
      <c r="T194" s="88"/>
      <c r="U194" s="88"/>
      <c r="V194" s="88"/>
      <c r="W194" s="88"/>
      <c r="X194" s="88"/>
      <c r="Y194" s="88"/>
      <c r="Z194" s="88"/>
      <c r="AA194" s="88"/>
      <c r="AB194" s="88"/>
      <c r="AC194" s="88"/>
      <c r="AD194" s="88"/>
    </row>
    <row r="195" spans="2:30" ht="13.5" customHeight="1">
      <c r="B195" s="23"/>
      <c r="C195" s="244" t="s">
        <v>114</v>
      </c>
      <c r="D195" s="243">
        <v>200</v>
      </c>
      <c r="E195" s="239">
        <v>200</v>
      </c>
      <c r="F195" s="90">
        <f t="shared" si="194"/>
        <v>40000</v>
      </c>
      <c r="G195" s="68"/>
      <c r="H195" s="70"/>
      <c r="I195" s="145"/>
      <c r="J195" s="36"/>
      <c r="K195" s="145"/>
      <c r="L195" s="379"/>
      <c r="M195" s="92"/>
      <c r="N195" s="380"/>
      <c r="O195" s="88"/>
      <c r="P195" s="88"/>
      <c r="Q195" s="88"/>
      <c r="R195" s="88"/>
      <c r="S195" s="88"/>
      <c r="T195" s="88"/>
      <c r="U195" s="88"/>
      <c r="V195" s="88"/>
      <c r="W195" s="88"/>
      <c r="X195" s="88"/>
      <c r="Y195" s="88"/>
      <c r="Z195" s="88"/>
      <c r="AA195" s="88"/>
      <c r="AB195" s="88"/>
      <c r="AC195" s="88"/>
      <c r="AD195" s="88"/>
    </row>
    <row r="196" spans="2:30" ht="13.5" customHeight="1">
      <c r="B196" s="23"/>
      <c r="C196" s="244"/>
      <c r="D196" s="243"/>
      <c r="E196" s="239"/>
      <c r="F196" s="90">
        <f t="shared" si="194"/>
        <v>0</v>
      </c>
      <c r="G196" s="68"/>
      <c r="H196" s="70"/>
      <c r="I196" s="145"/>
      <c r="J196" s="36"/>
      <c r="K196" s="145"/>
      <c r="L196" s="379"/>
      <c r="M196" s="92"/>
      <c r="N196" s="380"/>
      <c r="O196" s="88"/>
      <c r="P196" s="88"/>
      <c r="Q196" s="88"/>
      <c r="R196" s="88"/>
      <c r="S196" s="88"/>
      <c r="T196" s="88"/>
      <c r="U196" s="88"/>
      <c r="V196" s="88"/>
      <c r="W196" s="88"/>
      <c r="X196" s="88"/>
      <c r="Y196" s="88"/>
      <c r="Z196" s="88"/>
      <c r="AA196" s="88"/>
      <c r="AB196" s="88"/>
      <c r="AC196" s="88"/>
      <c r="AD196" s="88"/>
    </row>
    <row r="197" spans="2:30" ht="13.5" customHeight="1">
      <c r="B197" s="23"/>
      <c r="C197" s="244" t="s">
        <v>412</v>
      </c>
      <c r="D197" s="243"/>
      <c r="E197" s="239"/>
      <c r="F197" s="90">
        <f t="shared" si="194"/>
        <v>0</v>
      </c>
      <c r="G197" s="68"/>
      <c r="H197" s="70"/>
      <c r="I197" s="145"/>
      <c r="J197" s="36"/>
      <c r="K197" s="145"/>
      <c r="L197" s="379"/>
      <c r="M197" s="92"/>
      <c r="N197" s="380"/>
      <c r="O197" s="88"/>
      <c r="P197" s="88"/>
      <c r="Q197" s="88"/>
      <c r="R197" s="88"/>
      <c r="S197" s="88"/>
      <c r="T197" s="88"/>
      <c r="U197" s="88"/>
      <c r="V197" s="88"/>
      <c r="W197" s="88"/>
      <c r="X197" s="88"/>
      <c r="Y197" s="88"/>
      <c r="Z197" s="88"/>
      <c r="AA197" s="88"/>
      <c r="AB197" s="88"/>
      <c r="AC197" s="88"/>
      <c r="AD197" s="88"/>
    </row>
    <row r="198" spans="2:30" ht="13.5" customHeight="1">
      <c r="B198" s="23"/>
      <c r="C198" s="245"/>
      <c r="D198" s="246"/>
      <c r="E198" s="241"/>
      <c r="F198" s="90">
        <f t="shared" si="194"/>
        <v>0</v>
      </c>
      <c r="G198" s="68"/>
      <c r="H198" s="70"/>
      <c r="I198" s="145"/>
      <c r="J198" s="36"/>
      <c r="K198" s="145"/>
      <c r="L198" s="379"/>
      <c r="M198" s="92"/>
      <c r="N198" s="380"/>
      <c r="O198" s="88"/>
      <c r="P198" s="88"/>
      <c r="Q198" s="88"/>
      <c r="R198" s="88"/>
      <c r="S198" s="88"/>
      <c r="T198" s="88"/>
      <c r="U198" s="88"/>
      <c r="V198" s="88"/>
      <c r="W198" s="88"/>
      <c r="X198" s="88"/>
      <c r="Y198" s="88"/>
      <c r="Z198" s="88"/>
      <c r="AA198" s="88"/>
      <c r="AB198" s="88"/>
      <c r="AC198" s="88"/>
      <c r="AD198" s="88"/>
    </row>
    <row r="199" spans="3:30" ht="13.5" customHeight="1">
      <c r="C199" s="405" t="s">
        <v>405</v>
      </c>
      <c r="D199" s="176">
        <f>SUM(D189:D198)</f>
        <v>7400</v>
      </c>
      <c r="E199" s="4"/>
      <c r="F199" s="76">
        <f>SUM(F189:F198)</f>
        <v>1026250</v>
      </c>
      <c r="G199" s="68"/>
      <c r="H199" s="70"/>
      <c r="I199" s="145"/>
      <c r="J199" s="36"/>
      <c r="K199" s="145"/>
      <c r="L199" s="381" t="s">
        <v>182</v>
      </c>
      <c r="M199" s="92"/>
      <c r="N199" s="380"/>
      <c r="O199" s="88"/>
      <c r="P199" s="88"/>
      <c r="Q199" s="88"/>
      <c r="R199" s="88"/>
      <c r="S199" s="88"/>
      <c r="T199" s="88"/>
      <c r="U199" s="88"/>
      <c r="V199" s="88"/>
      <c r="W199" s="88"/>
      <c r="X199" s="88"/>
      <c r="Y199" s="88"/>
      <c r="Z199" s="88"/>
      <c r="AA199" s="88"/>
      <c r="AB199" s="88"/>
      <c r="AC199" s="88"/>
      <c r="AD199" s="88"/>
    </row>
    <row r="200" spans="2:30" ht="13.5" customHeight="1">
      <c r="B200" s="59"/>
      <c r="C200" s="10"/>
      <c r="D200" s="67"/>
      <c r="E200" s="4"/>
      <c r="F200" s="76"/>
      <c r="G200" s="68"/>
      <c r="H200" s="70"/>
      <c r="I200" s="145"/>
      <c r="J200" s="36"/>
      <c r="K200" s="145"/>
      <c r="L200" s="379"/>
      <c r="M200" s="92"/>
      <c r="N200" s="380"/>
      <c r="O200" s="88"/>
      <c r="P200" s="88"/>
      <c r="Q200" s="88"/>
      <c r="R200" s="88"/>
      <c r="S200" s="88"/>
      <c r="T200" s="88"/>
      <c r="U200" s="88"/>
      <c r="V200" s="88"/>
      <c r="W200" s="88"/>
      <c r="X200" s="88"/>
      <c r="Y200" s="88"/>
      <c r="Z200" s="88"/>
      <c r="AA200" s="88"/>
      <c r="AB200" s="88"/>
      <c r="AC200" s="88"/>
      <c r="AD200" s="88"/>
    </row>
    <row r="201" spans="2:30" ht="13.5" customHeight="1">
      <c r="B201" s="23"/>
      <c r="C201" s="2" t="s">
        <v>73</v>
      </c>
      <c r="D201" s="3"/>
      <c r="E201" s="3"/>
      <c r="G201" s="90">
        <f>F199*$G$73</f>
        <v>41050</v>
      </c>
      <c r="H201" s="70">
        <f>G201/$G$22</f>
        <v>205.25</v>
      </c>
      <c r="I201" s="145"/>
      <c r="J201" s="36"/>
      <c r="K201" s="145"/>
      <c r="L201" s="379"/>
      <c r="M201" s="92"/>
      <c r="N201" s="380"/>
      <c r="O201" s="88"/>
      <c r="P201" s="88"/>
      <c r="Q201" s="88"/>
      <c r="R201" s="88"/>
      <c r="S201" s="88"/>
      <c r="T201" s="88"/>
      <c r="U201" s="88"/>
      <c r="V201" s="88"/>
      <c r="W201" s="88"/>
      <c r="X201" s="88"/>
      <c r="Y201" s="88"/>
      <c r="Z201" s="88"/>
      <c r="AA201" s="88"/>
      <c r="AB201" s="88"/>
      <c r="AC201" s="88"/>
      <c r="AD201" s="88"/>
    </row>
    <row r="202" spans="2:30" ht="13.5" customHeight="1" thickBot="1">
      <c r="B202" s="22"/>
      <c r="C202" s="2" t="s">
        <v>79</v>
      </c>
      <c r="D202" s="3"/>
      <c r="E202" s="3"/>
      <c r="G202" s="212">
        <v>10000</v>
      </c>
      <c r="H202" s="75">
        <f>G202/$G$22</f>
        <v>50</v>
      </c>
      <c r="I202" s="145"/>
      <c r="J202" s="36"/>
      <c r="K202" s="145"/>
      <c r="L202" s="379"/>
      <c r="M202" s="92"/>
      <c r="N202" s="380"/>
      <c r="O202" s="88"/>
      <c r="P202" s="88"/>
      <c r="Q202" s="88"/>
      <c r="R202" s="88"/>
      <c r="S202" s="88"/>
      <c r="T202" s="88"/>
      <c r="U202" s="88"/>
      <c r="V202" s="88"/>
      <c r="W202" s="88"/>
      <c r="X202" s="88"/>
      <c r="Y202" s="88"/>
      <c r="Z202" s="88"/>
      <c r="AA202" s="88"/>
      <c r="AB202" s="88"/>
      <c r="AC202" s="88"/>
      <c r="AD202" s="88"/>
    </row>
    <row r="203" spans="2:30" ht="13.5" customHeight="1" thickTop="1">
      <c r="B203" s="3"/>
      <c r="C203" s="3" t="s">
        <v>16</v>
      </c>
      <c r="D203" s="3"/>
      <c r="E203" s="3"/>
      <c r="G203" s="68"/>
      <c r="I203" s="145"/>
      <c r="J203" s="36"/>
      <c r="K203" s="145"/>
      <c r="L203" s="379"/>
      <c r="M203" s="92"/>
      <c r="N203" s="380"/>
      <c r="O203" s="72"/>
      <c r="P203" s="72"/>
      <c r="Q203" s="72"/>
      <c r="R203" s="72"/>
      <c r="S203" s="72"/>
      <c r="T203" s="72"/>
      <c r="U203" s="72"/>
      <c r="V203" s="72"/>
      <c r="W203" s="72"/>
      <c r="X203" s="72"/>
      <c r="Y203" s="72"/>
      <c r="Z203" s="72"/>
      <c r="AA203" s="72"/>
      <c r="AB203" s="72"/>
      <c r="AC203" s="72"/>
      <c r="AD203" s="72"/>
    </row>
    <row r="204" spans="3:30" ht="13.5" customHeight="1">
      <c r="C204" s="3" t="s">
        <v>178</v>
      </c>
      <c r="D204" s="3"/>
      <c r="E204" s="3"/>
      <c r="G204" s="20">
        <f>SUM(G201:G203)</f>
        <v>51050</v>
      </c>
      <c r="H204" s="28">
        <f>SUM(H201:H203)</f>
        <v>255.25</v>
      </c>
      <c r="I204" s="145"/>
      <c r="J204" s="36"/>
      <c r="K204" s="145"/>
      <c r="L204" s="555" t="s">
        <v>274</v>
      </c>
      <c r="M204" s="556"/>
      <c r="N204" s="557"/>
      <c r="O204" s="88">
        <f>$G$204</f>
        <v>51050</v>
      </c>
      <c r="P204" s="88">
        <f aca="true" t="shared" si="195" ref="P204:AD204">$G$204</f>
        <v>51050</v>
      </c>
      <c r="Q204" s="88">
        <f t="shared" si="195"/>
        <v>51050</v>
      </c>
      <c r="R204" s="88">
        <f t="shared" si="195"/>
        <v>51050</v>
      </c>
      <c r="S204" s="88">
        <f t="shared" si="195"/>
        <v>51050</v>
      </c>
      <c r="T204" s="88">
        <f t="shared" si="195"/>
        <v>51050</v>
      </c>
      <c r="U204" s="88">
        <f t="shared" si="195"/>
        <v>51050</v>
      </c>
      <c r="V204" s="88">
        <f t="shared" si="195"/>
        <v>51050</v>
      </c>
      <c r="W204" s="88">
        <f t="shared" si="195"/>
        <v>51050</v>
      </c>
      <c r="X204" s="88">
        <f t="shared" si="195"/>
        <v>51050</v>
      </c>
      <c r="Y204" s="88">
        <f t="shared" si="195"/>
        <v>51050</v>
      </c>
      <c r="Z204" s="88">
        <f t="shared" si="195"/>
        <v>51050</v>
      </c>
      <c r="AA204" s="88">
        <f t="shared" si="195"/>
        <v>51050</v>
      </c>
      <c r="AB204" s="88">
        <f t="shared" si="195"/>
        <v>51050</v>
      </c>
      <c r="AC204" s="88">
        <f t="shared" si="195"/>
        <v>51050</v>
      </c>
      <c r="AD204" s="88">
        <f t="shared" si="195"/>
        <v>51050</v>
      </c>
    </row>
    <row r="205" spans="2:30" ht="13.5" customHeight="1">
      <c r="B205" s="3"/>
      <c r="C205" s="3"/>
      <c r="D205" s="3"/>
      <c r="E205" s="3"/>
      <c r="G205" s="5"/>
      <c r="H205" s="36"/>
      <c r="I205" s="145"/>
      <c r="J205" s="36"/>
      <c r="K205" s="145"/>
      <c r="L205" s="40"/>
      <c r="M205" s="40"/>
      <c r="N205" s="40"/>
      <c r="O205" s="88"/>
      <c r="P205" s="88"/>
      <c r="Q205" s="88"/>
      <c r="R205" s="88"/>
      <c r="S205" s="88"/>
      <c r="T205" s="88"/>
      <c r="U205" s="88"/>
      <c r="V205" s="88"/>
      <c r="W205" s="88"/>
      <c r="X205" s="88"/>
      <c r="Y205" s="88"/>
      <c r="Z205" s="88"/>
      <c r="AA205" s="88"/>
      <c r="AB205" s="88"/>
      <c r="AC205" s="88"/>
      <c r="AD205" s="88"/>
    </row>
    <row r="206" spans="3:30" ht="13.5" customHeight="1">
      <c r="C206" s="44" t="s">
        <v>80</v>
      </c>
      <c r="D206" s="3"/>
      <c r="E206" s="3"/>
      <c r="G206" s="5"/>
      <c r="H206" s="36"/>
      <c r="I206" s="145"/>
      <c r="J206" s="36"/>
      <c r="K206" s="145"/>
      <c r="L206" s="192" t="s">
        <v>80</v>
      </c>
      <c r="M206" s="40"/>
      <c r="N206" s="40"/>
      <c r="O206" s="117" t="str">
        <f>$O$20</f>
        <v>Base Year = Yr 0</v>
      </c>
      <c r="P206" s="88"/>
      <c r="Q206" s="88"/>
      <c r="R206" s="88"/>
      <c r="S206" s="88"/>
      <c r="T206" s="88"/>
      <c r="U206" s="88"/>
      <c r="V206" s="88"/>
      <c r="W206" s="88"/>
      <c r="X206" s="88"/>
      <c r="Y206" s="88"/>
      <c r="Z206" s="88"/>
      <c r="AA206" s="88"/>
      <c r="AB206" s="88"/>
      <c r="AC206" s="88"/>
      <c r="AD206" s="88"/>
    </row>
    <row r="207" spans="2:30" ht="13.5" customHeight="1">
      <c r="B207" s="3"/>
      <c r="C207" s="3"/>
      <c r="D207" s="4" t="s">
        <v>66</v>
      </c>
      <c r="E207" s="4" t="s">
        <v>67</v>
      </c>
      <c r="F207" s="4" t="s">
        <v>100</v>
      </c>
      <c r="G207" s="4" t="s">
        <v>69</v>
      </c>
      <c r="H207" s="4" t="s">
        <v>50</v>
      </c>
      <c r="I207" s="145"/>
      <c r="J207" s="36"/>
      <c r="K207" s="145"/>
      <c r="L207" s="499"/>
      <c r="M207" s="377"/>
      <c r="N207" s="378"/>
      <c r="O207" s="88"/>
      <c r="P207" s="88"/>
      <c r="Q207" s="88"/>
      <c r="R207" s="88"/>
      <c r="S207" s="88"/>
      <c r="T207" s="88"/>
      <c r="U207" s="88"/>
      <c r="V207" s="88"/>
      <c r="W207" s="88"/>
      <c r="X207" s="88"/>
      <c r="Y207" s="88"/>
      <c r="Z207" s="88"/>
      <c r="AA207" s="88"/>
      <c r="AB207" s="88"/>
      <c r="AC207" s="88"/>
      <c r="AD207" s="88"/>
    </row>
    <row r="208" spans="3:30" ht="13.5" customHeight="1">
      <c r="C208" s="2" t="s">
        <v>101</v>
      </c>
      <c r="D208" s="4" t="s">
        <v>71</v>
      </c>
      <c r="E208" s="4" t="s">
        <v>72</v>
      </c>
      <c r="F208" s="4" t="s">
        <v>50</v>
      </c>
      <c r="G208" s="20" t="s">
        <v>70</v>
      </c>
      <c r="H208" s="4" t="s">
        <v>41</v>
      </c>
      <c r="I208" s="145"/>
      <c r="J208" s="36"/>
      <c r="K208" s="145"/>
      <c r="L208" s="379"/>
      <c r="M208" s="92"/>
      <c r="N208" s="380"/>
      <c r="O208" s="88"/>
      <c r="P208" s="88"/>
      <c r="Q208" s="88"/>
      <c r="R208" s="88"/>
      <c r="S208" s="88"/>
      <c r="T208" s="88"/>
      <c r="U208" s="88"/>
      <c r="V208" s="88"/>
      <c r="W208" s="88"/>
      <c r="X208" s="88"/>
      <c r="Y208" s="88"/>
      <c r="Z208" s="88"/>
      <c r="AA208" s="88"/>
      <c r="AB208" s="88"/>
      <c r="AC208" s="88"/>
      <c r="AD208" s="88"/>
    </row>
    <row r="209" spans="2:30" ht="13.5" customHeight="1">
      <c r="B209" s="558" t="s">
        <v>262</v>
      </c>
      <c r="C209" s="194" t="s">
        <v>81</v>
      </c>
      <c r="D209" s="386">
        <f>G42*G43/2</f>
        <v>10000</v>
      </c>
      <c r="E209" s="387">
        <f>$G$44</f>
        <v>3</v>
      </c>
      <c r="F209" s="388">
        <f>G42*E55*F55</f>
        <v>7920.000000000001</v>
      </c>
      <c r="G209" s="90">
        <f>IF($E$209=0,0,(($D$209-$F$209)/$E$209))</f>
        <v>693.333333333333</v>
      </c>
      <c r="H209" s="70">
        <f>G209/$G$22</f>
        <v>3.466666666666665</v>
      </c>
      <c r="I209" s="145"/>
      <c r="J209" s="36"/>
      <c r="K209" s="145"/>
      <c r="L209" s="379" t="s">
        <v>380</v>
      </c>
      <c r="M209" s="92"/>
      <c r="N209" s="380"/>
      <c r="O209" s="530">
        <f>D209</f>
        <v>10000</v>
      </c>
      <c r="P209" s="530">
        <f aca="true" t="shared" si="196" ref="P209:AD209">($G$42+Q39)*$G$43*Q42/2</f>
        <v>8781.239586804399</v>
      </c>
      <c r="Q209" s="530">
        <f t="shared" si="196"/>
        <v>8366.377874041986</v>
      </c>
      <c r="R209" s="530">
        <f t="shared" si="196"/>
        <v>7960.679773408863</v>
      </c>
      <c r="S209" s="530">
        <f t="shared" si="196"/>
        <v>7522.492502499166</v>
      </c>
      <c r="T209" s="530">
        <f t="shared" si="196"/>
        <v>7120.959680106631</v>
      </c>
      <c r="U209" s="530">
        <f t="shared" si="196"/>
        <v>6956.014661779406</v>
      </c>
      <c r="V209" s="530">
        <f t="shared" si="196"/>
        <v>7035.9880039986665</v>
      </c>
      <c r="W209" s="530">
        <f t="shared" si="196"/>
        <v>7234.255248250583</v>
      </c>
      <c r="X209" s="530">
        <f t="shared" si="196"/>
        <v>7505.83138953682</v>
      </c>
      <c r="Y209" s="530">
        <f t="shared" si="196"/>
        <v>7700</v>
      </c>
      <c r="Z209" s="530">
        <f t="shared" si="196"/>
        <v>8000</v>
      </c>
      <c r="AA209" s="530">
        <f t="shared" si="196"/>
        <v>8500</v>
      </c>
      <c r="AB209" s="530">
        <f t="shared" si="196"/>
        <v>8800</v>
      </c>
      <c r="AC209" s="530">
        <f t="shared" si="196"/>
        <v>9500</v>
      </c>
      <c r="AD209" s="530">
        <f t="shared" si="196"/>
        <v>0</v>
      </c>
    </row>
    <row r="210" spans="2:30" ht="13.5" customHeight="1">
      <c r="B210" s="558"/>
      <c r="C210" s="195" t="s">
        <v>82</v>
      </c>
      <c r="D210" s="78">
        <f>G22*G46</f>
        <v>160000</v>
      </c>
      <c r="E210" s="248">
        <v>0</v>
      </c>
      <c r="F210" s="247">
        <v>0</v>
      </c>
      <c r="G210" s="90">
        <f>IF(E210=0,0,((D210-F210)/E210))</f>
        <v>0</v>
      </c>
      <c r="H210" s="70">
        <f>G210/$G$22</f>
        <v>0</v>
      </c>
      <c r="I210" s="145"/>
      <c r="J210" s="36"/>
      <c r="K210" s="145"/>
      <c r="L210" s="379" t="s">
        <v>381</v>
      </c>
      <c r="M210" s="92"/>
      <c r="N210" s="380"/>
      <c r="O210" s="530">
        <f>O25*$G$46</f>
        <v>160000</v>
      </c>
      <c r="P210" s="530">
        <f aca="true" t="shared" si="197" ref="P210:AD210">P25*$G$46</f>
        <v>159200</v>
      </c>
      <c r="Q210" s="530">
        <f t="shared" si="197"/>
        <v>160000</v>
      </c>
      <c r="R210" s="530">
        <f t="shared" si="197"/>
        <v>160000</v>
      </c>
      <c r="S210" s="530">
        <f t="shared" si="197"/>
        <v>160000</v>
      </c>
      <c r="T210" s="530">
        <f t="shared" si="197"/>
        <v>160000</v>
      </c>
      <c r="U210" s="530">
        <f t="shared" si="197"/>
        <v>160000</v>
      </c>
      <c r="V210" s="530">
        <f t="shared" si="197"/>
        <v>160000</v>
      </c>
      <c r="W210" s="530">
        <f t="shared" si="197"/>
        <v>160000</v>
      </c>
      <c r="X210" s="530">
        <f t="shared" si="197"/>
        <v>160000</v>
      </c>
      <c r="Y210" s="530">
        <f t="shared" si="197"/>
        <v>160000</v>
      </c>
      <c r="Z210" s="530">
        <f t="shared" si="197"/>
        <v>160000</v>
      </c>
      <c r="AA210" s="530">
        <f t="shared" si="197"/>
        <v>160000</v>
      </c>
      <c r="AB210" s="530">
        <f t="shared" si="197"/>
        <v>160000</v>
      </c>
      <c r="AC210" s="530">
        <f t="shared" si="197"/>
        <v>160000</v>
      </c>
      <c r="AD210" s="530">
        <f t="shared" si="197"/>
        <v>160000</v>
      </c>
    </row>
    <row r="211" spans="2:30" ht="13.5" customHeight="1" thickBot="1">
      <c r="B211" s="23"/>
      <c r="C211" s="223" t="s">
        <v>98</v>
      </c>
      <c r="D211" s="240">
        <v>0</v>
      </c>
      <c r="E211" s="218">
        <v>0</v>
      </c>
      <c r="F211" s="241">
        <v>0</v>
      </c>
      <c r="G211" s="77">
        <f>IF(E211=0,0,((D211-F211)/E211))</f>
        <v>0</v>
      </c>
      <c r="H211" s="75">
        <f>G211/$G$22</f>
        <v>0</v>
      </c>
      <c r="I211" s="145"/>
      <c r="J211" s="36"/>
      <c r="K211" s="145"/>
      <c r="L211" s="379"/>
      <c r="M211" s="92"/>
      <c r="N211" s="380"/>
      <c r="O211" s="88"/>
      <c r="P211" s="88"/>
      <c r="Q211" s="88"/>
      <c r="R211" s="88"/>
      <c r="S211" s="88"/>
      <c r="T211" s="88"/>
      <c r="U211" s="88"/>
      <c r="V211" s="88"/>
      <c r="W211" s="88"/>
      <c r="X211" s="88"/>
      <c r="Y211" s="88"/>
      <c r="Z211" s="88"/>
      <c r="AA211" s="88"/>
      <c r="AB211" s="88"/>
      <c r="AC211" s="88"/>
      <c r="AD211" s="88"/>
    </row>
    <row r="212" spans="3:30" ht="13.5" customHeight="1" thickTop="1">
      <c r="C212" s="59" t="s">
        <v>180</v>
      </c>
      <c r="D212" s="76">
        <f>SUM(D209:D211)</f>
        <v>170000</v>
      </c>
      <c r="E212" s="61"/>
      <c r="F212" s="76">
        <f>SUM(F209:F211)</f>
        <v>7920.000000000001</v>
      </c>
      <c r="G212" s="20">
        <f>SUM(G209:G211)</f>
        <v>693.333333333333</v>
      </c>
      <c r="H212" s="28">
        <f>SUM(H209:H211)</f>
        <v>3.466666666666665</v>
      </c>
      <c r="I212" s="145"/>
      <c r="J212" s="36"/>
      <c r="K212" s="145"/>
      <c r="L212" s="379" t="s">
        <v>276</v>
      </c>
      <c r="M212" s="92"/>
      <c r="N212" s="380"/>
      <c r="O212" s="384">
        <f>IF($E$209=0,0,(($D$209-$F$209)/$E$209))</f>
        <v>693.333333333333</v>
      </c>
      <c r="P212" s="88">
        <f>IF(P18&gt;=$E$209,0,$G$209)</f>
        <v>693.333333333333</v>
      </c>
      <c r="Q212" s="88">
        <f aca="true" t="shared" si="198" ref="Q212:AD212">IF(Q18&gt;=$E$209,0,$G$209)</f>
        <v>693.333333333333</v>
      </c>
      <c r="R212" s="88">
        <f t="shared" si="198"/>
        <v>0</v>
      </c>
      <c r="S212" s="88">
        <f t="shared" si="198"/>
        <v>0</v>
      </c>
      <c r="T212" s="88">
        <f t="shared" si="198"/>
        <v>0</v>
      </c>
      <c r="U212" s="88">
        <f t="shared" si="198"/>
        <v>0</v>
      </c>
      <c r="V212" s="88">
        <f t="shared" si="198"/>
        <v>0</v>
      </c>
      <c r="W212" s="88">
        <f t="shared" si="198"/>
        <v>0</v>
      </c>
      <c r="X212" s="88">
        <f t="shared" si="198"/>
        <v>0</v>
      </c>
      <c r="Y212" s="88">
        <f t="shared" si="198"/>
        <v>0</v>
      </c>
      <c r="Z212" s="88">
        <f t="shared" si="198"/>
        <v>0</v>
      </c>
      <c r="AA212" s="88">
        <f t="shared" si="198"/>
        <v>0</v>
      </c>
      <c r="AB212" s="88">
        <f t="shared" si="198"/>
        <v>0</v>
      </c>
      <c r="AC212" s="88">
        <f t="shared" si="198"/>
        <v>0</v>
      </c>
      <c r="AD212" s="88">
        <f t="shared" si="198"/>
        <v>0</v>
      </c>
    </row>
    <row r="213" spans="2:30" ht="13.5" customHeight="1">
      <c r="B213" s="23"/>
      <c r="C213" s="3"/>
      <c r="D213" s="19"/>
      <c r="E213" s="19"/>
      <c r="F213" s="40"/>
      <c r="G213" s="12"/>
      <c r="H213" s="36"/>
      <c r="I213" s="145"/>
      <c r="J213" s="36"/>
      <c r="K213" s="145"/>
      <c r="L213" s="379" t="s">
        <v>385</v>
      </c>
      <c r="M213" s="92"/>
      <c r="N213" s="380"/>
      <c r="O213" s="88"/>
      <c r="P213" s="88">
        <f aca="true" t="shared" si="199" ref="P213:AD213">AV85+AV156</f>
        <v>3103.848196434521</v>
      </c>
      <c r="Q213" s="88">
        <f t="shared" si="199"/>
        <v>4877.029948350549</v>
      </c>
      <c r="R213" s="88">
        <f t="shared" si="199"/>
        <v>6371.46730256581</v>
      </c>
      <c r="S213" s="88">
        <f t="shared" si="199"/>
        <v>6245.025762245918</v>
      </c>
      <c r="T213" s="88">
        <f t="shared" si="199"/>
        <v>5921.99912529157</v>
      </c>
      <c r="U213" s="88">
        <f t="shared" si="199"/>
        <v>5612.023450516494</v>
      </c>
      <c r="V213" s="88">
        <f t="shared" si="199"/>
        <v>5381.534030323226</v>
      </c>
      <c r="W213" s="88">
        <f t="shared" si="199"/>
        <v>5287.435021659447</v>
      </c>
      <c r="X213" s="88">
        <f t="shared" si="199"/>
        <v>5329.040778073975</v>
      </c>
      <c r="Y213" s="88">
        <f t="shared" si="199"/>
        <v>5471.116419526824</v>
      </c>
      <c r="Z213" s="88">
        <f t="shared" si="199"/>
        <v>5631.170255748084</v>
      </c>
      <c r="AA213" s="88">
        <f t="shared" si="199"/>
        <v>5826.132458347218</v>
      </c>
      <c r="AB213" s="88">
        <f t="shared" si="199"/>
        <v>6096.248954515162</v>
      </c>
      <c r="AC213" s="88">
        <f t="shared" si="199"/>
        <v>6360.9675</v>
      </c>
      <c r="AD213" s="88">
        <f t="shared" si="199"/>
        <v>6754.7175</v>
      </c>
    </row>
    <row r="214" spans="2:30" ht="13.5" customHeight="1">
      <c r="B214" s="23"/>
      <c r="C214" s="2" t="s">
        <v>73</v>
      </c>
      <c r="D214" s="3"/>
      <c r="E214" s="3"/>
      <c r="G214" s="90">
        <f>SUM(D209:D211)*$G$73</f>
        <v>6800</v>
      </c>
      <c r="H214" s="70">
        <f>G214/$G$22</f>
        <v>34</v>
      </c>
      <c r="I214" s="145"/>
      <c r="J214" s="36"/>
      <c r="K214" s="145"/>
      <c r="L214" s="379"/>
      <c r="M214" s="92"/>
      <c r="N214" s="380"/>
      <c r="O214" s="88"/>
      <c r="P214" s="88"/>
      <c r="Q214" s="88"/>
      <c r="R214" s="88"/>
      <c r="S214" s="88"/>
      <c r="T214" s="88"/>
      <c r="U214" s="88"/>
      <c r="V214" s="88"/>
      <c r="W214" s="88"/>
      <c r="X214" s="88"/>
      <c r="Y214" s="88"/>
      <c r="Z214" s="88"/>
      <c r="AA214" s="88"/>
      <c r="AB214" s="88"/>
      <c r="AC214" s="88"/>
      <c r="AD214" s="88"/>
    </row>
    <row r="215" spans="2:30" ht="13.5" customHeight="1" thickBot="1">
      <c r="B215" s="36"/>
      <c r="C215" s="2" t="s">
        <v>83</v>
      </c>
      <c r="D215" s="3"/>
      <c r="E215" s="3"/>
      <c r="G215" s="212">
        <v>200</v>
      </c>
      <c r="H215" s="75">
        <f>G215/$G$22</f>
        <v>1</v>
      </c>
      <c r="I215" s="145"/>
      <c r="J215" s="36"/>
      <c r="K215" s="145"/>
      <c r="L215" s="379"/>
      <c r="M215" s="92"/>
      <c r="N215" s="380"/>
      <c r="O215" s="88"/>
      <c r="P215" s="88"/>
      <c r="Q215" s="88"/>
      <c r="R215" s="88"/>
      <c r="S215" s="88"/>
      <c r="T215" s="88"/>
      <c r="U215" s="88"/>
      <c r="V215" s="88"/>
      <c r="W215" s="88"/>
      <c r="X215" s="88"/>
      <c r="Y215" s="88"/>
      <c r="Z215" s="88"/>
      <c r="AA215" s="88"/>
      <c r="AB215" s="88"/>
      <c r="AC215" s="88"/>
      <c r="AD215" s="88"/>
    </row>
    <row r="216" spans="3:30" ht="13.5" customHeight="1" thickTop="1">
      <c r="C216" s="3" t="s">
        <v>181</v>
      </c>
      <c r="D216" s="3"/>
      <c r="E216" s="3"/>
      <c r="G216" s="20">
        <f>SUM(G214:G215)</f>
        <v>7000</v>
      </c>
      <c r="H216" s="28">
        <f>SUM(H214:H215)</f>
        <v>35</v>
      </c>
      <c r="I216" s="145"/>
      <c r="J216" s="36"/>
      <c r="K216" s="145"/>
      <c r="L216" s="555" t="s">
        <v>383</v>
      </c>
      <c r="M216" s="556"/>
      <c r="N216" s="557"/>
      <c r="O216" s="88">
        <f>(SUM(O209:O210)+$D$211)*$G$73+$H$215*O25</f>
        <v>7000</v>
      </c>
      <c r="P216" s="88">
        <f aca="true" t="shared" si="200" ref="P216:AD216">IF(P138&gt;((SUM(P209:P210)+$D$211)*$G$73+$H$215*P25),0,((SUM(P209:P210)+$D$211)*$G$73+$H$215*P25)-P138)</f>
        <v>6545.787799900034</v>
      </c>
      <c r="Q216" s="88">
        <f t="shared" si="200"/>
        <v>6332.286880841994</v>
      </c>
      <c r="R216" s="88">
        <f t="shared" si="200"/>
        <v>6218.14715729082</v>
      </c>
      <c r="S216" s="88">
        <f t="shared" si="200"/>
        <v>6237.356778768852</v>
      </c>
      <c r="T216" s="88">
        <f t="shared" si="200"/>
        <v>6255.371934383589</v>
      </c>
      <c r="U216" s="88">
        <f t="shared" si="200"/>
        <v>6282.160182708235</v>
      </c>
      <c r="V216" s="88">
        <f t="shared" si="200"/>
        <v>6308.890757317937</v>
      </c>
      <c r="W216" s="88">
        <f t="shared" si="200"/>
        <v>6323.777448275378</v>
      </c>
      <c r="X216" s="88">
        <f t="shared" si="200"/>
        <v>6326.977173067727</v>
      </c>
      <c r="Y216" s="88">
        <f t="shared" si="200"/>
        <v>6317.550730036497</v>
      </c>
      <c r="Z216" s="88">
        <f t="shared" si="200"/>
        <v>6311.758030763077</v>
      </c>
      <c r="AA216" s="88">
        <f t="shared" si="200"/>
        <v>6310.870118326681</v>
      </c>
      <c r="AB216" s="88">
        <f t="shared" si="200"/>
        <v>6292.3217168496685</v>
      </c>
      <c r="AC216" s="88">
        <f t="shared" si="200"/>
        <v>6290.738842965567</v>
      </c>
      <c r="AD216" s="88">
        <f t="shared" si="200"/>
        <v>5868.026968179414</v>
      </c>
    </row>
    <row r="217" spans="2:30" ht="13.5" customHeight="1">
      <c r="B217" s="3"/>
      <c r="C217" s="3"/>
      <c r="D217" s="3"/>
      <c r="E217" s="3"/>
      <c r="G217" s="5"/>
      <c r="H217" s="36"/>
      <c r="I217" s="145"/>
      <c r="J217" s="36"/>
      <c r="K217" s="145"/>
      <c r="L217" s="40"/>
      <c r="M217" s="40"/>
      <c r="N217" s="186" t="s">
        <v>434</v>
      </c>
      <c r="O217" s="88">
        <f>($G$166+$G$167+$G$183+$G$184+$G$202+$G$215)</f>
        <v>13000</v>
      </c>
      <c r="P217" s="88">
        <f>($G$166+$G$167+$G$183+$G$184+$G$202+$G$215)*P45</f>
        <v>13000</v>
      </c>
      <c r="Q217" s="88">
        <f aca="true" t="shared" si="201" ref="Q217:AD217">($G$166+$G$167+$G$183+$G$184+$G$202+$G$215)*Q45</f>
        <v>13000</v>
      </c>
      <c r="R217" s="88">
        <f t="shared" si="201"/>
        <v>13000</v>
      </c>
      <c r="S217" s="88">
        <f t="shared" si="201"/>
        <v>13000</v>
      </c>
      <c r="T217" s="88">
        <f t="shared" si="201"/>
        <v>13000</v>
      </c>
      <c r="U217" s="88">
        <f t="shared" si="201"/>
        <v>13000</v>
      </c>
      <c r="V217" s="88">
        <f t="shared" si="201"/>
        <v>13000</v>
      </c>
      <c r="W217" s="88">
        <f t="shared" si="201"/>
        <v>13000</v>
      </c>
      <c r="X217" s="88">
        <f t="shared" si="201"/>
        <v>13000</v>
      </c>
      <c r="Y217" s="88">
        <f t="shared" si="201"/>
        <v>13000</v>
      </c>
      <c r="Z217" s="88">
        <f t="shared" si="201"/>
        <v>13000</v>
      </c>
      <c r="AA217" s="88">
        <f t="shared" si="201"/>
        <v>13000</v>
      </c>
      <c r="AB217" s="88">
        <f t="shared" si="201"/>
        <v>13000</v>
      </c>
      <c r="AC217" s="88">
        <f t="shared" si="201"/>
        <v>13000</v>
      </c>
      <c r="AD217" s="88">
        <f t="shared" si="201"/>
        <v>13000</v>
      </c>
    </row>
    <row r="218" spans="9:30" ht="13.5" customHeight="1">
      <c r="I218" s="178"/>
      <c r="J218" s="36"/>
      <c r="K218" s="145"/>
      <c r="L218" s="45" t="s">
        <v>193</v>
      </c>
      <c r="M218" s="40"/>
      <c r="N218" s="40"/>
      <c r="O218" s="401">
        <f>SUM(O151:O216)-SUM(O209:O210)</f>
        <v>67340.00000000003</v>
      </c>
      <c r="P218" s="401">
        <f aca="true" t="shared" si="202" ref="P218:AD218">SUM(P151:P216)-SUM(P209:P210)</f>
        <v>69989.63599633455</v>
      </c>
      <c r="Q218" s="401">
        <f t="shared" si="202"/>
        <v>71549.31682919254</v>
      </c>
      <c r="R218" s="401">
        <f t="shared" si="202"/>
        <v>72236.28112652333</v>
      </c>
      <c r="S218" s="401">
        <f t="shared" si="202"/>
        <v>72129.04920768144</v>
      </c>
      <c r="T218" s="401">
        <f t="shared" si="202"/>
        <v>71824.0377263418</v>
      </c>
      <c r="U218" s="401">
        <f t="shared" si="202"/>
        <v>71540.8502998914</v>
      </c>
      <c r="V218" s="401">
        <f t="shared" si="202"/>
        <v>71337.09145430784</v>
      </c>
      <c r="W218" s="401">
        <f t="shared" si="202"/>
        <v>71257.87913660149</v>
      </c>
      <c r="X218" s="401">
        <f t="shared" si="202"/>
        <v>71302.68461780835</v>
      </c>
      <c r="Y218" s="401">
        <f t="shared" si="202"/>
        <v>71435.33381623</v>
      </c>
      <c r="Z218" s="401">
        <f t="shared" si="202"/>
        <v>71589.59495317785</v>
      </c>
      <c r="AA218" s="401">
        <f t="shared" si="202"/>
        <v>71783.66924334058</v>
      </c>
      <c r="AB218" s="401">
        <f t="shared" si="202"/>
        <v>72035.2373380315</v>
      </c>
      <c r="AC218" s="401">
        <f t="shared" si="202"/>
        <v>72298.37300963225</v>
      </c>
      <c r="AD218" s="401">
        <f t="shared" si="202"/>
        <v>72269.4111348461</v>
      </c>
    </row>
    <row r="219" spans="3:30" ht="13.5" customHeight="1">
      <c r="C219" s="14" t="s">
        <v>84</v>
      </c>
      <c r="D219" s="15"/>
      <c r="E219" s="15"/>
      <c r="F219" s="13"/>
      <c r="G219" s="73" t="s">
        <v>41</v>
      </c>
      <c r="H219" s="79">
        <f>H163+H168+H180+H185+H204+H212+H216</f>
        <v>336.7</v>
      </c>
      <c r="I219" s="145"/>
      <c r="J219" s="36"/>
      <c r="K219" s="145"/>
      <c r="L219" s="40" t="s">
        <v>382</v>
      </c>
      <c r="M219" s="40"/>
      <c r="N219" s="40"/>
      <c r="O219" s="401">
        <f>O218/IF(O25=0,1,O25)</f>
        <v>336.70000000000016</v>
      </c>
      <c r="P219" s="401">
        <f>P218/IF(P25=0,1,P25)</f>
        <v>351.7067135494198</v>
      </c>
      <c r="Q219" s="401">
        <f>Q218/IF(Q25=0,1,Q25)</f>
        <v>357.7465841459627</v>
      </c>
      <c r="R219" s="401">
        <f aca="true" t="shared" si="203" ref="R219:AD219">R218/IF(R25=0,1,R25)</f>
        <v>361.18140563261665</v>
      </c>
      <c r="S219" s="401">
        <f t="shared" si="203"/>
        <v>360.6452460384072</v>
      </c>
      <c r="T219" s="401">
        <f t="shared" si="203"/>
        <v>359.120188631709</v>
      </c>
      <c r="U219" s="401">
        <f t="shared" si="203"/>
        <v>357.70425149945703</v>
      </c>
      <c r="V219" s="401">
        <f t="shared" si="203"/>
        <v>356.6854572715392</v>
      </c>
      <c r="W219" s="401">
        <f t="shared" si="203"/>
        <v>356.28939568300746</v>
      </c>
      <c r="X219" s="401">
        <f t="shared" si="203"/>
        <v>356.51342308904174</v>
      </c>
      <c r="Y219" s="401">
        <f t="shared" si="203"/>
        <v>357.17666908115</v>
      </c>
      <c r="Z219" s="401">
        <f t="shared" si="203"/>
        <v>357.9479747658892</v>
      </c>
      <c r="AA219" s="401">
        <f t="shared" si="203"/>
        <v>358.9183462167029</v>
      </c>
      <c r="AB219" s="401">
        <f t="shared" si="203"/>
        <v>360.17618669015746</v>
      </c>
      <c r="AC219" s="401">
        <f t="shared" si="203"/>
        <v>361.4918650481613</v>
      </c>
      <c r="AD219" s="401">
        <f t="shared" si="203"/>
        <v>361.3470556742305</v>
      </c>
    </row>
    <row r="220" spans="2:30" ht="13.5" customHeight="1">
      <c r="B220" s="17"/>
      <c r="C220" s="18" t="s">
        <v>85</v>
      </c>
      <c r="D220" s="19"/>
      <c r="E220" s="40"/>
      <c r="F220" s="40"/>
      <c r="G220" s="76" t="s">
        <v>41</v>
      </c>
      <c r="H220" s="178">
        <f>H140+H219</f>
        <v>589.57808</v>
      </c>
      <c r="I220" s="145"/>
      <c r="J220" s="36"/>
      <c r="K220" s="145"/>
      <c r="L220" s="45" t="s">
        <v>197</v>
      </c>
      <c r="M220" s="40"/>
      <c r="N220" s="40"/>
      <c r="O220" s="401">
        <f aca="true" t="shared" si="204" ref="O220:AD220">O139+O218</f>
        <v>117915.61600000004</v>
      </c>
      <c r="P220" s="401">
        <f t="shared" si="204"/>
        <v>122024.67289750668</v>
      </c>
      <c r="Q220" s="401">
        <f t="shared" si="204"/>
        <v>125604.29981771222</v>
      </c>
      <c r="R220" s="401">
        <f t="shared" si="204"/>
        <v>127992.75435720087</v>
      </c>
      <c r="S220" s="401">
        <f t="shared" si="204"/>
        <v>129500.47112195552</v>
      </c>
      <c r="T220" s="401">
        <f t="shared" si="204"/>
        <v>130862.61954189371</v>
      </c>
      <c r="U220" s="401">
        <f t="shared" si="204"/>
        <v>132298.31952726754</v>
      </c>
      <c r="V220" s="401">
        <f t="shared" si="204"/>
        <v>133875.87070547143</v>
      </c>
      <c r="W220" s="401">
        <f t="shared" si="204"/>
        <v>135648.68930122736</v>
      </c>
      <c r="X220" s="401">
        <f t="shared" si="204"/>
        <v>137615.91462538246</v>
      </c>
      <c r="Y220" s="401">
        <f t="shared" si="204"/>
        <v>139737.9562290057</v>
      </c>
      <c r="Z220" s="401">
        <f t="shared" si="204"/>
        <v>141941.37525951132</v>
      </c>
      <c r="AA220" s="401">
        <f t="shared" si="204"/>
        <v>144248.64361222333</v>
      </c>
      <c r="AB220" s="401">
        <f t="shared" si="204"/>
        <v>146685.83544300756</v>
      </c>
      <c r="AC220" s="401">
        <f t="shared" si="204"/>
        <v>149198.28158314718</v>
      </c>
      <c r="AD220" s="401">
        <f t="shared" si="204"/>
        <v>151498.3510056416</v>
      </c>
    </row>
    <row r="221" spans="2:30" ht="13.5" customHeight="1">
      <c r="B221" s="17"/>
      <c r="C221" s="18"/>
      <c r="D221" s="19"/>
      <c r="E221" s="40"/>
      <c r="F221" s="40"/>
      <c r="G221" s="76"/>
      <c r="H221" s="178"/>
      <c r="I221" s="145"/>
      <c r="J221" s="36"/>
      <c r="K221" s="145"/>
      <c r="L221" s="45"/>
      <c r="M221" s="40"/>
      <c r="N221" s="40"/>
      <c r="O221" s="181"/>
      <c r="P221" s="181"/>
      <c r="Q221" s="181"/>
      <c r="R221" s="181"/>
      <c r="S221" s="181"/>
      <c r="T221" s="181"/>
      <c r="U221" s="181"/>
      <c r="V221" s="181"/>
      <c r="W221" s="181"/>
      <c r="X221" s="181"/>
      <c r="Y221" s="181"/>
      <c r="Z221" s="181"/>
      <c r="AA221" s="181"/>
      <c r="AB221" s="181"/>
      <c r="AC221" s="181"/>
      <c r="AD221" s="181"/>
    </row>
    <row r="222" spans="9:30" ht="13.5" customHeight="1">
      <c r="I222" s="145"/>
      <c r="J222" s="36"/>
      <c r="K222" s="145"/>
      <c r="L222" s="40" t="s">
        <v>272</v>
      </c>
      <c r="M222" s="40"/>
      <c r="N222" s="40"/>
      <c r="O222" s="88">
        <f aca="true" t="shared" si="205" ref="O222:AD222">O58-O139-O218</f>
        <v>14186.043999999965</v>
      </c>
      <c r="P222" s="88">
        <f t="shared" si="205"/>
        <v>1208.2582846174773</v>
      </c>
      <c r="Q222" s="88">
        <f t="shared" si="205"/>
        <v>-9845.100750422185</v>
      </c>
      <c r="R222" s="88">
        <f t="shared" si="205"/>
        <v>-17702.49382852295</v>
      </c>
      <c r="S222" s="88">
        <f t="shared" si="205"/>
        <v>-24558.349284651318</v>
      </c>
      <c r="T222" s="88">
        <f t="shared" si="205"/>
        <v>-31696.9267634449</v>
      </c>
      <c r="U222" s="88">
        <f t="shared" si="205"/>
        <v>-38425.8564187204</v>
      </c>
      <c r="V222" s="88">
        <f t="shared" si="205"/>
        <v>-42177.80484721588</v>
      </c>
      <c r="W222" s="88">
        <f t="shared" si="205"/>
        <v>-42896.37023070921</v>
      </c>
      <c r="X222" s="88">
        <f t="shared" si="205"/>
        <v>-42249.926132796696</v>
      </c>
      <c r="Y222" s="88">
        <f t="shared" si="205"/>
        <v>-40791.89953644492</v>
      </c>
      <c r="Z222" s="88">
        <f t="shared" si="205"/>
        <v>-40435.67962201135</v>
      </c>
      <c r="AA222" s="88">
        <f t="shared" si="205"/>
        <v>-38788.180612223354</v>
      </c>
      <c r="AB222" s="88">
        <f t="shared" si="205"/>
        <v>-34634.09350550758</v>
      </c>
      <c r="AC222" s="88">
        <f t="shared" si="205"/>
        <v>-33191.77228314719</v>
      </c>
      <c r="AD222" s="88">
        <f t="shared" si="205"/>
        <v>-26264.05119314164</v>
      </c>
    </row>
    <row r="223" spans="3:30" ht="13.5" customHeight="1">
      <c r="C223" s="2" t="s">
        <v>250</v>
      </c>
      <c r="G223" s="20"/>
      <c r="H223" s="28">
        <f>J57-H220</f>
        <v>70.93021999999996</v>
      </c>
      <c r="I223" s="145"/>
      <c r="J223" s="36"/>
      <c r="K223" s="36"/>
      <c r="L223" s="40" t="s">
        <v>273</v>
      </c>
      <c r="M223" s="40"/>
      <c r="N223" s="40"/>
      <c r="O223" s="88">
        <f aca="true" t="shared" si="206" ref="O223:AD223">O60-O140-O219</f>
        <v>70.93021999999979</v>
      </c>
      <c r="P223" s="88">
        <f t="shared" si="206"/>
        <v>6.071649671444675</v>
      </c>
      <c r="Q223" s="88">
        <f t="shared" si="206"/>
        <v>-49.22550375211091</v>
      </c>
      <c r="R223" s="88">
        <f t="shared" si="206"/>
        <v>-88.51246914261475</v>
      </c>
      <c r="S223" s="88">
        <f t="shared" si="206"/>
        <v>-122.7917464232566</v>
      </c>
      <c r="T223" s="88">
        <f t="shared" si="206"/>
        <v>-158.4846338172245</v>
      </c>
      <c r="U223" s="88">
        <f t="shared" si="206"/>
        <v>-192.12928209360206</v>
      </c>
      <c r="V223" s="88">
        <f t="shared" si="206"/>
        <v>-210.88902423607936</v>
      </c>
      <c r="W223" s="88">
        <f t="shared" si="206"/>
        <v>-214.48185115354602</v>
      </c>
      <c r="X223" s="88">
        <f t="shared" si="206"/>
        <v>-211.24963066398345</v>
      </c>
      <c r="Y223" s="88">
        <f t="shared" si="206"/>
        <v>-203.9594976822246</v>
      </c>
      <c r="Z223" s="88">
        <f t="shared" si="206"/>
        <v>-202.17839811005672</v>
      </c>
      <c r="AA223" s="88">
        <f t="shared" si="206"/>
        <v>-193.94090306111679</v>
      </c>
      <c r="AB223" s="88">
        <f t="shared" si="206"/>
        <v>-173.17046752753794</v>
      </c>
      <c r="AC223" s="88">
        <f t="shared" si="206"/>
        <v>-165.958861415736</v>
      </c>
      <c r="AD223" s="88">
        <f t="shared" si="206"/>
        <v>-131.32025596570816</v>
      </c>
    </row>
    <row r="224" spans="3:30" ht="13.5" customHeight="1">
      <c r="C224" s="2" t="s">
        <v>249</v>
      </c>
      <c r="D224" s="3"/>
      <c r="E224" s="3"/>
      <c r="G224" s="20"/>
      <c r="H224" s="28">
        <f>J66-H220</f>
        <v>137.18021999999996</v>
      </c>
      <c r="I224" s="145"/>
      <c r="J224" s="36"/>
      <c r="K224" s="36"/>
      <c r="L224" s="45"/>
      <c r="M224" s="40"/>
      <c r="N224" s="40"/>
      <c r="O224" s="181"/>
      <c r="P224" s="181"/>
      <c r="Q224" s="181"/>
      <c r="R224" s="181"/>
      <c r="S224" s="181"/>
      <c r="T224" s="181"/>
      <c r="U224" s="181"/>
      <c r="V224" s="181"/>
      <c r="W224" s="181"/>
      <c r="X224" s="181"/>
      <c r="Y224" s="181"/>
      <c r="Z224" s="181"/>
      <c r="AA224" s="181"/>
      <c r="AB224" s="181"/>
      <c r="AC224" s="181"/>
      <c r="AD224" s="181"/>
    </row>
    <row r="225" spans="2:30" ht="13.5" customHeight="1">
      <c r="B225" s="2"/>
      <c r="C225" s="3"/>
      <c r="D225" s="3"/>
      <c r="E225" s="3"/>
      <c r="G225" s="20"/>
      <c r="H225" s="28"/>
      <c r="I225" s="145"/>
      <c r="J225" s="36"/>
      <c r="K225" s="36"/>
      <c r="L225" s="45"/>
      <c r="M225" s="40"/>
      <c r="N225" s="40"/>
      <c r="O225" s="60">
        <f aca="true" t="shared" si="207" ref="O225:AD225">O19</f>
        <v>2005</v>
      </c>
      <c r="P225" s="60">
        <f t="shared" si="207"/>
        <v>2006</v>
      </c>
      <c r="Q225" s="60">
        <f t="shared" si="207"/>
        <v>2007</v>
      </c>
      <c r="R225" s="60">
        <f t="shared" si="207"/>
        <v>2008</v>
      </c>
      <c r="S225" s="60">
        <f t="shared" si="207"/>
        <v>2009</v>
      </c>
      <c r="T225" s="60">
        <f t="shared" si="207"/>
        <v>2010</v>
      </c>
      <c r="U225" s="60">
        <f t="shared" si="207"/>
        <v>2011</v>
      </c>
      <c r="V225" s="60">
        <f t="shared" si="207"/>
        <v>2012</v>
      </c>
      <c r="W225" s="60">
        <f t="shared" si="207"/>
        <v>2013</v>
      </c>
      <c r="X225" s="60">
        <f t="shared" si="207"/>
        <v>2014</v>
      </c>
      <c r="Y225" s="60">
        <f t="shared" si="207"/>
        <v>2015</v>
      </c>
      <c r="Z225" s="60">
        <f t="shared" si="207"/>
        <v>2016</v>
      </c>
      <c r="AA225" s="60">
        <f t="shared" si="207"/>
        <v>2017</v>
      </c>
      <c r="AB225" s="60">
        <f t="shared" si="207"/>
        <v>2018</v>
      </c>
      <c r="AC225" s="60">
        <f t="shared" si="207"/>
        <v>2019</v>
      </c>
      <c r="AD225" s="60">
        <f t="shared" si="207"/>
        <v>2020</v>
      </c>
    </row>
    <row r="226" spans="2:30" ht="13.5" customHeight="1">
      <c r="B226" s="2"/>
      <c r="C226" s="3"/>
      <c r="D226" s="3"/>
      <c r="E226" s="3"/>
      <c r="G226" s="20"/>
      <c r="H226" s="28"/>
      <c r="I226" s="145"/>
      <c r="J226" s="36"/>
      <c r="K226" s="36"/>
      <c r="L226" s="45"/>
      <c r="M226" s="40"/>
      <c r="N226" s="40"/>
      <c r="O226" s="117" t="str">
        <f aca="true" t="shared" si="208" ref="O226:AD226">O20</f>
        <v>Base Year = Yr 0</v>
      </c>
      <c r="P226" s="62" t="str">
        <f t="shared" si="208"/>
        <v>Year 1</v>
      </c>
      <c r="Q226" s="62" t="str">
        <f t="shared" si="208"/>
        <v>Year 2</v>
      </c>
      <c r="R226" s="62" t="str">
        <f t="shared" si="208"/>
        <v>Year 3</v>
      </c>
      <c r="S226" s="62" t="str">
        <f t="shared" si="208"/>
        <v>Year 4</v>
      </c>
      <c r="T226" s="62" t="str">
        <f t="shared" si="208"/>
        <v>Year 5</v>
      </c>
      <c r="U226" s="62" t="str">
        <f t="shared" si="208"/>
        <v>Year 6</v>
      </c>
      <c r="V226" s="62" t="str">
        <f t="shared" si="208"/>
        <v>Year 7</v>
      </c>
      <c r="W226" s="62" t="str">
        <f t="shared" si="208"/>
        <v>Year 8</v>
      </c>
      <c r="X226" s="62" t="str">
        <f t="shared" si="208"/>
        <v>Year 9</v>
      </c>
      <c r="Y226" s="62" t="str">
        <f t="shared" si="208"/>
        <v>Year 10</v>
      </c>
      <c r="Z226" s="62" t="str">
        <f t="shared" si="208"/>
        <v>Year 11</v>
      </c>
      <c r="AA226" s="62" t="str">
        <f t="shared" si="208"/>
        <v>Year 12</v>
      </c>
      <c r="AB226" s="62" t="str">
        <f t="shared" si="208"/>
        <v>Year 13</v>
      </c>
      <c r="AC226" s="62" t="str">
        <f t="shared" si="208"/>
        <v>Year 14</v>
      </c>
      <c r="AD226" s="62" t="str">
        <f t="shared" si="208"/>
        <v>Year 15</v>
      </c>
    </row>
    <row r="227" spans="2:30" ht="13.5" customHeight="1">
      <c r="B227" s="17"/>
      <c r="C227" s="18"/>
      <c r="D227" s="19"/>
      <c r="E227" s="40"/>
      <c r="F227" s="40"/>
      <c r="G227" s="76"/>
      <c r="H227" s="178"/>
      <c r="I227" s="145"/>
      <c r="J227" s="36"/>
      <c r="K227" s="36"/>
      <c r="L227" s="45" t="s">
        <v>254</v>
      </c>
      <c r="M227" s="40"/>
      <c r="N227" s="40"/>
      <c r="O227" s="181"/>
      <c r="P227" s="181"/>
      <c r="Q227" s="181"/>
      <c r="R227" s="181"/>
      <c r="S227" s="181"/>
      <c r="T227" s="181"/>
      <c r="U227" s="181"/>
      <c r="V227" s="181"/>
      <c r="W227" s="181"/>
      <c r="X227" s="181"/>
      <c r="Y227" s="181"/>
      <c r="Z227" s="181"/>
      <c r="AA227" s="181"/>
      <c r="AB227" s="181"/>
      <c r="AC227" s="181"/>
      <c r="AD227" s="181"/>
    </row>
    <row r="228" spans="9:30" ht="13.5" customHeight="1">
      <c r="I228" s="92"/>
      <c r="J228" s="36"/>
      <c r="L228" s="552" t="s">
        <v>278</v>
      </c>
      <c r="M228" s="552"/>
      <c r="N228" s="552"/>
      <c r="O228" s="88"/>
      <c r="P228" s="88">
        <f aca="true" t="shared" si="209" ref="P228:AD228">AV63</f>
        <v>0</v>
      </c>
      <c r="Q228" s="88">
        <f t="shared" si="209"/>
        <v>0</v>
      </c>
      <c r="R228" s="88">
        <f t="shared" si="209"/>
        <v>0</v>
      </c>
      <c r="S228" s="88">
        <f t="shared" si="209"/>
        <v>0</v>
      </c>
      <c r="T228" s="88">
        <f t="shared" si="209"/>
        <v>0</v>
      </c>
      <c r="U228" s="88">
        <f t="shared" si="209"/>
        <v>0</v>
      </c>
      <c r="V228" s="88">
        <f t="shared" si="209"/>
        <v>0</v>
      </c>
      <c r="W228" s="88">
        <f t="shared" si="209"/>
        <v>0</v>
      </c>
      <c r="X228" s="88">
        <f t="shared" si="209"/>
        <v>0</v>
      </c>
      <c r="Y228" s="88">
        <f t="shared" si="209"/>
        <v>0</v>
      </c>
      <c r="Z228" s="88">
        <f t="shared" si="209"/>
        <v>0</v>
      </c>
      <c r="AA228" s="88">
        <f t="shared" si="209"/>
        <v>0</v>
      </c>
      <c r="AB228" s="88">
        <f t="shared" si="209"/>
        <v>0</v>
      </c>
      <c r="AC228" s="88">
        <f t="shared" si="209"/>
        <v>0</v>
      </c>
      <c r="AD228" s="88">
        <f t="shared" si="209"/>
        <v>0</v>
      </c>
    </row>
    <row r="229" spans="2:30" ht="13.5" customHeight="1">
      <c r="B229" s="36"/>
      <c r="G229" s="36"/>
      <c r="H229" s="36"/>
      <c r="I229" s="36"/>
      <c r="J229" s="36"/>
      <c r="K229" s="36"/>
      <c r="L229" s="552" t="s">
        <v>404</v>
      </c>
      <c r="M229" s="552"/>
      <c r="N229" s="552"/>
      <c r="O229" s="72"/>
      <c r="P229" s="88">
        <f aca="true" t="shared" si="210" ref="P229:AD229">AV134</f>
        <v>1655.0694026125782</v>
      </c>
      <c r="Q229" s="88">
        <f t="shared" si="210"/>
        <v>3307.347560922204</v>
      </c>
      <c r="R229" s="88">
        <f t="shared" si="210"/>
        <v>5002.69826274846</v>
      </c>
      <c r="S229" s="88">
        <f t="shared" si="210"/>
        <v>4718.208725662058</v>
      </c>
      <c r="T229" s="88">
        <f t="shared" si="210"/>
        <v>4482.4833780276185</v>
      </c>
      <c r="U229" s="88">
        <f t="shared" si="210"/>
        <v>4248.924546121358</v>
      </c>
      <c r="V229" s="88">
        <f t="shared" si="210"/>
        <v>4057.1146977830404</v>
      </c>
      <c r="W229" s="88">
        <f t="shared" si="210"/>
        <v>3959.792564868083</v>
      </c>
      <c r="X229" s="88">
        <f t="shared" si="210"/>
        <v>3976.4131930465087</v>
      </c>
      <c r="Y229" s="88">
        <f t="shared" si="210"/>
        <v>4077.068581808281</v>
      </c>
      <c r="Z229" s="88">
        <f t="shared" si="210"/>
        <v>4201.601250908628</v>
      </c>
      <c r="AA229" s="88">
        <f t="shared" si="210"/>
        <v>4344.8442646141075</v>
      </c>
      <c r="AB229" s="88">
        <f t="shared" si="210"/>
        <v>4527.3875159413965</v>
      </c>
      <c r="AC229" s="88">
        <f t="shared" si="210"/>
        <v>4733.580360197828</v>
      </c>
      <c r="AD229" s="88">
        <f t="shared" si="210"/>
        <v>5012.380828330584</v>
      </c>
    </row>
    <row r="230" spans="2:30" ht="13.5" customHeight="1">
      <c r="B230" s="36"/>
      <c r="C230" s="36"/>
      <c r="E230" s="74"/>
      <c r="F230" s="36"/>
      <c r="G230" s="36"/>
      <c r="H230" s="36"/>
      <c r="I230" s="36"/>
      <c r="J230" s="36"/>
      <c r="K230" s="36"/>
      <c r="L230" s="40" t="s">
        <v>243</v>
      </c>
      <c r="M230" s="40"/>
      <c r="N230" s="40"/>
      <c r="O230" s="495" t="s">
        <v>409</v>
      </c>
      <c r="P230" s="88">
        <f>AP28</f>
        <v>0</v>
      </c>
      <c r="Q230" s="88">
        <f>AP29</f>
        <v>0</v>
      </c>
      <c r="R230" s="88">
        <f>AP30</f>
        <v>0</v>
      </c>
      <c r="S230" s="88">
        <f>AP31</f>
        <v>0</v>
      </c>
      <c r="T230" s="88">
        <f>AP32</f>
        <v>0</v>
      </c>
      <c r="U230" s="88">
        <f>AP33</f>
        <v>0</v>
      </c>
      <c r="V230" s="88">
        <f>AP34</f>
        <v>0</v>
      </c>
      <c r="W230" s="88">
        <f>AP35</f>
        <v>0</v>
      </c>
      <c r="X230" s="88">
        <f>AP36</f>
        <v>0</v>
      </c>
      <c r="Y230" s="88">
        <f>AP37</f>
        <v>0</v>
      </c>
      <c r="Z230" s="88">
        <f>AP38</f>
        <v>0</v>
      </c>
      <c r="AA230" s="88">
        <f>AP39</f>
        <v>0</v>
      </c>
      <c r="AB230" s="88">
        <f>AP40</f>
        <v>0</v>
      </c>
      <c r="AC230" s="88">
        <f>AP41</f>
        <v>0</v>
      </c>
      <c r="AD230" s="88">
        <f>AP42</f>
        <v>0</v>
      </c>
    </row>
    <row r="231" spans="2:30" ht="13.5" customHeight="1" thickBot="1">
      <c r="B231" s="36"/>
      <c r="C231" s="36"/>
      <c r="E231" s="74"/>
      <c r="F231" s="36"/>
      <c r="G231" s="36"/>
      <c r="H231" s="36"/>
      <c r="I231" s="36"/>
      <c r="J231" s="36"/>
      <c r="K231" s="36"/>
      <c r="L231" s="40" t="s">
        <v>244</v>
      </c>
      <c r="M231" s="40"/>
      <c r="N231" s="40"/>
      <c r="O231" s="186"/>
      <c r="P231" s="183">
        <f>AP99</f>
        <v>1773.6275408197264</v>
      </c>
      <c r="Q231" s="183">
        <f>AP100</f>
        <v>1646.4824225258246</v>
      </c>
      <c r="R231" s="183">
        <f>AP101</f>
        <v>1568.6958513828724</v>
      </c>
      <c r="S231" s="183">
        <f>AP102</f>
        <v>1492.6274575141617</v>
      </c>
      <c r="T231" s="183">
        <f>AP103</f>
        <v>1410.4673442185938</v>
      </c>
      <c r="U231" s="183">
        <f>AP104</f>
        <v>1335.1799400199934</v>
      </c>
      <c r="V231" s="183">
        <f>AP105</f>
        <v>1304.2527490836387</v>
      </c>
      <c r="W231" s="183">
        <f>AP106</f>
        <v>1319.24775074975</v>
      </c>
      <c r="X231" s="183">
        <f>AP107</f>
        <v>1356.4228590469843</v>
      </c>
      <c r="Y231" s="183">
        <f>AP108</f>
        <v>1407.3433855381538</v>
      </c>
      <c r="Z231" s="183">
        <f>AP109</f>
        <v>1443.75</v>
      </c>
      <c r="AA231" s="183">
        <f>AP110</f>
        <v>1500</v>
      </c>
      <c r="AB231" s="183">
        <f>AP111</f>
        <v>1593.75</v>
      </c>
      <c r="AC231" s="183">
        <f>AP112</f>
        <v>1650</v>
      </c>
      <c r="AD231" s="183">
        <f>AP113</f>
        <v>1781.25</v>
      </c>
    </row>
    <row r="232" spans="2:30" ht="13.5" customHeight="1" thickTop="1">
      <c r="B232" s="36"/>
      <c r="G232" s="36"/>
      <c r="H232" s="36"/>
      <c r="I232" s="36"/>
      <c r="J232" s="36"/>
      <c r="K232" s="36"/>
      <c r="M232" s="40"/>
      <c r="N232" s="40"/>
      <c r="O232" s="208" t="s">
        <v>420</v>
      </c>
      <c r="P232" s="201">
        <f aca="true" t="shared" si="211" ref="P232:AD232">SUM(P228:P231)</f>
        <v>3428.6969434323046</v>
      </c>
      <c r="Q232" s="201">
        <f t="shared" si="211"/>
        <v>4953.8299834480285</v>
      </c>
      <c r="R232" s="201">
        <f t="shared" si="211"/>
        <v>6571.394114131333</v>
      </c>
      <c r="S232" s="201">
        <f t="shared" si="211"/>
        <v>6210.8361831762195</v>
      </c>
      <c r="T232" s="201">
        <f t="shared" si="211"/>
        <v>5892.9507222462125</v>
      </c>
      <c r="U232" s="201">
        <f t="shared" si="211"/>
        <v>5584.104486141351</v>
      </c>
      <c r="V232" s="201">
        <f t="shared" si="211"/>
        <v>5361.3674468666795</v>
      </c>
      <c r="W232" s="201">
        <f t="shared" si="211"/>
        <v>5279.040315617833</v>
      </c>
      <c r="X232" s="201">
        <f t="shared" si="211"/>
        <v>5332.836052093493</v>
      </c>
      <c r="Y232" s="201">
        <f t="shared" si="211"/>
        <v>5484.411967346435</v>
      </c>
      <c r="Z232" s="201">
        <f t="shared" si="211"/>
        <v>5645.351250908628</v>
      </c>
      <c r="AA232" s="201">
        <f t="shared" si="211"/>
        <v>5844.8442646141075</v>
      </c>
      <c r="AB232" s="201">
        <f t="shared" si="211"/>
        <v>6121.1375159413965</v>
      </c>
      <c r="AC232" s="201">
        <f t="shared" si="211"/>
        <v>6383.580360197828</v>
      </c>
      <c r="AD232" s="201">
        <f t="shared" si="211"/>
        <v>6793.630828330584</v>
      </c>
    </row>
    <row r="233" spans="2:30" ht="13.5" customHeight="1">
      <c r="B233" s="36"/>
      <c r="G233" s="36"/>
      <c r="H233" s="36"/>
      <c r="I233" s="36"/>
      <c r="J233" s="36"/>
      <c r="K233" s="36"/>
      <c r="L233" s="40" t="s">
        <v>255</v>
      </c>
      <c r="M233" s="40"/>
      <c r="N233" s="40"/>
      <c r="O233" s="40"/>
      <c r="P233" s="182">
        <f aca="true" t="shared" si="212" ref="P233:AD233">P143-P232</f>
        <v>67769.19733751971</v>
      </c>
      <c r="Q233" s="182">
        <f t="shared" si="212"/>
        <v>56750.38609532233</v>
      </c>
      <c r="R233" s="182">
        <f t="shared" si="212"/>
        <v>47962.39318386905</v>
      </c>
      <c r="S233" s="182">
        <f t="shared" si="212"/>
        <v>41359.8637398539</v>
      </c>
      <c r="T233" s="182">
        <f t="shared" si="212"/>
        <v>34234.16024065069</v>
      </c>
      <c r="U233" s="182">
        <f t="shared" si="212"/>
        <v>27530.88939502965</v>
      </c>
      <c r="V233" s="182">
        <f t="shared" si="212"/>
        <v>23797.919160225283</v>
      </c>
      <c r="W233" s="182">
        <f t="shared" si="212"/>
        <v>23082.46859027445</v>
      </c>
      <c r="X233" s="182">
        <f t="shared" si="212"/>
        <v>23719.92243291816</v>
      </c>
      <c r="Y233" s="182">
        <f t="shared" si="212"/>
        <v>25159.02231243865</v>
      </c>
      <c r="Z233" s="182">
        <f t="shared" si="212"/>
        <v>25508.56408025787</v>
      </c>
      <c r="AA233" s="182">
        <f t="shared" si="212"/>
        <v>27150.644366503122</v>
      </c>
      <c r="AB233" s="182">
        <f t="shared" si="212"/>
        <v>31280.00631658252</v>
      </c>
      <c r="AC233" s="182">
        <f t="shared" si="212"/>
        <v>32723.020366287237</v>
      </c>
      <c r="AD233" s="182">
        <f t="shared" si="212"/>
        <v>39211.729113373876</v>
      </c>
    </row>
    <row r="234" spans="2:50" ht="13.5" customHeight="1">
      <c r="B234" s="36"/>
      <c r="G234" s="36"/>
      <c r="H234" s="36"/>
      <c r="I234" s="36"/>
      <c r="J234" s="36"/>
      <c r="K234" s="36"/>
      <c r="L234" s="40" t="s">
        <v>269</v>
      </c>
      <c r="M234" s="40"/>
      <c r="N234" s="40"/>
      <c r="P234" s="88">
        <f>P222-P232</f>
        <v>-2220.4386588148272</v>
      </c>
      <c r="Q234" s="88">
        <f aca="true" t="shared" si="213" ref="Q234:AD234">Q222-Q232</f>
        <v>-14798.930733870213</v>
      </c>
      <c r="R234" s="88">
        <f t="shared" si="213"/>
        <v>-24273.887942654284</v>
      </c>
      <c r="S234" s="88">
        <f t="shared" si="213"/>
        <v>-30769.185467827538</v>
      </c>
      <c r="T234" s="88">
        <f t="shared" si="213"/>
        <v>-37589.87748569111</v>
      </c>
      <c r="U234" s="88">
        <f t="shared" si="213"/>
        <v>-44009.96090486176</v>
      </c>
      <c r="V234" s="88">
        <f t="shared" si="213"/>
        <v>-47539.17229408256</v>
      </c>
      <c r="W234" s="88">
        <f t="shared" si="213"/>
        <v>-48175.41054632704</v>
      </c>
      <c r="X234" s="88">
        <f t="shared" si="213"/>
        <v>-47582.76218489019</v>
      </c>
      <c r="Y234" s="88">
        <f t="shared" si="213"/>
        <v>-46276.31150379136</v>
      </c>
      <c r="Z234" s="88">
        <f t="shared" si="213"/>
        <v>-46081.030872919975</v>
      </c>
      <c r="AA234" s="88">
        <f t="shared" si="213"/>
        <v>-44633.02487683746</v>
      </c>
      <c r="AB234" s="88">
        <f t="shared" si="213"/>
        <v>-40755.23102144898</v>
      </c>
      <c r="AC234" s="88">
        <f t="shared" si="213"/>
        <v>-39575.35264334502</v>
      </c>
      <c r="AD234" s="88">
        <f t="shared" si="213"/>
        <v>-33057.682021472225</v>
      </c>
      <c r="AF234"/>
      <c r="AG234"/>
      <c r="AH234"/>
      <c r="AI234"/>
      <c r="AJ234"/>
      <c r="AK234"/>
      <c r="AL234"/>
      <c r="AM234"/>
      <c r="AN234"/>
      <c r="AO234"/>
      <c r="AP234"/>
      <c r="AQ234"/>
      <c r="AR234"/>
      <c r="AS234"/>
      <c r="AT234"/>
      <c r="AU234"/>
      <c r="AV234"/>
      <c r="AW234"/>
      <c r="AX234"/>
    </row>
    <row r="235" spans="2:50" ht="13.5" customHeight="1">
      <c r="B235" s="36"/>
      <c r="G235" s="36"/>
      <c r="H235" s="36"/>
      <c r="I235" s="36"/>
      <c r="J235" s="36"/>
      <c r="K235" s="36"/>
      <c r="L235" s="40"/>
      <c r="M235" s="40"/>
      <c r="N235" s="40"/>
      <c r="P235" s="88"/>
      <c r="Q235" s="88"/>
      <c r="R235" s="88"/>
      <c r="S235" s="88"/>
      <c r="T235" s="88"/>
      <c r="U235" s="88"/>
      <c r="V235" s="88"/>
      <c r="W235" s="88"/>
      <c r="X235" s="88"/>
      <c r="Y235" s="88"/>
      <c r="Z235" s="88"/>
      <c r="AA235" s="88"/>
      <c r="AB235" s="88"/>
      <c r="AC235" s="88"/>
      <c r="AD235" s="88"/>
      <c r="AF235"/>
      <c r="AG235"/>
      <c r="AH235"/>
      <c r="AI235"/>
      <c r="AJ235"/>
      <c r="AK235"/>
      <c r="AL235"/>
      <c r="AM235"/>
      <c r="AN235"/>
      <c r="AO235"/>
      <c r="AP235"/>
      <c r="AQ235"/>
      <c r="AR235"/>
      <c r="AS235"/>
      <c r="AT235"/>
      <c r="AU235"/>
      <c r="AV235"/>
      <c r="AW235"/>
      <c r="AX235"/>
    </row>
    <row r="236" spans="2:50" ht="16.5" customHeight="1">
      <c r="B236" s="36"/>
      <c r="C236" s="36"/>
      <c r="D236" s="36"/>
      <c r="E236" s="36"/>
      <c r="F236" s="36"/>
      <c r="G236" s="36"/>
      <c r="H236" s="36"/>
      <c r="I236" s="36"/>
      <c r="J236" s="36"/>
      <c r="K236" s="36"/>
      <c r="L236" s="534" t="s">
        <v>453</v>
      </c>
      <c r="M236" s="258"/>
      <c r="N236" s="258"/>
      <c r="O236" s="117">
        <f aca="true" t="shared" si="214" ref="O236:AD236">O19</f>
        <v>2005</v>
      </c>
      <c r="P236" s="390">
        <f t="shared" si="214"/>
        <v>2006</v>
      </c>
      <c r="Q236" s="390">
        <f t="shared" si="214"/>
        <v>2007</v>
      </c>
      <c r="R236" s="390">
        <f t="shared" si="214"/>
        <v>2008</v>
      </c>
      <c r="S236" s="390">
        <f t="shared" si="214"/>
        <v>2009</v>
      </c>
      <c r="T236" s="390">
        <f t="shared" si="214"/>
        <v>2010</v>
      </c>
      <c r="U236" s="390">
        <f t="shared" si="214"/>
        <v>2011</v>
      </c>
      <c r="V236" s="390">
        <f t="shared" si="214"/>
        <v>2012</v>
      </c>
      <c r="W236" s="390">
        <f t="shared" si="214"/>
        <v>2013</v>
      </c>
      <c r="X236" s="390">
        <f t="shared" si="214"/>
        <v>2014</v>
      </c>
      <c r="Y236" s="390">
        <f t="shared" si="214"/>
        <v>2015</v>
      </c>
      <c r="Z236" s="390">
        <f t="shared" si="214"/>
        <v>2016</v>
      </c>
      <c r="AA236" s="390">
        <f t="shared" si="214"/>
        <v>2017</v>
      </c>
      <c r="AB236" s="390">
        <f t="shared" si="214"/>
        <v>2018</v>
      </c>
      <c r="AC236" s="390">
        <f t="shared" si="214"/>
        <v>2019</v>
      </c>
      <c r="AD236" s="390">
        <f t="shared" si="214"/>
        <v>2020</v>
      </c>
      <c r="AF236"/>
      <c r="AG236"/>
      <c r="AH236"/>
      <c r="AI236"/>
      <c r="AJ236"/>
      <c r="AK236"/>
      <c r="AL236"/>
      <c r="AM236"/>
      <c r="AN236"/>
      <c r="AO236"/>
      <c r="AP236"/>
      <c r="AQ236"/>
      <c r="AR236"/>
      <c r="AS236"/>
      <c r="AT236"/>
      <c r="AU236"/>
      <c r="AV236"/>
      <c r="AW236"/>
      <c r="AX236"/>
    </row>
    <row r="237" spans="2:50" ht="13.5" customHeight="1">
      <c r="B237" s="36"/>
      <c r="C237" s="36"/>
      <c r="D237" s="36"/>
      <c r="E237" s="36"/>
      <c r="F237" s="36"/>
      <c r="G237" s="36"/>
      <c r="H237" s="36"/>
      <c r="I237" s="36"/>
      <c r="J237" s="36"/>
      <c r="K237" s="36"/>
      <c r="L237" s="202" t="s">
        <v>256</v>
      </c>
      <c r="M237" s="92"/>
      <c r="N237" s="92"/>
      <c r="O237" s="41"/>
      <c r="P237" s="202"/>
      <c r="Q237" s="202"/>
      <c r="R237" s="202"/>
      <c r="S237" s="202"/>
      <c r="T237" s="202"/>
      <c r="U237" s="202"/>
      <c r="V237" s="202"/>
      <c r="W237" s="202"/>
      <c r="X237" s="202"/>
      <c r="Y237" s="202"/>
      <c r="Z237" s="202"/>
      <c r="AA237" s="202"/>
      <c r="AB237" s="202"/>
      <c r="AC237" s="202"/>
      <c r="AD237" s="202"/>
      <c r="AF237"/>
      <c r="AG237"/>
      <c r="AH237"/>
      <c r="AI237"/>
      <c r="AJ237"/>
      <c r="AK237"/>
      <c r="AL237"/>
      <c r="AM237"/>
      <c r="AN237"/>
      <c r="AO237"/>
      <c r="AP237"/>
      <c r="AQ237"/>
      <c r="AR237"/>
      <c r="AS237"/>
      <c r="AT237"/>
      <c r="AU237"/>
      <c r="AV237"/>
      <c r="AW237"/>
      <c r="AX237"/>
    </row>
    <row r="238" spans="2:50" ht="13.5" customHeight="1">
      <c r="B238" s="36"/>
      <c r="C238" s="36"/>
      <c r="D238" s="36"/>
      <c r="E238" s="36"/>
      <c r="F238" s="36"/>
      <c r="G238" s="36"/>
      <c r="H238" s="36"/>
      <c r="I238" s="36"/>
      <c r="J238" s="36"/>
      <c r="K238" s="36"/>
      <c r="L238" s="205" t="s">
        <v>267</v>
      </c>
      <c r="M238" s="92"/>
      <c r="N238" s="92"/>
      <c r="O238" s="182">
        <f>O58*$O$47</f>
        <v>132101.66</v>
      </c>
      <c r="P238" s="182">
        <f aca="true" t="shared" si="215" ref="P238:AD238">P58*P47</f>
        <v>117364.69636392778</v>
      </c>
      <c r="Q238" s="182">
        <f t="shared" si="215"/>
        <v>104997.00595672565</v>
      </c>
      <c r="R238" s="182">
        <f t="shared" si="215"/>
        <v>95272.87379650396</v>
      </c>
      <c r="S238" s="182">
        <f t="shared" si="215"/>
        <v>86336.14334546136</v>
      </c>
      <c r="T238" s="182">
        <f t="shared" si="215"/>
        <v>77698.91510788695</v>
      </c>
      <c r="U238" s="182">
        <f t="shared" si="215"/>
        <v>70049.07729180169</v>
      </c>
      <c r="V238" s="182">
        <f t="shared" si="215"/>
        <v>65168.10341450454</v>
      </c>
      <c r="W238" s="182">
        <f t="shared" si="215"/>
        <v>62778.42046637074</v>
      </c>
      <c r="X238" s="182">
        <f t="shared" si="215"/>
        <v>61473.76648624464</v>
      </c>
      <c r="Y238" s="182">
        <f t="shared" si="215"/>
        <v>60744.295589158406</v>
      </c>
      <c r="Z238" s="182">
        <f t="shared" si="215"/>
        <v>59348.277963557775</v>
      </c>
      <c r="AA238" s="182">
        <f t="shared" si="215"/>
        <v>58724.331936730036</v>
      </c>
      <c r="AB238" s="182">
        <f t="shared" si="215"/>
        <v>59423.43112645299</v>
      </c>
      <c r="AC238" s="182">
        <f t="shared" si="215"/>
        <v>58591.17018630661</v>
      </c>
      <c r="AD238" s="182">
        <f t="shared" si="215"/>
        <v>60239.83947726327</v>
      </c>
      <c r="AF238"/>
      <c r="AG238"/>
      <c r="AH238"/>
      <c r="AI238"/>
      <c r="AJ238"/>
      <c r="AK238"/>
      <c r="AL238"/>
      <c r="AM238"/>
      <c r="AN238"/>
      <c r="AO238"/>
      <c r="AP238"/>
      <c r="AQ238"/>
      <c r="AR238"/>
      <c r="AS238"/>
      <c r="AT238"/>
      <c r="AU238"/>
      <c r="AV238"/>
      <c r="AW238"/>
      <c r="AX238"/>
    </row>
    <row r="239" spans="2:50" ht="13.5" customHeight="1">
      <c r="B239" s="36"/>
      <c r="C239" s="36"/>
      <c r="D239" s="36"/>
      <c r="E239" s="36"/>
      <c r="F239" s="36"/>
      <c r="G239" s="36"/>
      <c r="H239" s="36"/>
      <c r="I239" s="36"/>
      <c r="J239" s="36"/>
      <c r="K239" s="36"/>
      <c r="L239" s="205" t="s">
        <v>257</v>
      </c>
      <c r="M239" s="92"/>
      <c r="N239" s="92"/>
      <c r="O239" s="182">
        <f>$O$47*O139</f>
        <v>50575.616</v>
      </c>
      <c r="P239" s="182">
        <f aca="true" t="shared" si="216" ref="P239:AD239">P47*P139</f>
        <v>49557.17800111632</v>
      </c>
      <c r="Q239" s="182">
        <f t="shared" si="216"/>
        <v>49029.46302813577</v>
      </c>
      <c r="R239" s="182">
        <f t="shared" si="216"/>
        <v>48164.53793817301</v>
      </c>
      <c r="S239" s="182">
        <f t="shared" si="216"/>
        <v>47199.61079120249</v>
      </c>
      <c r="T239" s="182">
        <f t="shared" si="216"/>
        <v>46258.27368367386</v>
      </c>
      <c r="U239" s="182">
        <f t="shared" si="216"/>
        <v>45338.158998144165</v>
      </c>
      <c r="V239" s="182">
        <f t="shared" si="216"/>
        <v>44445.14282293099</v>
      </c>
      <c r="W239" s="182">
        <f t="shared" si="216"/>
        <v>43582.23487233568</v>
      </c>
      <c r="X239" s="182">
        <f t="shared" si="216"/>
        <v>42746.099326083866</v>
      </c>
      <c r="Y239" s="182">
        <f t="shared" si="216"/>
        <v>41931.88515079311</v>
      </c>
      <c r="Z239" s="182">
        <f t="shared" si="216"/>
        <v>41133.22889547228</v>
      </c>
      <c r="AA239" s="182">
        <f t="shared" si="216"/>
        <v>40351.2092358717</v>
      </c>
      <c r="AB239" s="182">
        <f t="shared" si="216"/>
        <v>39588.80601350997</v>
      </c>
      <c r="AC239" s="182">
        <f t="shared" si="216"/>
        <v>38839.679408767726</v>
      </c>
      <c r="AD239" s="182">
        <f t="shared" si="216"/>
        <v>38110.47474147402</v>
      </c>
      <c r="AF239"/>
      <c r="AG239"/>
      <c r="AH239"/>
      <c r="AI239"/>
      <c r="AJ239"/>
      <c r="AK239"/>
      <c r="AL239"/>
      <c r="AM239"/>
      <c r="AN239"/>
      <c r="AO239"/>
      <c r="AP239"/>
      <c r="AQ239"/>
      <c r="AR239"/>
      <c r="AS239"/>
      <c r="AT239"/>
      <c r="AU239"/>
      <c r="AV239"/>
      <c r="AW239"/>
      <c r="AX239"/>
    </row>
    <row r="240" spans="2:50" ht="13.5" customHeight="1">
      <c r="B240" s="36"/>
      <c r="C240" s="36"/>
      <c r="D240" s="36"/>
      <c r="E240" s="36"/>
      <c r="F240" s="36"/>
      <c r="G240" s="36"/>
      <c r="H240" s="36"/>
      <c r="I240" s="36"/>
      <c r="J240" s="36"/>
      <c r="K240" s="36"/>
      <c r="L240" s="206" t="s">
        <v>258</v>
      </c>
      <c r="M240" s="41"/>
      <c r="N240" s="41"/>
      <c r="O240" s="182">
        <f aca="true" t="shared" si="217" ref="O240:AD240">O238-O239</f>
        <v>81526.044</v>
      </c>
      <c r="P240" s="182">
        <f t="shared" si="217"/>
        <v>67807.51836281146</v>
      </c>
      <c r="Q240" s="182">
        <f t="shared" si="217"/>
        <v>55967.542928589886</v>
      </c>
      <c r="R240" s="182">
        <f t="shared" si="217"/>
        <v>47108.33585833095</v>
      </c>
      <c r="S240" s="182">
        <f t="shared" si="217"/>
        <v>39136.53255425887</v>
      </c>
      <c r="T240" s="182">
        <f t="shared" si="217"/>
        <v>31440.641424213085</v>
      </c>
      <c r="U240" s="182">
        <f t="shared" si="217"/>
        <v>24710.918293657523</v>
      </c>
      <c r="V240" s="182">
        <f t="shared" si="217"/>
        <v>20722.960591573552</v>
      </c>
      <c r="W240" s="182">
        <f t="shared" si="217"/>
        <v>19196.185594035065</v>
      </c>
      <c r="X240" s="182">
        <f t="shared" si="217"/>
        <v>18727.667160160774</v>
      </c>
      <c r="Y240" s="182">
        <f t="shared" si="217"/>
        <v>18812.410438365296</v>
      </c>
      <c r="Z240" s="182">
        <f t="shared" si="217"/>
        <v>18215.049068085493</v>
      </c>
      <c r="AA240" s="182">
        <f t="shared" si="217"/>
        <v>18373.122700858337</v>
      </c>
      <c r="AB240" s="182">
        <f t="shared" si="217"/>
        <v>19834.625112943017</v>
      </c>
      <c r="AC240" s="182">
        <f t="shared" si="217"/>
        <v>19751.490777538886</v>
      </c>
      <c r="AD240" s="182">
        <f t="shared" si="217"/>
        <v>22129.364735789248</v>
      </c>
      <c r="AF240"/>
      <c r="AG240"/>
      <c r="AH240"/>
      <c r="AI240"/>
      <c r="AJ240"/>
      <c r="AK240"/>
      <c r="AL240"/>
      <c r="AM240"/>
      <c r="AN240"/>
      <c r="AO240"/>
      <c r="AP240"/>
      <c r="AQ240"/>
      <c r="AR240"/>
      <c r="AS240"/>
      <c r="AT240"/>
      <c r="AU240"/>
      <c r="AV240"/>
      <c r="AW240"/>
      <c r="AX240"/>
    </row>
    <row r="241" spans="2:50" ht="13.5" customHeight="1">
      <c r="B241" s="36"/>
      <c r="C241" s="36"/>
      <c r="D241" s="36"/>
      <c r="E241" s="36"/>
      <c r="F241" s="36"/>
      <c r="G241" s="36"/>
      <c r="H241" s="36"/>
      <c r="I241" s="36"/>
      <c r="J241" s="36"/>
      <c r="K241" s="36"/>
      <c r="L241" s="205" t="s">
        <v>435</v>
      </c>
      <c r="M241" s="41"/>
      <c r="N241" s="41"/>
      <c r="O241" s="182">
        <f>O220*$O$47</f>
        <v>117915.61600000004</v>
      </c>
      <c r="P241" s="182">
        <f aca="true" t="shared" si="218" ref="P241:AD241">P220*P47</f>
        <v>116213.9741881016</v>
      </c>
      <c r="Q241" s="182">
        <f t="shared" si="218"/>
        <v>113926.80255574804</v>
      </c>
      <c r="R241" s="182">
        <f t="shared" si="218"/>
        <v>110564.95355335351</v>
      </c>
      <c r="S241" s="182">
        <f t="shared" si="218"/>
        <v>106540.35807874745</v>
      </c>
      <c r="T241" s="182">
        <f t="shared" si="218"/>
        <v>102534.28662368043</v>
      </c>
      <c r="U241" s="182">
        <f t="shared" si="218"/>
        <v>98723.04298039924</v>
      </c>
      <c r="V241" s="182">
        <f t="shared" si="218"/>
        <v>95143.0818652926</v>
      </c>
      <c r="W241" s="182">
        <f t="shared" si="218"/>
        <v>91812.37232667035</v>
      </c>
      <c r="X241" s="182">
        <f t="shared" si="218"/>
        <v>88708.4455809887</v>
      </c>
      <c r="Y241" s="182">
        <f t="shared" si="218"/>
        <v>85786.9833516851</v>
      </c>
      <c r="Z241" s="182">
        <f t="shared" si="218"/>
        <v>82990.18237868231</v>
      </c>
      <c r="AA241" s="182">
        <f t="shared" si="218"/>
        <v>80323.04228464534</v>
      </c>
      <c r="AB241" s="182">
        <f t="shared" si="218"/>
        <v>77790.6303726692</v>
      </c>
      <c r="AC241" s="182">
        <f t="shared" si="218"/>
        <v>75355.27066964917</v>
      </c>
      <c r="AD241" s="182">
        <f t="shared" si="218"/>
        <v>72873.29716630094</v>
      </c>
      <c r="AE241" s="40"/>
      <c r="AF241"/>
      <c r="AG241"/>
      <c r="AH241"/>
      <c r="AI241"/>
      <c r="AJ241"/>
      <c r="AK241"/>
      <c r="AL241"/>
      <c r="AM241"/>
      <c r="AN241"/>
      <c r="AO241"/>
      <c r="AP241"/>
      <c r="AQ241"/>
      <c r="AR241"/>
      <c r="AS241"/>
      <c r="AT241"/>
      <c r="AU241"/>
      <c r="AV241"/>
      <c r="AW241"/>
      <c r="AX241"/>
    </row>
    <row r="242" spans="2:50" ht="13.5" customHeight="1">
      <c r="B242" s="36"/>
      <c r="C242" s="36"/>
      <c r="D242" s="36"/>
      <c r="E242" s="36"/>
      <c r="F242" s="36"/>
      <c r="G242" s="36"/>
      <c r="H242" s="36"/>
      <c r="I242" s="36"/>
      <c r="J242" s="36"/>
      <c r="K242" s="36"/>
      <c r="L242" s="205" t="s">
        <v>268</v>
      </c>
      <c r="O242" s="182">
        <f>$O$47*O220</f>
        <v>117915.61600000004</v>
      </c>
      <c r="P242" s="182">
        <f aca="true" t="shared" si="219" ref="P242:AD242">P47*(P220+P232)</f>
        <v>119479.39984851332</v>
      </c>
      <c r="Q242" s="182">
        <f t="shared" si="219"/>
        <v>118420.07238200476</v>
      </c>
      <c r="R242" s="182">
        <f t="shared" si="219"/>
        <v>116241.57086390861</v>
      </c>
      <c r="S242" s="182">
        <f t="shared" si="219"/>
        <v>111650.0283771735</v>
      </c>
      <c r="T242" s="182">
        <f t="shared" si="219"/>
        <v>107151.56771226952</v>
      </c>
      <c r="U242" s="182">
        <f t="shared" si="219"/>
        <v>102889.98772438559</v>
      </c>
      <c r="V242" s="182">
        <f t="shared" si="219"/>
        <v>98953.30561374815</v>
      </c>
      <c r="W242" s="182">
        <f t="shared" si="219"/>
        <v>95385.43460601683</v>
      </c>
      <c r="X242" s="182">
        <f t="shared" si="219"/>
        <v>92146.03924889588</v>
      </c>
      <c r="Y242" s="182">
        <f t="shared" si="219"/>
        <v>89153.93654631665</v>
      </c>
      <c r="Z242" s="182">
        <f t="shared" si="219"/>
        <v>86290.9023347068</v>
      </c>
      <c r="AA242" s="182">
        <f t="shared" si="219"/>
        <v>83577.67027460298</v>
      </c>
      <c r="AB242" s="182">
        <f t="shared" si="219"/>
        <v>81036.80028760883</v>
      </c>
      <c r="AC242" s="182">
        <f t="shared" si="219"/>
        <v>78579.41253495669</v>
      </c>
      <c r="AD242" s="182">
        <f t="shared" si="219"/>
        <v>76141.14975284587</v>
      </c>
      <c r="AE242" s="40"/>
      <c r="AF242"/>
      <c r="AG242"/>
      <c r="AH242"/>
      <c r="AI242"/>
      <c r="AJ242"/>
      <c r="AK242"/>
      <c r="AL242"/>
      <c r="AM242"/>
      <c r="AN242"/>
      <c r="AO242"/>
      <c r="AP242"/>
      <c r="AQ242"/>
      <c r="AR242"/>
      <c r="AS242"/>
      <c r="AT242"/>
      <c r="AU242"/>
      <c r="AV242"/>
      <c r="AW242"/>
      <c r="AX242"/>
    </row>
    <row r="243" spans="2:50" ht="13.5" customHeight="1">
      <c r="B243" s="36"/>
      <c r="C243" s="36"/>
      <c r="D243" s="36"/>
      <c r="E243" s="36"/>
      <c r="F243" s="36"/>
      <c r="G243" s="36"/>
      <c r="H243" s="36"/>
      <c r="I243" s="36"/>
      <c r="J243" s="36"/>
      <c r="K243" s="36"/>
      <c r="L243" s="206" t="s">
        <v>436</v>
      </c>
      <c r="M243" s="41"/>
      <c r="N243" s="41"/>
      <c r="O243" s="182">
        <f>$O$47*O222</f>
        <v>14186.043999999965</v>
      </c>
      <c r="P243" s="182">
        <f aca="true" t="shared" si="220" ref="P243:AD243">P47*P222</f>
        <v>1150.7221758261687</v>
      </c>
      <c r="Q243" s="182">
        <f t="shared" si="220"/>
        <v>-8929.79659902239</v>
      </c>
      <c r="R243" s="182">
        <f t="shared" si="220"/>
        <v>-15292.07975684954</v>
      </c>
      <c r="S243" s="182">
        <f t="shared" si="220"/>
        <v>-20204.214733286084</v>
      </c>
      <c r="T243" s="182">
        <f t="shared" si="220"/>
        <v>-24835.37151579348</v>
      </c>
      <c r="U243" s="182">
        <f t="shared" si="220"/>
        <v>-28673.96568859755</v>
      </c>
      <c r="V243" s="182">
        <f t="shared" si="220"/>
        <v>-29974.978450788065</v>
      </c>
      <c r="W243" s="182">
        <f t="shared" si="220"/>
        <v>-29033.951860299592</v>
      </c>
      <c r="X243" s="182">
        <f t="shared" si="220"/>
        <v>-27234.679094744068</v>
      </c>
      <c r="Y243" s="182">
        <f t="shared" si="220"/>
        <v>-25042.687762526693</v>
      </c>
      <c r="Z243" s="182">
        <f t="shared" si="220"/>
        <v>-23641.90441512454</v>
      </c>
      <c r="AA243" s="182">
        <f t="shared" si="220"/>
        <v>-21598.710347915323</v>
      </c>
      <c r="AB243" s="182">
        <f t="shared" si="220"/>
        <v>-18367.19924621621</v>
      </c>
      <c r="AC243" s="182">
        <f t="shared" si="220"/>
        <v>-16764.10048334255</v>
      </c>
      <c r="AD243" s="182">
        <f t="shared" si="220"/>
        <v>-12633.457689037676</v>
      </c>
      <c r="AE243" s="40"/>
      <c r="AF243"/>
      <c r="AG243"/>
      <c r="AH243"/>
      <c r="AI243"/>
      <c r="AJ243"/>
      <c r="AK243"/>
      <c r="AL243"/>
      <c r="AM243"/>
      <c r="AN243"/>
      <c r="AO243"/>
      <c r="AP243"/>
      <c r="AQ243"/>
      <c r="AR243"/>
      <c r="AS243"/>
      <c r="AT243"/>
      <c r="AU243"/>
      <c r="AV243"/>
      <c r="AW243"/>
      <c r="AX243"/>
    </row>
    <row r="244" spans="2:50" ht="13.5" customHeight="1">
      <c r="B244" s="36"/>
      <c r="C244" s="36"/>
      <c r="D244" s="36"/>
      <c r="E244" s="36"/>
      <c r="F244" s="36"/>
      <c r="G244" s="36"/>
      <c r="H244" s="36"/>
      <c r="I244" s="36"/>
      <c r="J244" s="36"/>
      <c r="K244" s="36"/>
      <c r="L244" s="206" t="s">
        <v>270</v>
      </c>
      <c r="O244" s="182">
        <f>$O$47*O222</f>
        <v>14186.043999999965</v>
      </c>
      <c r="P244" s="182">
        <f aca="true" t="shared" si="221" ref="P244:AD244">P47*P234</f>
        <v>-2114.7034845855496</v>
      </c>
      <c r="Q244" s="182">
        <f t="shared" si="221"/>
        <v>-13423.066425279103</v>
      </c>
      <c r="R244" s="182">
        <f t="shared" si="221"/>
        <v>-20968.697067404628</v>
      </c>
      <c r="S244" s="182">
        <f t="shared" si="221"/>
        <v>-25313.885031712125</v>
      </c>
      <c r="T244" s="182">
        <f t="shared" si="221"/>
        <v>-29452.65260438259</v>
      </c>
      <c r="U244" s="182">
        <f t="shared" si="221"/>
        <v>-32840.91043258389</v>
      </c>
      <c r="V244" s="182">
        <f t="shared" si="221"/>
        <v>-33785.20219924361</v>
      </c>
      <c r="W244" s="182">
        <f t="shared" si="221"/>
        <v>-32607.014139646082</v>
      </c>
      <c r="X244" s="182">
        <f t="shared" si="221"/>
        <v>-30672.272762651253</v>
      </c>
      <c r="Y244" s="182">
        <f t="shared" si="221"/>
        <v>-28409.640957158223</v>
      </c>
      <c r="Z244" s="182">
        <f t="shared" si="221"/>
        <v>-26942.624371149024</v>
      </c>
      <c r="AA244" s="182">
        <f t="shared" si="221"/>
        <v>-24853.338337872956</v>
      </c>
      <c r="AB244" s="182">
        <f t="shared" si="221"/>
        <v>-21613.36916115583</v>
      </c>
      <c r="AC244" s="182">
        <f t="shared" si="221"/>
        <v>-19988.242348650067</v>
      </c>
      <c r="AD244" s="182">
        <f t="shared" si="221"/>
        <v>-15901.310275582608</v>
      </c>
      <c r="AE244" s="40"/>
      <c r="AF244"/>
      <c r="AG244"/>
      <c r="AH244"/>
      <c r="AI244"/>
      <c r="AJ244"/>
      <c r="AK244"/>
      <c r="AL244"/>
      <c r="AM244"/>
      <c r="AN244"/>
      <c r="AO244"/>
      <c r="AP244"/>
      <c r="AQ244"/>
      <c r="AR244"/>
      <c r="AS244"/>
      <c r="AT244"/>
      <c r="AU244"/>
      <c r="AV244"/>
      <c r="AW244"/>
      <c r="AX244"/>
    </row>
    <row r="245" spans="2:50" ht="13.5" customHeight="1">
      <c r="B245" s="36"/>
      <c r="C245" s="36"/>
      <c r="D245" s="36"/>
      <c r="E245" s="36"/>
      <c r="F245" s="36"/>
      <c r="G245" s="36"/>
      <c r="H245" s="36"/>
      <c r="I245" s="36"/>
      <c r="J245" s="36"/>
      <c r="K245" s="36"/>
      <c r="L245" s="205"/>
      <c r="M245" s="92"/>
      <c r="N245" s="92"/>
      <c r="O245" s="508"/>
      <c r="P245" s="508"/>
      <c r="Q245" s="508"/>
      <c r="R245" s="508"/>
      <c r="S245" s="508"/>
      <c r="T245" s="508"/>
      <c r="U245" s="508"/>
      <c r="V245" s="508"/>
      <c r="W245" s="508"/>
      <c r="X245" s="508"/>
      <c r="Y245" s="508"/>
      <c r="Z245" s="508"/>
      <c r="AA245" s="508"/>
      <c r="AB245" s="508"/>
      <c r="AC245" s="508"/>
      <c r="AD245" s="508"/>
      <c r="AE245" s="40"/>
      <c r="AF245"/>
      <c r="AG245"/>
      <c r="AH245"/>
      <c r="AI245"/>
      <c r="AJ245"/>
      <c r="AK245"/>
      <c r="AL245"/>
      <c r="AM245"/>
      <c r="AN245"/>
      <c r="AO245"/>
      <c r="AP245"/>
      <c r="AQ245"/>
      <c r="AR245"/>
      <c r="AS245"/>
      <c r="AT245"/>
      <c r="AU245"/>
      <c r="AV245"/>
      <c r="AW245"/>
      <c r="AX245"/>
    </row>
    <row r="246" spans="2:50" ht="13.5" customHeight="1">
      <c r="B246" s="36"/>
      <c r="C246" s="36"/>
      <c r="D246" s="36"/>
      <c r="E246" s="36"/>
      <c r="F246" s="36"/>
      <c r="G246" s="36"/>
      <c r="H246" s="36"/>
      <c r="I246" s="36"/>
      <c r="J246" s="36"/>
      <c r="K246" s="36"/>
      <c r="L246" s="207" t="s">
        <v>263</v>
      </c>
      <c r="M246" s="92"/>
      <c r="N246" s="92"/>
      <c r="O246" s="182"/>
      <c r="P246" s="182">
        <f>O238+P238</f>
        <v>249466.35636392777</v>
      </c>
      <c r="Q246" s="182">
        <f aca="true" t="shared" si="222" ref="Q246:AD246">P246+Q238</f>
        <v>354463.3623206534</v>
      </c>
      <c r="R246" s="182">
        <f t="shared" si="222"/>
        <v>449736.2361171574</v>
      </c>
      <c r="S246" s="182">
        <f t="shared" si="222"/>
        <v>536072.3794626187</v>
      </c>
      <c r="T246" s="182">
        <f t="shared" si="222"/>
        <v>613771.2945705056</v>
      </c>
      <c r="U246" s="182">
        <f t="shared" si="222"/>
        <v>683820.3718623073</v>
      </c>
      <c r="V246" s="182">
        <f t="shared" si="222"/>
        <v>748988.4752768119</v>
      </c>
      <c r="W246" s="182">
        <f t="shared" si="222"/>
        <v>811766.8957431826</v>
      </c>
      <c r="X246" s="182">
        <f t="shared" si="222"/>
        <v>873240.6622294273</v>
      </c>
      <c r="Y246" s="182">
        <f t="shared" si="222"/>
        <v>933984.9578185857</v>
      </c>
      <c r="Z246" s="182">
        <f t="shared" si="222"/>
        <v>993333.2357821434</v>
      </c>
      <c r="AA246" s="182">
        <f t="shared" si="222"/>
        <v>1052057.5677188735</v>
      </c>
      <c r="AB246" s="182">
        <f t="shared" si="222"/>
        <v>1111480.9988453265</v>
      </c>
      <c r="AC246" s="182">
        <f t="shared" si="222"/>
        <v>1170072.169031633</v>
      </c>
      <c r="AD246" s="182">
        <f t="shared" si="222"/>
        <v>1230312.0085088962</v>
      </c>
      <c r="AF246"/>
      <c r="AG246"/>
      <c r="AH246"/>
      <c r="AI246"/>
      <c r="AJ246"/>
      <c r="AK246"/>
      <c r="AL246"/>
      <c r="AM246"/>
      <c r="AN246"/>
      <c r="AO246"/>
      <c r="AP246"/>
      <c r="AQ246"/>
      <c r="AR246"/>
      <c r="AS246"/>
      <c r="AT246"/>
      <c r="AU246"/>
      <c r="AV246"/>
      <c r="AW246"/>
      <c r="AX246"/>
    </row>
    <row r="247" spans="2:50" ht="13.5" customHeight="1">
      <c r="B247" s="36"/>
      <c r="C247" s="36"/>
      <c r="D247" s="36"/>
      <c r="E247" s="36"/>
      <c r="F247" s="36"/>
      <c r="G247" s="36"/>
      <c r="H247" s="36"/>
      <c r="I247" s="36"/>
      <c r="J247" s="36"/>
      <c r="K247" s="36"/>
      <c r="L247" s="207" t="s">
        <v>259</v>
      </c>
      <c r="M247" s="41"/>
      <c r="N247" s="41"/>
      <c r="O247" s="203"/>
      <c r="P247" s="198">
        <f>O240+P240</f>
        <v>149333.56236281147</v>
      </c>
      <c r="Q247" s="198">
        <f aca="true" t="shared" si="223" ref="Q247:AD247">P247+Q240</f>
        <v>205301.10529140136</v>
      </c>
      <c r="R247" s="198">
        <f t="shared" si="223"/>
        <v>252409.4411497323</v>
      </c>
      <c r="S247" s="198">
        <f t="shared" si="223"/>
        <v>291545.97370399116</v>
      </c>
      <c r="T247" s="198">
        <f t="shared" si="223"/>
        <v>322986.6151282042</v>
      </c>
      <c r="U247" s="198">
        <f t="shared" si="223"/>
        <v>347697.53342186176</v>
      </c>
      <c r="V247" s="198">
        <f t="shared" si="223"/>
        <v>368420.4940134353</v>
      </c>
      <c r="W247" s="198">
        <f t="shared" si="223"/>
        <v>387616.6796074704</v>
      </c>
      <c r="X247" s="198">
        <f t="shared" si="223"/>
        <v>406344.3467676312</v>
      </c>
      <c r="Y247" s="198">
        <f t="shared" si="223"/>
        <v>425156.7572059965</v>
      </c>
      <c r="Z247" s="198">
        <f t="shared" si="223"/>
        <v>443371.806274082</v>
      </c>
      <c r="AA247" s="198">
        <f t="shared" si="223"/>
        <v>461744.9289749403</v>
      </c>
      <c r="AB247" s="198">
        <f t="shared" si="223"/>
        <v>481579.5540878833</v>
      </c>
      <c r="AC247" s="198">
        <f t="shared" si="223"/>
        <v>501331.0448654222</v>
      </c>
      <c r="AD247" s="198">
        <f t="shared" si="223"/>
        <v>523460.40960121143</v>
      </c>
      <c r="AF247"/>
      <c r="AG247"/>
      <c r="AH247"/>
      <c r="AI247"/>
      <c r="AJ247"/>
      <c r="AK247"/>
      <c r="AL247"/>
      <c r="AM247"/>
      <c r="AN247"/>
      <c r="AO247"/>
      <c r="AP247"/>
      <c r="AQ247"/>
      <c r="AR247"/>
      <c r="AS247"/>
      <c r="AT247"/>
      <c r="AU247"/>
      <c r="AV247"/>
      <c r="AW247"/>
      <c r="AX247"/>
    </row>
    <row r="248" spans="2:50" ht="13.5" customHeight="1">
      <c r="B248" s="36"/>
      <c r="C248" s="36"/>
      <c r="D248" s="36"/>
      <c r="E248" s="36"/>
      <c r="F248" s="36"/>
      <c r="G248" s="36"/>
      <c r="H248" s="36"/>
      <c r="I248" s="36"/>
      <c r="J248" s="36"/>
      <c r="K248" s="36"/>
      <c r="L248" s="207" t="s">
        <v>437</v>
      </c>
      <c r="M248" s="41"/>
      <c r="N248" s="41"/>
      <c r="O248" s="203"/>
      <c r="P248" s="182">
        <f>O243+P243</f>
        <v>15336.766175826135</v>
      </c>
      <c r="Q248" s="182">
        <f aca="true" t="shared" si="224" ref="Q248:AD248">P248+Q243</f>
        <v>6406.969576803745</v>
      </c>
      <c r="R248" s="182">
        <f t="shared" si="224"/>
        <v>-8885.110180045795</v>
      </c>
      <c r="S248" s="182">
        <f t="shared" si="224"/>
        <v>-29089.32491333188</v>
      </c>
      <c r="T248" s="182">
        <f t="shared" si="224"/>
        <v>-53924.69642912535</v>
      </c>
      <c r="U248" s="182">
        <f t="shared" si="224"/>
        <v>-82598.66211772291</v>
      </c>
      <c r="V248" s="182">
        <f t="shared" si="224"/>
        <v>-112573.64056851098</v>
      </c>
      <c r="W248" s="182">
        <f t="shared" si="224"/>
        <v>-141607.59242881057</v>
      </c>
      <c r="X248" s="182">
        <f t="shared" si="224"/>
        <v>-168842.27152355463</v>
      </c>
      <c r="Y248" s="182">
        <f t="shared" si="224"/>
        <v>-193884.9592860813</v>
      </c>
      <c r="Z248" s="182">
        <f t="shared" si="224"/>
        <v>-217526.86370120585</v>
      </c>
      <c r="AA248" s="182">
        <f t="shared" si="224"/>
        <v>-239125.57404912118</v>
      </c>
      <c r="AB248" s="182">
        <f t="shared" si="224"/>
        <v>-257492.7732953374</v>
      </c>
      <c r="AC248" s="182">
        <f t="shared" si="224"/>
        <v>-274256.87377867993</v>
      </c>
      <c r="AD248" s="182">
        <f t="shared" si="224"/>
        <v>-286890.3314677176</v>
      </c>
      <c r="AF248"/>
      <c r="AG248"/>
      <c r="AH248"/>
      <c r="AI248"/>
      <c r="AJ248"/>
      <c r="AK248"/>
      <c r="AL248"/>
      <c r="AM248"/>
      <c r="AN248"/>
      <c r="AO248"/>
      <c r="AP248"/>
      <c r="AQ248"/>
      <c r="AR248"/>
      <c r="AS248"/>
      <c r="AT248"/>
      <c r="AU248"/>
      <c r="AV248"/>
      <c r="AW248"/>
      <c r="AX248"/>
    </row>
    <row r="249" spans="2:30" ht="13.5" customHeight="1">
      <c r="B249" s="36"/>
      <c r="C249" s="36"/>
      <c r="D249" s="36"/>
      <c r="E249" s="36"/>
      <c r="F249" s="36"/>
      <c r="G249" s="36"/>
      <c r="H249" s="36"/>
      <c r="I249" s="36"/>
      <c r="J249" s="36"/>
      <c r="K249" s="36"/>
      <c r="L249" s="207" t="s">
        <v>271</v>
      </c>
      <c r="P249" s="182">
        <f>O244+P244</f>
        <v>12071.340515414417</v>
      </c>
      <c r="Q249" s="182">
        <f aca="true" t="shared" si="225" ref="Q249:AD249">P249+Q244</f>
        <v>-1351.7259098646864</v>
      </c>
      <c r="R249" s="182">
        <f t="shared" si="225"/>
        <v>-22320.422977269314</v>
      </c>
      <c r="S249" s="182">
        <f t="shared" si="225"/>
        <v>-47634.30800898144</v>
      </c>
      <c r="T249" s="182">
        <f t="shared" si="225"/>
        <v>-77086.96061336403</v>
      </c>
      <c r="U249" s="182">
        <f t="shared" si="225"/>
        <v>-109927.87104594792</v>
      </c>
      <c r="V249" s="182">
        <f t="shared" si="225"/>
        <v>-143713.07324519154</v>
      </c>
      <c r="W249" s="182">
        <f t="shared" si="225"/>
        <v>-176320.08738483762</v>
      </c>
      <c r="X249" s="182">
        <f t="shared" si="225"/>
        <v>-206992.3601474889</v>
      </c>
      <c r="Y249" s="182">
        <f t="shared" si="225"/>
        <v>-235402.00110464712</v>
      </c>
      <c r="Z249" s="182">
        <f t="shared" si="225"/>
        <v>-262344.6254757962</v>
      </c>
      <c r="AA249" s="182">
        <f t="shared" si="225"/>
        <v>-287197.9638136691</v>
      </c>
      <c r="AB249" s="182">
        <f t="shared" si="225"/>
        <v>-308811.33297482494</v>
      </c>
      <c r="AC249" s="182">
        <f t="shared" si="225"/>
        <v>-328799.575323475</v>
      </c>
      <c r="AD249" s="182">
        <f t="shared" si="225"/>
        <v>-344700.8855990576</v>
      </c>
    </row>
    <row r="250" spans="2:30" ht="13.5" customHeight="1">
      <c r="B250" s="36"/>
      <c r="C250" s="36"/>
      <c r="D250" s="36"/>
      <c r="E250" s="36"/>
      <c r="F250" s="36"/>
      <c r="G250" s="36"/>
      <c r="H250" s="36"/>
      <c r="I250" s="36"/>
      <c r="J250" s="36"/>
      <c r="K250" s="36"/>
      <c r="L250" s="207"/>
      <c r="P250" s="182"/>
      <c r="Q250" s="182"/>
      <c r="R250" s="182"/>
      <c r="S250" s="182"/>
      <c r="T250" s="182"/>
      <c r="U250" s="182"/>
      <c r="V250" s="182"/>
      <c r="W250" s="182"/>
      <c r="X250" s="182"/>
      <c r="Y250" s="182"/>
      <c r="Z250" s="182"/>
      <c r="AA250" s="182"/>
      <c r="AB250" s="182"/>
      <c r="AC250" s="182"/>
      <c r="AD250" s="182"/>
    </row>
    <row r="251" spans="2:30" ht="13.5" customHeight="1">
      <c r="B251" s="36"/>
      <c r="C251" s="36"/>
      <c r="D251" s="36"/>
      <c r="E251" s="36"/>
      <c r="F251" s="36"/>
      <c r="G251" s="36"/>
      <c r="H251" s="36"/>
      <c r="I251" s="36"/>
      <c r="J251" s="36"/>
      <c r="K251" s="36"/>
      <c r="L251" s="517" t="s">
        <v>444</v>
      </c>
      <c r="M251" s="382"/>
      <c r="N251" s="383"/>
      <c r="O251" s="518">
        <v>2005</v>
      </c>
      <c r="P251" s="518">
        <v>2006</v>
      </c>
      <c r="Q251" s="518">
        <v>2007</v>
      </c>
      <c r="R251" s="518">
        <v>2008</v>
      </c>
      <c r="S251" s="518">
        <v>2009</v>
      </c>
      <c r="T251" s="518">
        <v>2010</v>
      </c>
      <c r="U251" s="518">
        <v>2011</v>
      </c>
      <c r="V251" s="518">
        <v>2012</v>
      </c>
      <c r="W251" s="518">
        <v>2013</v>
      </c>
      <c r="X251" s="518">
        <v>2014</v>
      </c>
      <c r="Y251" s="518">
        <v>2015</v>
      </c>
      <c r="Z251" s="518">
        <v>2016</v>
      </c>
      <c r="AA251" s="518">
        <v>2017</v>
      </c>
      <c r="AB251" s="518">
        <v>2018</v>
      </c>
      <c r="AC251" s="518">
        <v>2019</v>
      </c>
      <c r="AD251" s="518">
        <v>2020</v>
      </c>
    </row>
    <row r="252" spans="2:30" ht="13.5" customHeight="1">
      <c r="B252" s="36"/>
      <c r="C252" s="36"/>
      <c r="D252" s="36"/>
      <c r="E252" s="36"/>
      <c r="F252" s="36"/>
      <c r="G252" s="36"/>
      <c r="H252" s="36"/>
      <c r="I252" s="36"/>
      <c r="J252" s="36"/>
      <c r="K252" s="36"/>
      <c r="L252" s="494" t="s">
        <v>283</v>
      </c>
      <c r="M252" s="40"/>
      <c r="N252" s="40"/>
      <c r="O252" s="507">
        <f>O238/O25</f>
        <v>660.5083</v>
      </c>
      <c r="P252" s="507">
        <f>IF(P25+P30=0,P238,P238/(P25+P30))</f>
        <v>589.7723435373256</v>
      </c>
      <c r="Q252" s="507">
        <f>IF(Q25+Q30=0,Q238,Q238/(Q25+Q30))</f>
        <v>524.9850297836283</v>
      </c>
      <c r="R252" s="507">
        <f>IF(R25+R30=0,R238,R238/(R25+R30))</f>
        <v>476.3643689825198</v>
      </c>
      <c r="S252" s="507">
        <f aca="true" t="shared" si="226" ref="S252:AD252">IF(S25+S30=0,S238,S238/(S25+S30))</f>
        <v>431.6807167273068</v>
      </c>
      <c r="T252" s="507">
        <f t="shared" si="226"/>
        <v>388.4945755394347</v>
      </c>
      <c r="U252" s="507">
        <f t="shared" si="226"/>
        <v>350.24538645900844</v>
      </c>
      <c r="V252" s="507">
        <f t="shared" si="226"/>
        <v>325.8405170725227</v>
      </c>
      <c r="W252" s="507">
        <f t="shared" si="226"/>
        <v>313.8921023318537</v>
      </c>
      <c r="X252" s="507">
        <f t="shared" si="226"/>
        <v>307.3688324312232</v>
      </c>
      <c r="Y252" s="507">
        <f t="shared" si="226"/>
        <v>303.721477945792</v>
      </c>
      <c r="Z252" s="507">
        <f t="shared" si="226"/>
        <v>296.7413898177889</v>
      </c>
      <c r="AA252" s="507">
        <f t="shared" si="226"/>
        <v>293.6216596836502</v>
      </c>
      <c r="AB252" s="507">
        <f t="shared" si="226"/>
        <v>297.11715563226494</v>
      </c>
      <c r="AC252" s="507">
        <f t="shared" si="226"/>
        <v>292.95585093153306</v>
      </c>
      <c r="AD252" s="507">
        <f t="shared" si="226"/>
        <v>301.1991973863163</v>
      </c>
    </row>
    <row r="253" spans="2:30" ht="13.5" customHeight="1">
      <c r="B253" s="36"/>
      <c r="C253" s="36"/>
      <c r="D253" s="36"/>
      <c r="E253" s="36"/>
      <c r="F253" s="36"/>
      <c r="G253" s="36"/>
      <c r="H253" s="36"/>
      <c r="I253" s="36"/>
      <c r="J253" s="36"/>
      <c r="K253" s="36"/>
      <c r="L253" s="515" t="s">
        <v>251</v>
      </c>
      <c r="M253" s="40"/>
      <c r="N253" s="40"/>
      <c r="O253" s="507">
        <f>O239/O25</f>
        <v>252.87808</v>
      </c>
      <c r="P253" s="507">
        <f>IF(P25+P30=0,P239,P239/(P25+P30))</f>
        <v>249.0310452317403</v>
      </c>
      <c r="Q253" s="507">
        <f>IF(Q25+Q30=0,Q239,Q239/(Q25+Q30))</f>
        <v>245.14731514067884</v>
      </c>
      <c r="R253" s="507">
        <f>IF(R25+R30=0,R239,R239/(R25+R30))</f>
        <v>240.82268969086505</v>
      </c>
      <c r="S253" s="507">
        <f aca="true" t="shared" si="227" ref="S253:AD253">IF(S25+S30=0,S239,S239/(S25+S30))</f>
        <v>235.99805395601246</v>
      </c>
      <c r="T253" s="507">
        <f t="shared" si="227"/>
        <v>231.2913684183693</v>
      </c>
      <c r="U253" s="507">
        <f t="shared" si="227"/>
        <v>226.69079499072083</v>
      </c>
      <c r="V253" s="507">
        <f t="shared" si="227"/>
        <v>222.22571411465495</v>
      </c>
      <c r="W253" s="507">
        <f t="shared" si="227"/>
        <v>217.91117436167838</v>
      </c>
      <c r="X253" s="507">
        <f t="shared" si="227"/>
        <v>213.73049663041934</v>
      </c>
      <c r="Y253" s="507">
        <f t="shared" si="227"/>
        <v>209.65942575396556</v>
      </c>
      <c r="Z253" s="507">
        <f t="shared" si="227"/>
        <v>205.6661444773614</v>
      </c>
      <c r="AA253" s="507">
        <f t="shared" si="227"/>
        <v>201.7560461793585</v>
      </c>
      <c r="AB253" s="507">
        <f t="shared" si="227"/>
        <v>197.94403006754987</v>
      </c>
      <c r="AC253" s="507">
        <f t="shared" si="227"/>
        <v>194.19839704383864</v>
      </c>
      <c r="AD253" s="507">
        <f t="shared" si="227"/>
        <v>190.5523737073701</v>
      </c>
    </row>
    <row r="254" spans="2:30" ht="13.5" customHeight="1">
      <c r="B254" s="36"/>
      <c r="C254" s="36"/>
      <c r="D254" s="36"/>
      <c r="E254" s="36"/>
      <c r="F254" s="36"/>
      <c r="G254" s="36"/>
      <c r="H254" s="36"/>
      <c r="I254" s="36"/>
      <c r="J254" s="36"/>
      <c r="K254" s="36"/>
      <c r="L254" s="510" t="s">
        <v>443</v>
      </c>
      <c r="M254" s="511"/>
      <c r="N254" s="511"/>
      <c r="O254" s="512">
        <f>O252-O253</f>
        <v>407.63021999999995</v>
      </c>
      <c r="P254" s="512">
        <f>P252-P253</f>
        <v>340.74129830558525</v>
      </c>
      <c r="Q254" s="512">
        <f>Q252-Q253</f>
        <v>279.83771464294944</v>
      </c>
      <c r="R254" s="512">
        <f>R252-R253</f>
        <v>235.54167929165476</v>
      </c>
      <c r="S254" s="512">
        <f aca="true" t="shared" si="228" ref="S254:AD254">S252-S253</f>
        <v>195.68266277129433</v>
      </c>
      <c r="T254" s="512">
        <f t="shared" si="228"/>
        <v>157.20320712106542</v>
      </c>
      <c r="U254" s="512">
        <f t="shared" si="228"/>
        <v>123.55459146828761</v>
      </c>
      <c r="V254" s="512">
        <f t="shared" si="228"/>
        <v>103.61480295786774</v>
      </c>
      <c r="W254" s="512">
        <f t="shared" si="228"/>
        <v>95.98092797017534</v>
      </c>
      <c r="X254" s="512">
        <f t="shared" si="228"/>
        <v>93.63833580080387</v>
      </c>
      <c r="Y254" s="512">
        <f t="shared" si="228"/>
        <v>94.06205219182644</v>
      </c>
      <c r="Z254" s="512">
        <f t="shared" si="228"/>
        <v>91.0752453404275</v>
      </c>
      <c r="AA254" s="512">
        <f t="shared" si="228"/>
        <v>91.8656135042917</v>
      </c>
      <c r="AB254" s="512">
        <f t="shared" si="228"/>
        <v>99.17312556471506</v>
      </c>
      <c r="AC254" s="512">
        <f t="shared" si="228"/>
        <v>98.75745388769442</v>
      </c>
      <c r="AD254" s="512">
        <f t="shared" si="228"/>
        <v>110.64682367894622</v>
      </c>
    </row>
    <row r="255" spans="2:30" ht="13.5" customHeight="1">
      <c r="B255" s="36"/>
      <c r="C255" s="36"/>
      <c r="D255" s="36"/>
      <c r="E255" s="36"/>
      <c r="F255" s="36"/>
      <c r="G255" s="36"/>
      <c r="H255" s="36"/>
      <c r="I255" s="36"/>
      <c r="J255" s="36"/>
      <c r="K255" s="36"/>
      <c r="L255" s="494" t="s">
        <v>438</v>
      </c>
      <c r="M255" s="92"/>
      <c r="N255" s="92"/>
      <c r="O255" s="507">
        <f>($G$166+$G$167+$G$183+$G$184+$G$202+$G$215)/O25</f>
        <v>65</v>
      </c>
      <c r="P255" s="507">
        <f>IF(P25+P30=0,P217,P217/(P25+P30))*P47</f>
        <v>62.21584111031348</v>
      </c>
      <c r="Q255" s="507">
        <f>IF(Q25+Q30=0,Q217,Q217/(Q25+Q30))*Q47</f>
        <v>58.95691609977324</v>
      </c>
      <c r="R255" s="507">
        <f>IF(R25+R30=0,R217,R217/(R25+R30))*R47</f>
        <v>56.14944390454594</v>
      </c>
      <c r="S255" s="507">
        <f aca="true" t="shared" si="229" ref="S255:AD255">IF(S25+S30=0,S217,S217/(S25+S30))*S47</f>
        <v>53.47566086147233</v>
      </c>
      <c r="T255" s="507">
        <f t="shared" si="229"/>
        <v>50.929200820449836</v>
      </c>
      <c r="U255" s="507">
        <f t="shared" si="229"/>
        <v>48.504000781380796</v>
      </c>
      <c r="V255" s="507">
        <f t="shared" si="229"/>
        <v>46.194286458457896</v>
      </c>
      <c r="W255" s="507">
        <f t="shared" si="229"/>
        <v>43.99455853186467</v>
      </c>
      <c r="X255" s="507">
        <f t="shared" si="229"/>
        <v>41.89957955415682</v>
      </c>
      <c r="Y255" s="507">
        <f t="shared" si="229"/>
        <v>39.904361480149355</v>
      </c>
      <c r="Z255" s="507">
        <f t="shared" si="229"/>
        <v>38.00415379061843</v>
      </c>
      <c r="AA255" s="507">
        <f t="shared" si="229"/>
        <v>36.194432181541366</v>
      </c>
      <c r="AB255" s="507">
        <f t="shared" si="229"/>
        <v>34.47088779194415</v>
      </c>
      <c r="AC255" s="507">
        <f t="shared" si="229"/>
        <v>32.829416944708726</v>
      </c>
      <c r="AD255" s="507">
        <f t="shared" si="229"/>
        <v>31.266111375913063</v>
      </c>
    </row>
    <row r="256" spans="2:30" ht="13.5" customHeight="1">
      <c r="B256" s="36"/>
      <c r="C256" s="36"/>
      <c r="D256" s="36"/>
      <c r="E256" s="36"/>
      <c r="F256" s="36"/>
      <c r="G256" s="36"/>
      <c r="H256" s="36"/>
      <c r="I256" s="36"/>
      <c r="J256" s="36"/>
      <c r="K256" s="36"/>
      <c r="L256" s="510" t="s">
        <v>442</v>
      </c>
      <c r="M256" s="511"/>
      <c r="N256" s="511"/>
      <c r="O256" s="512">
        <f>O254-O255</f>
        <v>342.63021999999995</v>
      </c>
      <c r="P256" s="512">
        <f>P254-P255</f>
        <v>278.52545719527177</v>
      </c>
      <c r="Q256" s="512">
        <f>Q254-Q255</f>
        <v>220.88079854317618</v>
      </c>
      <c r="R256" s="512">
        <f>R254-R255</f>
        <v>179.39223538710883</v>
      </c>
      <c r="S256" s="512">
        <f aca="true" t="shared" si="230" ref="S256:AD256">S254-S255</f>
        <v>142.207001909822</v>
      </c>
      <c r="T256" s="512">
        <f t="shared" si="230"/>
        <v>106.27400630061558</v>
      </c>
      <c r="U256" s="512">
        <f t="shared" si="230"/>
        <v>75.05059068690682</v>
      </c>
      <c r="V256" s="512">
        <f t="shared" si="230"/>
        <v>57.42051649940984</v>
      </c>
      <c r="W256" s="512">
        <f t="shared" si="230"/>
        <v>51.986369438310675</v>
      </c>
      <c r="X256" s="512">
        <f t="shared" si="230"/>
        <v>51.73875624664705</v>
      </c>
      <c r="Y256" s="512">
        <f t="shared" si="230"/>
        <v>54.157690711677084</v>
      </c>
      <c r="Z256" s="512">
        <f t="shared" si="230"/>
        <v>53.07109154980907</v>
      </c>
      <c r="AA256" s="512">
        <f t="shared" si="230"/>
        <v>55.671181322750336</v>
      </c>
      <c r="AB256" s="512">
        <f t="shared" si="230"/>
        <v>64.70223777277091</v>
      </c>
      <c r="AC256" s="512">
        <f t="shared" si="230"/>
        <v>65.9280369429857</v>
      </c>
      <c r="AD256" s="512">
        <f t="shared" si="230"/>
        <v>79.38071230303316</v>
      </c>
    </row>
    <row r="257" spans="2:30" ht="13.5" customHeight="1">
      <c r="B257" s="36"/>
      <c r="C257" s="36"/>
      <c r="D257" s="36"/>
      <c r="E257" s="36"/>
      <c r="F257" s="36"/>
      <c r="G257" s="36"/>
      <c r="H257" s="36"/>
      <c r="I257" s="36"/>
      <c r="J257" s="36"/>
      <c r="K257" s="36"/>
      <c r="L257" s="527" t="s">
        <v>431</v>
      </c>
      <c r="M257" s="92"/>
      <c r="N257" s="92"/>
      <c r="O257" s="356"/>
      <c r="P257" s="509"/>
      <c r="Q257" s="509"/>
      <c r="R257" s="509"/>
      <c r="S257" s="509"/>
      <c r="T257" s="509"/>
      <c r="U257" s="509"/>
      <c r="V257" s="509"/>
      <c r="W257" s="509"/>
      <c r="X257" s="509"/>
      <c r="Y257" s="509"/>
      <c r="Z257" s="509"/>
      <c r="AA257" s="509"/>
      <c r="AB257" s="509"/>
      <c r="AC257" s="509"/>
      <c r="AD257" s="509"/>
    </row>
    <row r="258" spans="2:30" ht="13.5" customHeight="1">
      <c r="B258" s="36"/>
      <c r="C258" s="36"/>
      <c r="D258" s="36"/>
      <c r="E258" s="36"/>
      <c r="F258" s="36"/>
      <c r="G258" s="36"/>
      <c r="H258" s="36"/>
      <c r="I258" s="36"/>
      <c r="J258" s="36"/>
      <c r="K258" s="36"/>
      <c r="L258" s="494" t="s">
        <v>439</v>
      </c>
      <c r="M258" s="40"/>
      <c r="N258" s="40"/>
      <c r="O258" s="507">
        <f>(($O$163+$O$180+$O$212+$O$213)+($G$165+$G$182+$G$201+$G$214))/$O$25</f>
        <v>271.7</v>
      </c>
      <c r="P258" s="507">
        <f>IF(P25+P30=0,P218-P217*P47,(P218-P217)/(P25+P30)*P47)</f>
        <v>272.74293369865774</v>
      </c>
      <c r="Q258" s="507">
        <f>IF(Q25+Q30=0,Q218-Q217*Q47,(Q218-Q217)/(Q25+Q30)*Q47)</f>
        <v>265.52978153828815</v>
      </c>
      <c r="R258" s="507">
        <f>IF(R25+R30=0,R218-R217*R47,(R218-R217)/(R25+R30)*R47)</f>
        <v>255.85263417135656</v>
      </c>
      <c r="S258" s="507">
        <f aca="true" t="shared" si="231" ref="S258:AD258">IF(S25+S30=0,S218-S217*S47,(S218-S217)/(S25+S30)*S47)</f>
        <v>243.22807557625245</v>
      </c>
      <c r="T258" s="507">
        <f t="shared" si="231"/>
        <v>230.450863879583</v>
      </c>
      <c r="U258" s="507">
        <f t="shared" si="231"/>
        <v>218.42041912989453</v>
      </c>
      <c r="V258" s="507">
        <f t="shared" si="231"/>
        <v>207.2954087533502</v>
      </c>
      <c r="W258" s="507">
        <f t="shared" si="231"/>
        <v>197.1561287398086</v>
      </c>
      <c r="X258" s="507">
        <f t="shared" si="231"/>
        <v>187.91215172036738</v>
      </c>
      <c r="Y258" s="507">
        <f t="shared" si="231"/>
        <v>179.3711295243106</v>
      </c>
      <c r="Z258" s="507">
        <f t="shared" si="231"/>
        <v>171.28061362543173</v>
      </c>
      <c r="AA258" s="507">
        <f t="shared" si="231"/>
        <v>163.66473306232692</v>
      </c>
      <c r="AB258" s="507">
        <f t="shared" si="231"/>
        <v>156.53823400385195</v>
      </c>
      <c r="AC258" s="507">
        <f t="shared" si="231"/>
        <v>149.74853935969844</v>
      </c>
      <c r="AD258" s="507">
        <f t="shared" si="231"/>
        <v>142.54800074822154</v>
      </c>
    </row>
    <row r="259" spans="2:30" ht="13.5" customHeight="1">
      <c r="B259" s="36"/>
      <c r="C259" s="36"/>
      <c r="D259" s="36"/>
      <c r="E259" s="36"/>
      <c r="F259" s="36"/>
      <c r="G259" s="36"/>
      <c r="H259" s="36"/>
      <c r="I259" s="36"/>
      <c r="J259" s="36"/>
      <c r="K259" s="36"/>
      <c r="L259" s="513" t="s">
        <v>441</v>
      </c>
      <c r="M259" s="514"/>
      <c r="N259" s="514"/>
      <c r="O259" s="512">
        <f aca="true" t="shared" si="232" ref="O259:AD259">O256-O258</f>
        <v>70.93021999999996</v>
      </c>
      <c r="P259" s="512">
        <f t="shared" si="232"/>
        <v>5.782523496614033</v>
      </c>
      <c r="Q259" s="512">
        <f t="shared" si="232"/>
        <v>-44.648982995111965</v>
      </c>
      <c r="R259" s="512">
        <f t="shared" si="232"/>
        <v>-76.46039878424773</v>
      </c>
      <c r="S259" s="512">
        <f t="shared" si="232"/>
        <v>-101.02107366643045</v>
      </c>
      <c r="T259" s="512">
        <f t="shared" si="232"/>
        <v>-124.17685757896743</v>
      </c>
      <c r="U259" s="512">
        <f t="shared" si="232"/>
        <v>-143.3698284429877</v>
      </c>
      <c r="V259" s="512">
        <f t="shared" si="232"/>
        <v>-149.87489225394035</v>
      </c>
      <c r="W259" s="512">
        <f t="shared" si="232"/>
        <v>-145.16975930149792</v>
      </c>
      <c r="X259" s="512">
        <f t="shared" si="232"/>
        <v>-136.17339547372032</v>
      </c>
      <c r="Y259" s="512">
        <f t="shared" si="232"/>
        <v>-125.21343881263351</v>
      </c>
      <c r="Z259" s="512">
        <f t="shared" si="232"/>
        <v>-118.20952207562266</v>
      </c>
      <c r="AA259" s="512">
        <f t="shared" si="232"/>
        <v>-107.99355173957659</v>
      </c>
      <c r="AB259" s="512">
        <f t="shared" si="232"/>
        <v>-91.83599623108104</v>
      </c>
      <c r="AC259" s="512">
        <f t="shared" si="232"/>
        <v>-83.82050241671274</v>
      </c>
      <c r="AD259" s="512">
        <f t="shared" si="232"/>
        <v>-63.167288445188376</v>
      </c>
    </row>
    <row r="260" spans="2:30" ht="13.5" customHeight="1">
      <c r="B260" s="36"/>
      <c r="C260" s="36"/>
      <c r="D260" s="36"/>
      <c r="E260" s="36"/>
      <c r="F260" s="36"/>
      <c r="G260" s="36"/>
      <c r="H260" s="36"/>
      <c r="I260" s="36"/>
      <c r="J260" s="36"/>
      <c r="K260" s="36"/>
      <c r="L260" s="527" t="s">
        <v>430</v>
      </c>
      <c r="M260" s="40"/>
      <c r="N260" s="40"/>
      <c r="O260" s="507"/>
      <c r="P260" s="507"/>
      <c r="Q260" s="507"/>
      <c r="R260" s="507"/>
      <c r="S260" s="507"/>
      <c r="T260" s="507"/>
      <c r="U260" s="507"/>
      <c r="V260" s="507"/>
      <c r="W260" s="507"/>
      <c r="X260" s="507"/>
      <c r="Y260" s="507"/>
      <c r="Z260" s="507"/>
      <c r="AA260" s="507"/>
      <c r="AB260" s="507"/>
      <c r="AC260" s="507"/>
      <c r="AD260" s="507"/>
    </row>
    <row r="261" spans="2:30" ht="13.5" customHeight="1">
      <c r="B261" s="36"/>
      <c r="C261" s="36"/>
      <c r="D261" s="36"/>
      <c r="E261" s="36"/>
      <c r="F261" s="36"/>
      <c r="G261" s="36"/>
      <c r="H261" s="36"/>
      <c r="I261" s="36"/>
      <c r="J261" s="36"/>
      <c r="K261" s="36"/>
      <c r="L261" s="494" t="s">
        <v>448</v>
      </c>
      <c r="M261" s="40"/>
      <c r="N261" s="40"/>
      <c r="O261" s="507"/>
      <c r="P261" s="507">
        <f>IF(P25+P30=0,P232,P232/(P25+P30))*P47</f>
        <v>16.40917417292321</v>
      </c>
      <c r="Q261" s="507">
        <f>IF(Q25+Q30=0,Q232,Q232/(Q25+Q30))*Q47</f>
        <v>22.466349131283575</v>
      </c>
      <c r="R261" s="507">
        <f>IF(R25+R30=0,R232,R232/(R25+R30))*R47</f>
        <v>28.383086552775435</v>
      </c>
      <c r="S261" s="507">
        <f aca="true" t="shared" si="233" ref="S261:AD261">IF(S25+S30=0,S232,S232/(S25+S30))*S47</f>
        <v>25.548351492130212</v>
      </c>
      <c r="T261" s="507">
        <f t="shared" si="233"/>
        <v>23.08640544294556</v>
      </c>
      <c r="U261" s="507">
        <f t="shared" si="233"/>
        <v>20.8347237199317</v>
      </c>
      <c r="V261" s="507">
        <f t="shared" si="233"/>
        <v>19.051118742277726</v>
      </c>
      <c r="W261" s="507">
        <f t="shared" si="233"/>
        <v>17.86531139673247</v>
      </c>
      <c r="X261" s="507">
        <f t="shared" si="233"/>
        <v>17.187968339535914</v>
      </c>
      <c r="Y261" s="507">
        <f t="shared" si="233"/>
        <v>16.834765973157634</v>
      </c>
      <c r="Z261" s="507">
        <f t="shared" si="233"/>
        <v>16.503599780122432</v>
      </c>
      <c r="AA261" s="507">
        <f t="shared" si="233"/>
        <v>16.27313994978818</v>
      </c>
      <c r="AB261" s="507">
        <f t="shared" si="233"/>
        <v>16.230849574698123</v>
      </c>
      <c r="AC261" s="507">
        <f t="shared" si="233"/>
        <v>16.12070932653757</v>
      </c>
      <c r="AD261" s="507">
        <f t="shared" si="233"/>
        <v>16.33926293272466</v>
      </c>
    </row>
    <row r="262" spans="2:30" ht="13.5" customHeight="1">
      <c r="B262" s="36"/>
      <c r="C262" s="36"/>
      <c r="D262" s="36"/>
      <c r="E262" s="36"/>
      <c r="F262" s="36"/>
      <c r="G262" s="36"/>
      <c r="H262" s="36"/>
      <c r="I262" s="36"/>
      <c r="J262" s="36"/>
      <c r="K262" s="36"/>
      <c r="L262" s="513" t="s">
        <v>440</v>
      </c>
      <c r="M262" s="514"/>
      <c r="N262" s="514"/>
      <c r="O262" s="512"/>
      <c r="P262" s="512">
        <f>P256-P261</f>
        <v>262.11628302234857</v>
      </c>
      <c r="Q262" s="512">
        <f>Q256-Q261</f>
        <v>198.4144494118926</v>
      </c>
      <c r="R262" s="512">
        <f>R256-R261</f>
        <v>151.0091488343334</v>
      </c>
      <c r="S262" s="512">
        <f aca="true" t="shared" si="234" ref="S262:AD262">S256-S261</f>
        <v>116.65865041769179</v>
      </c>
      <c r="T262" s="512">
        <f t="shared" si="234"/>
        <v>83.18760085767002</v>
      </c>
      <c r="U262" s="512">
        <f t="shared" si="234"/>
        <v>54.21586696697511</v>
      </c>
      <c r="V262" s="512">
        <f t="shared" si="234"/>
        <v>38.36939775713212</v>
      </c>
      <c r="W262" s="512">
        <f t="shared" si="234"/>
        <v>34.12105804157821</v>
      </c>
      <c r="X262" s="512">
        <f t="shared" si="234"/>
        <v>34.550787907111136</v>
      </c>
      <c r="Y262" s="512">
        <f t="shared" si="234"/>
        <v>37.32292473851945</v>
      </c>
      <c r="Z262" s="512">
        <f t="shared" si="234"/>
        <v>36.56749176968664</v>
      </c>
      <c r="AA262" s="512">
        <f t="shared" si="234"/>
        <v>39.398041372962155</v>
      </c>
      <c r="AB262" s="512">
        <f t="shared" si="234"/>
        <v>48.47138819807279</v>
      </c>
      <c r="AC262" s="512">
        <f t="shared" si="234"/>
        <v>49.807327616448134</v>
      </c>
      <c r="AD262" s="512">
        <f t="shared" si="234"/>
        <v>63.0414493703085</v>
      </c>
    </row>
    <row r="263" spans="2:30" ht="13.5" customHeight="1">
      <c r="B263" s="36"/>
      <c r="C263" s="36"/>
      <c r="D263" s="36"/>
      <c r="E263" s="36"/>
      <c r="F263" s="36"/>
      <c r="G263" s="36"/>
      <c r="H263" s="36"/>
      <c r="I263" s="36"/>
      <c r="J263" s="36"/>
      <c r="K263" s="36"/>
      <c r="L263" s="515"/>
      <c r="M263" s="40"/>
      <c r="N263" s="40"/>
      <c r="O263" s="507"/>
      <c r="P263" s="507"/>
      <c r="Q263" s="507"/>
      <c r="R263" s="507"/>
      <c r="S263" s="507"/>
      <c r="T263" s="507"/>
      <c r="U263" s="507"/>
      <c r="V263" s="507"/>
      <c r="W263" s="507"/>
      <c r="X263" s="507"/>
      <c r="Y263" s="507"/>
      <c r="Z263" s="507"/>
      <c r="AA263" s="507"/>
      <c r="AB263" s="507"/>
      <c r="AC263" s="507"/>
      <c r="AD263" s="507"/>
    </row>
    <row r="264" spans="2:30" ht="13.5" customHeight="1">
      <c r="B264" s="36"/>
      <c r="C264" s="36"/>
      <c r="D264" s="36"/>
      <c r="E264" s="36"/>
      <c r="F264" s="36"/>
      <c r="G264" s="36"/>
      <c r="H264" s="36"/>
      <c r="I264" s="36"/>
      <c r="J264" s="36"/>
      <c r="K264" s="36"/>
      <c r="L264" s="515"/>
      <c r="M264" s="40"/>
      <c r="N264" s="40"/>
      <c r="O264" s="507"/>
      <c r="P264" s="507"/>
      <c r="Q264" s="507"/>
      <c r="R264" s="507"/>
      <c r="S264" s="507"/>
      <c r="T264" s="507"/>
      <c r="U264" s="507"/>
      <c r="V264" s="507"/>
      <c r="W264" s="507"/>
      <c r="X264" s="507"/>
      <c r="Y264" s="507"/>
      <c r="Z264" s="507"/>
      <c r="AA264" s="507"/>
      <c r="AB264" s="507"/>
      <c r="AC264" s="507"/>
      <c r="AD264" s="507"/>
    </row>
    <row r="265" spans="2:30" ht="13.5" customHeight="1">
      <c r="B265" s="36"/>
      <c r="C265" s="36"/>
      <c r="D265" s="36"/>
      <c r="E265" s="36"/>
      <c r="F265" s="36"/>
      <c r="G265" s="36"/>
      <c r="H265" s="36"/>
      <c r="I265" s="36"/>
      <c r="J265" s="36"/>
      <c r="K265" s="36"/>
      <c r="L265" s="515"/>
      <c r="M265" s="40"/>
      <c r="N265" s="40"/>
      <c r="O265" s="518">
        <v>2005</v>
      </c>
      <c r="P265" s="518">
        <v>2006</v>
      </c>
      <c r="Q265" s="518">
        <v>2007</v>
      </c>
      <c r="R265" s="518">
        <v>2008</v>
      </c>
      <c r="S265" s="518">
        <v>2009</v>
      </c>
      <c r="T265" s="518">
        <v>2010</v>
      </c>
      <c r="U265" s="518">
        <v>2011</v>
      </c>
      <c r="V265" s="518">
        <v>2012</v>
      </c>
      <c r="W265" s="518">
        <v>2013</v>
      </c>
      <c r="X265" s="518">
        <v>2014</v>
      </c>
      <c r="Y265" s="518">
        <v>2015</v>
      </c>
      <c r="Z265" s="518">
        <v>2016</v>
      </c>
      <c r="AA265" s="518">
        <v>2017</v>
      </c>
      <c r="AB265" s="518">
        <v>2018</v>
      </c>
      <c r="AC265" s="518">
        <v>2019</v>
      </c>
      <c r="AD265" s="518">
        <v>2020</v>
      </c>
    </row>
    <row r="266" spans="2:30" ht="13.5" customHeight="1">
      <c r="B266" s="36"/>
      <c r="C266" s="36"/>
      <c r="D266" s="36"/>
      <c r="E266" s="36"/>
      <c r="F266" s="36"/>
      <c r="G266" s="36"/>
      <c r="H266" s="36"/>
      <c r="I266" s="36"/>
      <c r="J266" s="36"/>
      <c r="K266" s="36"/>
      <c r="L266" s="519" t="s">
        <v>251</v>
      </c>
      <c r="M266" s="377"/>
      <c r="N266" s="377"/>
      <c r="O266" s="520">
        <f>O253</f>
        <v>252.87808</v>
      </c>
      <c r="P266" s="520">
        <f>P253</f>
        <v>249.0310452317403</v>
      </c>
      <c r="Q266" s="520">
        <f aca="true" t="shared" si="235" ref="Q266:AD266">Q253</f>
        <v>245.14731514067884</v>
      </c>
      <c r="R266" s="520">
        <f t="shared" si="235"/>
        <v>240.82268969086505</v>
      </c>
      <c r="S266" s="520">
        <f t="shared" si="235"/>
        <v>235.99805395601246</v>
      </c>
      <c r="T266" s="520">
        <f t="shared" si="235"/>
        <v>231.2913684183693</v>
      </c>
      <c r="U266" s="520">
        <f t="shared" si="235"/>
        <v>226.69079499072083</v>
      </c>
      <c r="V266" s="520">
        <f t="shared" si="235"/>
        <v>222.22571411465495</v>
      </c>
      <c r="W266" s="520">
        <f t="shared" si="235"/>
        <v>217.91117436167838</v>
      </c>
      <c r="X266" s="520">
        <f t="shared" si="235"/>
        <v>213.73049663041934</v>
      </c>
      <c r="Y266" s="520">
        <f t="shared" si="235"/>
        <v>209.65942575396556</v>
      </c>
      <c r="Z266" s="520">
        <f t="shared" si="235"/>
        <v>205.6661444773614</v>
      </c>
      <c r="AA266" s="520">
        <f t="shared" si="235"/>
        <v>201.7560461793585</v>
      </c>
      <c r="AB266" s="520">
        <f t="shared" si="235"/>
        <v>197.94403006754987</v>
      </c>
      <c r="AC266" s="520">
        <f t="shared" si="235"/>
        <v>194.19839704383864</v>
      </c>
      <c r="AD266" s="521">
        <f t="shared" si="235"/>
        <v>190.5523737073701</v>
      </c>
    </row>
    <row r="267" spans="2:30" ht="13.5" customHeight="1">
      <c r="B267" s="36"/>
      <c r="C267" s="36"/>
      <c r="D267" s="36"/>
      <c r="E267" s="36"/>
      <c r="F267" s="36"/>
      <c r="G267" s="36"/>
      <c r="H267" s="36"/>
      <c r="I267" s="36"/>
      <c r="J267" s="36"/>
      <c r="K267" s="36"/>
      <c r="L267" s="522" t="s">
        <v>382</v>
      </c>
      <c r="M267" s="92"/>
      <c r="N267" s="92"/>
      <c r="O267" s="516">
        <f aca="true" t="shared" si="236" ref="O267:AD267">O255+O258</f>
        <v>336.7</v>
      </c>
      <c r="P267" s="516">
        <f t="shared" si="236"/>
        <v>334.9587748089712</v>
      </c>
      <c r="Q267" s="516">
        <f t="shared" si="236"/>
        <v>324.4866976380614</v>
      </c>
      <c r="R267" s="516">
        <f t="shared" si="236"/>
        <v>312.0020780759025</v>
      </c>
      <c r="S267" s="516">
        <f t="shared" si="236"/>
        <v>296.7037364377248</v>
      </c>
      <c r="T267" s="516">
        <f t="shared" si="236"/>
        <v>281.38006470003285</v>
      </c>
      <c r="U267" s="516">
        <f t="shared" si="236"/>
        <v>266.9244199112753</v>
      </c>
      <c r="V267" s="516">
        <f t="shared" si="236"/>
        <v>253.48969521180808</v>
      </c>
      <c r="W267" s="516">
        <f t="shared" si="236"/>
        <v>241.15068727167326</v>
      </c>
      <c r="X267" s="516">
        <f t="shared" si="236"/>
        <v>229.8117312745242</v>
      </c>
      <c r="Y267" s="516">
        <f t="shared" si="236"/>
        <v>219.27549100445995</v>
      </c>
      <c r="Z267" s="516">
        <f t="shared" si="236"/>
        <v>209.28476741605016</v>
      </c>
      <c r="AA267" s="516">
        <f t="shared" si="236"/>
        <v>199.8591652438683</v>
      </c>
      <c r="AB267" s="516">
        <f t="shared" si="236"/>
        <v>191.0091217957961</v>
      </c>
      <c r="AC267" s="516">
        <f t="shared" si="236"/>
        <v>182.57795630440717</v>
      </c>
      <c r="AD267" s="523">
        <f t="shared" si="236"/>
        <v>173.8141121241346</v>
      </c>
    </row>
    <row r="268" spans="2:30" ht="13.5" customHeight="1">
      <c r="B268" s="36"/>
      <c r="C268" s="36"/>
      <c r="D268" s="36"/>
      <c r="E268" s="36"/>
      <c r="F268" s="36"/>
      <c r="G268" s="36"/>
      <c r="H268" s="36"/>
      <c r="I268" s="36"/>
      <c r="J268" s="36"/>
      <c r="K268" s="36"/>
      <c r="L268" s="524" t="s">
        <v>445</v>
      </c>
      <c r="M268" s="92"/>
      <c r="N268" s="92"/>
      <c r="O268" s="507">
        <f>SUM(O266:O267)</f>
        <v>589.57808</v>
      </c>
      <c r="P268" s="507">
        <f>SUM(P266:P267)</f>
        <v>583.9898200407115</v>
      </c>
      <c r="Q268" s="507">
        <f aca="true" t="shared" si="237" ref="Q268:AD268">SUM(Q266:Q267)</f>
        <v>569.6340127787403</v>
      </c>
      <c r="R268" s="507">
        <f t="shared" si="237"/>
        <v>552.8247677667675</v>
      </c>
      <c r="S268" s="507">
        <f t="shared" si="237"/>
        <v>532.7017903937373</v>
      </c>
      <c r="T268" s="507">
        <f t="shared" si="237"/>
        <v>512.6714331184021</v>
      </c>
      <c r="U268" s="507">
        <f t="shared" si="237"/>
        <v>493.6152149019962</v>
      </c>
      <c r="V268" s="507">
        <f t="shared" si="237"/>
        <v>475.71540932646303</v>
      </c>
      <c r="W268" s="507">
        <f t="shared" si="237"/>
        <v>459.06186163335167</v>
      </c>
      <c r="X268" s="507">
        <f t="shared" si="237"/>
        <v>443.5422279049435</v>
      </c>
      <c r="Y268" s="507">
        <f t="shared" si="237"/>
        <v>428.9349167584255</v>
      </c>
      <c r="Z268" s="507">
        <f t="shared" si="237"/>
        <v>414.95091189341156</v>
      </c>
      <c r="AA268" s="507">
        <f t="shared" si="237"/>
        <v>401.6152114232268</v>
      </c>
      <c r="AB268" s="507">
        <f t="shared" si="237"/>
        <v>388.95315186334597</v>
      </c>
      <c r="AC268" s="507">
        <f t="shared" si="237"/>
        <v>376.77635334824583</v>
      </c>
      <c r="AD268" s="525">
        <f t="shared" si="237"/>
        <v>364.3664858315047</v>
      </c>
    </row>
    <row r="269" spans="2:30" ht="13.5" customHeight="1">
      <c r="B269" s="36"/>
      <c r="C269" s="36"/>
      <c r="D269" s="36"/>
      <c r="E269" s="36"/>
      <c r="F269" s="36"/>
      <c r="G269" s="36"/>
      <c r="H269" s="36"/>
      <c r="I269" s="36"/>
      <c r="J269" s="36"/>
      <c r="K269" s="36"/>
      <c r="L269" s="522" t="s">
        <v>446</v>
      </c>
      <c r="M269" s="92"/>
      <c r="N269" s="92"/>
      <c r="O269" s="507"/>
      <c r="P269" s="507">
        <f>IF($P$25=0,$P$232/1,$P$232/$P$25)*$P$47</f>
        <v>16.40917417292321</v>
      </c>
      <c r="Q269" s="507">
        <f aca="true" t="shared" si="238" ref="Q269:AD269">IF(Q25=0,Q232/1,Q232/Q25)*Q47</f>
        <v>22.466349131283575</v>
      </c>
      <c r="R269" s="507">
        <f t="shared" si="238"/>
        <v>28.383086552775435</v>
      </c>
      <c r="S269" s="507">
        <f t="shared" si="238"/>
        <v>25.548351492130212</v>
      </c>
      <c r="T269" s="507">
        <f t="shared" si="238"/>
        <v>23.08640544294556</v>
      </c>
      <c r="U269" s="507">
        <f t="shared" si="238"/>
        <v>20.8347237199317</v>
      </c>
      <c r="V269" s="507">
        <f t="shared" si="238"/>
        <v>19.051118742277726</v>
      </c>
      <c r="W269" s="507">
        <f t="shared" si="238"/>
        <v>17.86531139673247</v>
      </c>
      <c r="X269" s="507">
        <f t="shared" si="238"/>
        <v>17.187968339535914</v>
      </c>
      <c r="Y269" s="507">
        <f t="shared" si="238"/>
        <v>16.834765973157634</v>
      </c>
      <c r="Z269" s="507">
        <f t="shared" si="238"/>
        <v>16.503599780122432</v>
      </c>
      <c r="AA269" s="507">
        <f t="shared" si="238"/>
        <v>16.27313994978818</v>
      </c>
      <c r="AB269" s="507">
        <f t="shared" si="238"/>
        <v>16.230849574698123</v>
      </c>
      <c r="AC269" s="507">
        <f t="shared" si="238"/>
        <v>16.12070932653757</v>
      </c>
      <c r="AD269" s="507">
        <f t="shared" si="238"/>
        <v>16.33926293272466</v>
      </c>
    </row>
    <row r="270" spans="2:30" ht="13.5" customHeight="1">
      <c r="B270" s="36"/>
      <c r="C270" s="36"/>
      <c r="D270" s="36"/>
      <c r="E270" s="36"/>
      <c r="F270" s="36"/>
      <c r="G270" s="36"/>
      <c r="H270" s="36"/>
      <c r="I270" s="36"/>
      <c r="J270" s="36"/>
      <c r="K270" s="36"/>
      <c r="L270" s="526" t="s">
        <v>447</v>
      </c>
      <c r="M270" s="382"/>
      <c r="N270" s="382"/>
      <c r="O270" s="516">
        <f>SUM(O268:O269)</f>
        <v>589.57808</v>
      </c>
      <c r="P270" s="516">
        <f>SUM(P268:P269)</f>
        <v>600.3989942136348</v>
      </c>
      <c r="Q270" s="516">
        <f aca="true" t="shared" si="239" ref="Q270:AD270">SUM(Q268:Q269)</f>
        <v>592.1003619100238</v>
      </c>
      <c r="R270" s="516">
        <f t="shared" si="239"/>
        <v>581.207854319543</v>
      </c>
      <c r="S270" s="516">
        <f t="shared" si="239"/>
        <v>558.2501418858675</v>
      </c>
      <c r="T270" s="516">
        <f t="shared" si="239"/>
        <v>535.7578385613476</v>
      </c>
      <c r="U270" s="516">
        <f t="shared" si="239"/>
        <v>514.4499386219279</v>
      </c>
      <c r="V270" s="516">
        <f t="shared" si="239"/>
        <v>494.76652806874074</v>
      </c>
      <c r="W270" s="516">
        <f t="shared" si="239"/>
        <v>476.92717303008413</v>
      </c>
      <c r="X270" s="516">
        <f t="shared" si="239"/>
        <v>460.73019624447943</v>
      </c>
      <c r="Y270" s="516">
        <f t="shared" si="239"/>
        <v>445.76968273158315</v>
      </c>
      <c r="Z270" s="516">
        <f t="shared" si="239"/>
        <v>431.454511673534</v>
      </c>
      <c r="AA270" s="516">
        <f t="shared" si="239"/>
        <v>417.888351373015</v>
      </c>
      <c r="AB270" s="516">
        <f t="shared" si="239"/>
        <v>405.1840014380441</v>
      </c>
      <c r="AC270" s="516">
        <f t="shared" si="239"/>
        <v>392.8970626747834</v>
      </c>
      <c r="AD270" s="523">
        <f t="shared" si="239"/>
        <v>380.7057487642293</v>
      </c>
    </row>
    <row r="271" spans="2:40" ht="13.5" customHeight="1">
      <c r="B271" s="36"/>
      <c r="C271" s="36"/>
      <c r="D271" s="36"/>
      <c r="E271" s="36"/>
      <c r="F271" s="36"/>
      <c r="G271" s="36"/>
      <c r="H271" s="36"/>
      <c r="I271" s="36"/>
      <c r="J271" s="36"/>
      <c r="K271" s="36"/>
      <c r="AI271" s="134"/>
      <c r="AJ271" s="134"/>
      <c r="AK271" s="134"/>
      <c r="AL271" s="134"/>
      <c r="AM271" s="134"/>
      <c r="AN271" s="134"/>
    </row>
    <row r="272" spans="2:40" ht="13.5" customHeight="1">
      <c r="B272" s="36"/>
      <c r="C272" s="36"/>
      <c r="D272" s="36"/>
      <c r="E272" s="36"/>
      <c r="F272" s="36"/>
      <c r="G272" s="36"/>
      <c r="I272" s="36"/>
      <c r="J272" s="36"/>
      <c r="K272" s="36"/>
      <c r="AI272" s="134"/>
      <c r="AJ272" s="134"/>
      <c r="AK272" s="134"/>
      <c r="AL272" s="134"/>
      <c r="AM272" s="134"/>
      <c r="AN272" s="134"/>
    </row>
    <row r="273" spans="2:40" ht="15.75" customHeight="1">
      <c r="B273" s="36"/>
      <c r="C273" s="36"/>
      <c r="D273" s="36"/>
      <c r="E273" s="36"/>
      <c r="F273" s="36"/>
      <c r="G273" s="36"/>
      <c r="I273" s="36"/>
      <c r="J273" s="36"/>
      <c r="K273" s="36"/>
      <c r="L273" s="501" t="s">
        <v>454</v>
      </c>
      <c r="M273" s="123"/>
      <c r="N273" s="123"/>
      <c r="O273" s="431"/>
      <c r="P273" s="528" t="s">
        <v>402</v>
      </c>
      <c r="Q273" s="529" t="s">
        <v>403</v>
      </c>
      <c r="AI273" s="134"/>
      <c r="AJ273" s="134"/>
      <c r="AK273" s="134"/>
      <c r="AL273" s="134"/>
      <c r="AM273" s="134"/>
      <c r="AN273" s="134"/>
    </row>
    <row r="274" spans="2:40" ht="13.5" customHeight="1">
      <c r="B274" s="36"/>
      <c r="C274" s="36"/>
      <c r="D274" s="36"/>
      <c r="E274" s="36"/>
      <c r="F274" s="36"/>
      <c r="G274" s="36"/>
      <c r="I274" s="36"/>
      <c r="J274" s="36"/>
      <c r="K274" s="36"/>
      <c r="L274" s="494" t="s">
        <v>424</v>
      </c>
      <c r="M274" s="494"/>
      <c r="N274" s="494"/>
      <c r="O274" s="494"/>
      <c r="P274" s="371">
        <f>$Y$246</f>
        <v>933984.9578185857</v>
      </c>
      <c r="Q274" s="371">
        <f>$AD$246</f>
        <v>1230312.0085088962</v>
      </c>
      <c r="AI274" s="134"/>
      <c r="AJ274" s="134"/>
      <c r="AK274" s="134"/>
      <c r="AL274" s="134"/>
      <c r="AM274" s="134"/>
      <c r="AN274" s="134"/>
    </row>
    <row r="275" spans="2:40" ht="13.5" customHeight="1">
      <c r="B275" s="36"/>
      <c r="C275" s="36"/>
      <c r="D275" s="36"/>
      <c r="E275" s="36"/>
      <c r="F275" s="36"/>
      <c r="G275" s="36"/>
      <c r="I275" s="36"/>
      <c r="J275" s="36"/>
      <c r="K275" s="36"/>
      <c r="L275" s="494" t="s">
        <v>425</v>
      </c>
      <c r="M275" s="494"/>
      <c r="N275" s="494"/>
      <c r="O275" s="494"/>
      <c r="P275" s="371">
        <f>$Y$247</f>
        <v>425156.7572059965</v>
      </c>
      <c r="Q275" s="371">
        <f>$AD$247</f>
        <v>523460.40960121143</v>
      </c>
      <c r="R275" s="40"/>
      <c r="S275" s="40"/>
      <c r="AI275" s="134"/>
      <c r="AJ275" s="134"/>
      <c r="AK275" s="134"/>
      <c r="AL275" s="134"/>
      <c r="AM275" s="134"/>
      <c r="AN275" s="134"/>
    </row>
    <row r="276" spans="2:40" ht="13.5" customHeight="1">
      <c r="B276"/>
      <c r="C276"/>
      <c r="D276"/>
      <c r="E276"/>
      <c r="F276"/>
      <c r="G276"/>
      <c r="I276" s="36"/>
      <c r="J276" s="36"/>
      <c r="K276" s="36"/>
      <c r="L276" s="494" t="s">
        <v>426</v>
      </c>
      <c r="M276" s="494"/>
      <c r="N276" s="494"/>
      <c r="O276" s="494"/>
      <c r="P276" s="506">
        <f>$Y$248</f>
        <v>-193884.9592860813</v>
      </c>
      <c r="Q276" s="506">
        <f>$AD$248</f>
        <v>-286890.3314677176</v>
      </c>
      <c r="R276" s="503"/>
      <c r="S276" s="40"/>
      <c r="AI276" s="134"/>
      <c r="AJ276" s="134"/>
      <c r="AK276" s="134"/>
      <c r="AL276" s="134"/>
      <c r="AM276" s="134"/>
      <c r="AN276" s="134"/>
    </row>
    <row r="277" spans="2:40" ht="13.5" customHeight="1">
      <c r="B277"/>
      <c r="C277"/>
      <c r="D277"/>
      <c r="E277"/>
      <c r="F277"/>
      <c r="G277"/>
      <c r="I277" s="36"/>
      <c r="J277" s="36"/>
      <c r="K277" s="36"/>
      <c r="L277" s="494" t="s">
        <v>427</v>
      </c>
      <c r="M277" s="494"/>
      <c r="N277" s="494"/>
      <c r="O277" s="494"/>
      <c r="P277" s="506">
        <f>$Y$249</f>
        <v>-235402.00110464712</v>
      </c>
      <c r="Q277" s="506">
        <f>$AD$249</f>
        <v>-344700.8855990576</v>
      </c>
      <c r="R277" s="40"/>
      <c r="S277" s="40"/>
      <c r="AI277" s="134"/>
      <c r="AJ277" s="134"/>
      <c r="AK277" s="134"/>
      <c r="AL277" s="134"/>
      <c r="AM277" s="134"/>
      <c r="AN277" s="134"/>
    </row>
    <row r="278" spans="2:40" ht="13.5" customHeight="1">
      <c r="B278"/>
      <c r="C278"/>
      <c r="D278"/>
      <c r="E278"/>
      <c r="F278"/>
      <c r="G278"/>
      <c r="I278" s="36"/>
      <c r="J278" s="36"/>
      <c r="K278" s="36"/>
      <c r="L278" s="494"/>
      <c r="M278" s="494"/>
      <c r="N278" s="494"/>
      <c r="O278" s="494"/>
      <c r="P278" s="506"/>
      <c r="Q278" s="506"/>
      <c r="R278" s="40"/>
      <c r="S278" s="40"/>
      <c r="AI278" s="134"/>
      <c r="AJ278" s="134"/>
      <c r="AK278" s="134"/>
      <c r="AL278" s="134"/>
      <c r="AM278" s="134"/>
      <c r="AN278" s="134"/>
    </row>
    <row r="279" spans="2:40" ht="13.5" customHeight="1">
      <c r="B279"/>
      <c r="C279"/>
      <c r="D279"/>
      <c r="E279"/>
      <c r="F279"/>
      <c r="G279"/>
      <c r="I279" s="36"/>
      <c r="J279" s="36"/>
      <c r="K279" s="36"/>
      <c r="L279" s="494"/>
      <c r="M279" s="494"/>
      <c r="N279" s="494"/>
      <c r="O279" s="494"/>
      <c r="P279" s="506"/>
      <c r="Q279" s="506"/>
      <c r="R279" s="40"/>
      <c r="S279" s="40"/>
      <c r="AI279" s="134"/>
      <c r="AJ279" s="134"/>
      <c r="AK279" s="134"/>
      <c r="AL279" s="134"/>
      <c r="AM279" s="134"/>
      <c r="AN279" s="134"/>
    </row>
    <row r="280" spans="2:40" ht="13.5" customHeight="1">
      <c r="B280"/>
      <c r="C280"/>
      <c r="D280"/>
      <c r="E280"/>
      <c r="F280"/>
      <c r="G280"/>
      <c r="I280" s="36"/>
      <c r="J280" s="36"/>
      <c r="K280" s="36"/>
      <c r="L280" s="494"/>
      <c r="M280" s="494"/>
      <c r="N280" s="494"/>
      <c r="O280" s="494"/>
      <c r="P280" s="506"/>
      <c r="Q280" s="506"/>
      <c r="R280" s="40"/>
      <c r="S280" s="40"/>
      <c r="AI280" s="134"/>
      <c r="AJ280" s="134"/>
      <c r="AK280" s="134"/>
      <c r="AL280" s="134"/>
      <c r="AM280" s="134"/>
      <c r="AN280" s="134"/>
    </row>
    <row r="281" spans="2:40" ht="13.5" customHeight="1">
      <c r="B281"/>
      <c r="C281"/>
      <c r="D281"/>
      <c r="E281"/>
      <c r="F281"/>
      <c r="G281"/>
      <c r="I281" s="36"/>
      <c r="J281" s="36"/>
      <c r="K281" s="36"/>
      <c r="L281" s="494"/>
      <c r="M281" s="494"/>
      <c r="N281" s="494"/>
      <c r="O281" s="494"/>
      <c r="P281" s="506"/>
      <c r="Q281" s="506"/>
      <c r="R281" s="40"/>
      <c r="S281" s="40"/>
      <c r="AI281" s="134"/>
      <c r="AJ281" s="134"/>
      <c r="AK281" s="134"/>
      <c r="AL281" s="134"/>
      <c r="AM281" s="134"/>
      <c r="AN281" s="134"/>
    </row>
    <row r="282" spans="2:40" ht="13.5" customHeight="1">
      <c r="B282"/>
      <c r="C282"/>
      <c r="D282"/>
      <c r="E282"/>
      <c r="F282"/>
      <c r="G282"/>
      <c r="I282" s="36"/>
      <c r="J282" s="36"/>
      <c r="K282" s="36"/>
      <c r="L282" s="494"/>
      <c r="M282" s="494"/>
      <c r="N282" s="494"/>
      <c r="O282" s="494"/>
      <c r="P282" s="506"/>
      <c r="Q282" s="506"/>
      <c r="R282" s="40"/>
      <c r="S282" s="40"/>
      <c r="AI282" s="134"/>
      <c r="AJ282" s="134"/>
      <c r="AK282" s="134"/>
      <c r="AL282" s="134"/>
      <c r="AM282" s="134"/>
      <c r="AN282" s="134"/>
    </row>
    <row r="283" spans="2:40" ht="13.5" customHeight="1">
      <c r="B283"/>
      <c r="C283"/>
      <c r="D283"/>
      <c r="E283"/>
      <c r="F283"/>
      <c r="G283"/>
      <c r="I283" s="36"/>
      <c r="J283" s="36"/>
      <c r="K283" s="36"/>
      <c r="L283" s="494"/>
      <c r="M283" s="494"/>
      <c r="N283" s="494"/>
      <c r="O283" s="494"/>
      <c r="P283" s="506"/>
      <c r="Q283" s="506"/>
      <c r="R283" s="40"/>
      <c r="S283" s="40"/>
      <c r="AI283" s="134"/>
      <c r="AJ283" s="134"/>
      <c r="AK283" s="134"/>
      <c r="AL283" s="134"/>
      <c r="AM283" s="134"/>
      <c r="AN283" s="134"/>
    </row>
    <row r="284" spans="2:40" ht="13.5" customHeight="1">
      <c r="B284"/>
      <c r="C284"/>
      <c r="D284"/>
      <c r="E284"/>
      <c r="F284"/>
      <c r="G284"/>
      <c r="I284" s="36"/>
      <c r="J284" s="36"/>
      <c r="K284" s="36"/>
      <c r="L284" s="494"/>
      <c r="M284" s="494"/>
      <c r="N284" s="494"/>
      <c r="O284" s="494"/>
      <c r="P284" s="506"/>
      <c r="Q284" s="506"/>
      <c r="R284" s="40"/>
      <c r="S284" s="40"/>
      <c r="AI284" s="134"/>
      <c r="AJ284" s="134"/>
      <c r="AK284" s="134"/>
      <c r="AL284" s="134"/>
      <c r="AM284" s="134"/>
      <c r="AN284" s="134"/>
    </row>
    <row r="285" spans="2:40" ht="13.5" customHeight="1">
      <c r="B285"/>
      <c r="C285"/>
      <c r="D285"/>
      <c r="E285"/>
      <c r="F285"/>
      <c r="G285"/>
      <c r="I285" s="36"/>
      <c r="J285" s="36"/>
      <c r="K285" s="36"/>
      <c r="L285" s="494"/>
      <c r="M285" s="494"/>
      <c r="N285" s="494"/>
      <c r="O285" s="494"/>
      <c r="P285" s="506"/>
      <c r="Q285" s="506"/>
      <c r="R285" s="40"/>
      <c r="S285" s="40"/>
      <c r="AI285" s="134"/>
      <c r="AJ285" s="134"/>
      <c r="AK285" s="134"/>
      <c r="AL285" s="134"/>
      <c r="AM285" s="134"/>
      <c r="AN285" s="134"/>
    </row>
    <row r="286" spans="2:40" ht="13.5" customHeight="1">
      <c r="B286"/>
      <c r="C286"/>
      <c r="D286"/>
      <c r="E286"/>
      <c r="F286"/>
      <c r="G286"/>
      <c r="I286" s="36"/>
      <c r="J286" s="36"/>
      <c r="K286" s="36"/>
      <c r="L286" s="494"/>
      <c r="M286" s="494"/>
      <c r="N286" s="494"/>
      <c r="O286" s="494"/>
      <c r="P286" s="506"/>
      <c r="Q286" s="506"/>
      <c r="R286" s="40"/>
      <c r="S286" s="40"/>
      <c r="AI286" s="134"/>
      <c r="AJ286" s="134"/>
      <c r="AK286" s="134"/>
      <c r="AL286" s="134"/>
      <c r="AM286" s="134"/>
      <c r="AN286" s="134"/>
    </row>
    <row r="287" spans="2:40" ht="13.5" customHeight="1">
      <c r="B287"/>
      <c r="C287"/>
      <c r="D287"/>
      <c r="E287"/>
      <c r="F287"/>
      <c r="G287"/>
      <c r="I287" s="36"/>
      <c r="J287" s="36"/>
      <c r="K287" s="36"/>
      <c r="L287" s="494"/>
      <c r="M287" s="494"/>
      <c r="N287" s="494"/>
      <c r="O287" s="494"/>
      <c r="P287" s="506"/>
      <c r="Q287" s="506"/>
      <c r="R287" s="40"/>
      <c r="S287" s="40"/>
      <c r="AI287" s="134"/>
      <c r="AJ287" s="134"/>
      <c r="AK287" s="134"/>
      <c r="AL287" s="134"/>
      <c r="AM287" s="134"/>
      <c r="AN287" s="134"/>
    </row>
    <row r="288" spans="2:40" ht="13.5" customHeight="1">
      <c r="B288"/>
      <c r="C288"/>
      <c r="D288"/>
      <c r="E288"/>
      <c r="F288"/>
      <c r="G288"/>
      <c r="I288" s="36"/>
      <c r="J288" s="36"/>
      <c r="K288" s="36"/>
      <c r="O288" s="60"/>
      <c r="P288" s="504"/>
      <c r="Q288" s="504"/>
      <c r="R288" s="504"/>
      <c r="S288" s="504"/>
      <c r="T288" s="60"/>
      <c r="U288" s="60"/>
      <c r="V288" s="60"/>
      <c r="AI288" s="134"/>
      <c r="AJ288" s="134"/>
      <c r="AK288" s="134"/>
      <c r="AL288" s="134"/>
      <c r="AM288" s="134"/>
      <c r="AN288" s="134"/>
    </row>
    <row r="289" spans="2:40" ht="13.5" customHeight="1">
      <c r="B289"/>
      <c r="C289"/>
      <c r="D289"/>
      <c r="E289"/>
      <c r="F289"/>
      <c r="G289"/>
      <c r="I289" s="36"/>
      <c r="J289" s="36"/>
      <c r="K289" s="36"/>
      <c r="AI289" s="134"/>
      <c r="AJ289" s="134"/>
      <c r="AK289" s="134"/>
      <c r="AL289" s="134"/>
      <c r="AM289" s="134"/>
      <c r="AN289" s="134"/>
    </row>
    <row r="290" spans="2:11" ht="13.5" customHeight="1">
      <c r="B290" s="36"/>
      <c r="C290" s="36"/>
      <c r="D290" s="36"/>
      <c r="E290" s="36"/>
      <c r="F290" s="36"/>
      <c r="G290" s="36"/>
      <c r="H290" s="36"/>
      <c r="I290" s="36"/>
      <c r="J290" s="36"/>
      <c r="K290" s="36"/>
    </row>
    <row r="291" spans="2:11" ht="13.5" customHeight="1">
      <c r="B291" s="36"/>
      <c r="C291" s="36"/>
      <c r="D291" s="36"/>
      <c r="E291" s="36"/>
      <c r="F291" s="36"/>
      <c r="G291" s="36"/>
      <c r="H291" s="36"/>
      <c r="I291" s="36"/>
      <c r="J291" s="36"/>
      <c r="K291" s="36"/>
    </row>
    <row r="292" spans="2:11" ht="13.5" customHeight="1">
      <c r="B292" s="36"/>
      <c r="C292" s="36"/>
      <c r="D292" s="36"/>
      <c r="E292" s="36"/>
      <c r="F292" s="36"/>
      <c r="G292" s="36"/>
      <c r="H292" s="36"/>
      <c r="I292" s="36"/>
      <c r="J292" s="36"/>
      <c r="K292" s="36"/>
    </row>
    <row r="293" spans="2:11" ht="13.5" customHeight="1">
      <c r="B293" s="36"/>
      <c r="C293" s="36"/>
      <c r="D293" s="36"/>
      <c r="E293" s="36"/>
      <c r="F293" s="36"/>
      <c r="G293" s="36"/>
      <c r="H293" s="36"/>
      <c r="I293" s="36"/>
      <c r="J293" s="36"/>
      <c r="K293" s="36"/>
    </row>
    <row r="294" spans="2:11" ht="13.5" customHeight="1">
      <c r="B294" s="36"/>
      <c r="C294" s="36"/>
      <c r="D294" s="36"/>
      <c r="E294" s="36"/>
      <c r="F294" s="36"/>
      <c r="G294" s="36"/>
      <c r="H294" s="36"/>
      <c r="I294" s="36"/>
      <c r="J294" s="36"/>
      <c r="K294" s="36"/>
    </row>
    <row r="295" spans="2:11" ht="13.5" customHeight="1">
      <c r="B295" s="36"/>
      <c r="C295" s="36"/>
      <c r="D295" s="36"/>
      <c r="E295" s="36"/>
      <c r="F295" s="36"/>
      <c r="G295" s="36"/>
      <c r="H295" s="36"/>
      <c r="I295" s="36"/>
      <c r="J295" s="36"/>
      <c r="K295" s="36"/>
    </row>
    <row r="296" spans="2:11" ht="13.5" customHeight="1">
      <c r="B296" s="36"/>
      <c r="C296" s="36"/>
      <c r="D296" s="36"/>
      <c r="E296" s="36"/>
      <c r="F296" s="36"/>
      <c r="G296" s="36"/>
      <c r="H296" s="36"/>
      <c r="I296" s="36"/>
      <c r="J296" s="36"/>
      <c r="K296" s="36"/>
    </row>
    <row r="297" spans="2:11" ht="13.5" customHeight="1">
      <c r="B297" s="36"/>
      <c r="C297" s="36"/>
      <c r="D297" s="36"/>
      <c r="E297" s="36"/>
      <c r="F297" s="36"/>
      <c r="G297" s="36"/>
      <c r="H297" s="36"/>
      <c r="I297" s="36"/>
      <c r="J297" s="36"/>
      <c r="K297" s="36"/>
    </row>
    <row r="298" spans="2:11" ht="13.5" customHeight="1">
      <c r="B298" s="36"/>
      <c r="C298" s="36"/>
      <c r="D298" s="36"/>
      <c r="E298" s="36"/>
      <c r="F298" s="36"/>
      <c r="G298" s="36"/>
      <c r="H298" s="36"/>
      <c r="I298" s="36"/>
      <c r="J298" s="36"/>
      <c r="K298" s="36"/>
    </row>
    <row r="299" spans="2:11" ht="13.5" customHeight="1">
      <c r="B299" s="36"/>
      <c r="C299" s="36"/>
      <c r="D299" s="36"/>
      <c r="E299" s="36"/>
      <c r="F299" s="36"/>
      <c r="G299" s="36"/>
      <c r="H299" s="36"/>
      <c r="I299" s="36"/>
      <c r="J299" s="36"/>
      <c r="K299" s="36"/>
    </row>
    <row r="300" spans="2:11" ht="13.5" customHeight="1">
      <c r="B300" s="36"/>
      <c r="C300" s="36"/>
      <c r="D300" s="36"/>
      <c r="E300" s="36"/>
      <c r="F300" s="36"/>
      <c r="G300" s="36"/>
      <c r="H300" s="36"/>
      <c r="I300" s="36"/>
      <c r="J300" s="36"/>
      <c r="K300" s="36"/>
    </row>
    <row r="301" spans="2:11" ht="13.5" customHeight="1">
      <c r="B301" s="36"/>
      <c r="C301" s="36"/>
      <c r="D301" s="36"/>
      <c r="E301" s="36"/>
      <c r="F301" s="36"/>
      <c r="G301" s="36"/>
      <c r="H301" s="36"/>
      <c r="I301" s="36"/>
      <c r="J301" s="36"/>
      <c r="K301" s="36"/>
    </row>
    <row r="302" spans="2:11" ht="13.5" customHeight="1">
      <c r="B302" s="36"/>
      <c r="C302" s="36"/>
      <c r="D302" s="36"/>
      <c r="E302" s="36"/>
      <c r="F302" s="36"/>
      <c r="G302" s="36"/>
      <c r="H302" s="36"/>
      <c r="I302" s="36"/>
      <c r="J302" s="36"/>
      <c r="K302" s="36"/>
    </row>
    <row r="303" spans="2:11" ht="13.5" customHeight="1">
      <c r="B303" s="36"/>
      <c r="C303" s="36"/>
      <c r="D303" s="36"/>
      <c r="E303" s="36"/>
      <c r="F303" s="36"/>
      <c r="G303" s="36"/>
      <c r="H303" s="36"/>
      <c r="I303" s="36"/>
      <c r="J303" s="36"/>
      <c r="K303" s="36"/>
    </row>
    <row r="304" spans="2:11" ht="13.5" customHeight="1">
      <c r="B304" s="36"/>
      <c r="C304" s="36"/>
      <c r="D304" s="36"/>
      <c r="E304" s="36"/>
      <c r="F304" s="36"/>
      <c r="G304" s="36"/>
      <c r="H304" s="36"/>
      <c r="I304" s="36"/>
      <c r="J304" s="36"/>
      <c r="K304" s="36"/>
    </row>
    <row r="305" spans="2:11" ht="13.5" customHeight="1">
      <c r="B305" s="36"/>
      <c r="C305" s="36"/>
      <c r="D305" s="36"/>
      <c r="E305" s="36"/>
      <c r="F305" s="36"/>
      <c r="G305" s="36"/>
      <c r="H305" s="36"/>
      <c r="I305" s="36"/>
      <c r="J305" s="36"/>
      <c r="K305" s="36"/>
    </row>
    <row r="306" spans="2:11" ht="13.5" customHeight="1">
      <c r="B306" s="36"/>
      <c r="C306" s="36"/>
      <c r="D306" s="36"/>
      <c r="E306" s="36"/>
      <c r="F306" s="36"/>
      <c r="G306" s="36"/>
      <c r="H306" s="36"/>
      <c r="I306" s="36"/>
      <c r="J306" s="36"/>
      <c r="K306" s="36"/>
    </row>
    <row r="307" spans="2:11" ht="13.5" customHeight="1">
      <c r="B307" s="36"/>
      <c r="C307" s="36"/>
      <c r="D307" s="36"/>
      <c r="E307" s="36"/>
      <c r="F307" s="36"/>
      <c r="G307" s="36"/>
      <c r="H307" s="36"/>
      <c r="I307" s="36"/>
      <c r="J307" s="36"/>
      <c r="K307" s="36"/>
    </row>
    <row r="308" spans="2:11" ht="13.5" customHeight="1">
      <c r="B308" s="36"/>
      <c r="C308" s="36"/>
      <c r="D308" s="36"/>
      <c r="E308" s="36"/>
      <c r="F308" s="36"/>
      <c r="G308" s="36"/>
      <c r="H308" s="36"/>
      <c r="I308" s="36"/>
      <c r="J308" s="36"/>
      <c r="K308" s="36"/>
    </row>
    <row r="309" spans="2:11" ht="13.5" customHeight="1">
      <c r="B309" s="36"/>
      <c r="C309" s="36"/>
      <c r="D309" s="36"/>
      <c r="E309" s="36"/>
      <c r="F309" s="36"/>
      <c r="G309" s="36"/>
      <c r="H309" s="36"/>
      <c r="I309" s="36"/>
      <c r="J309" s="36"/>
      <c r="K309" s="36"/>
    </row>
    <row r="310" spans="2:11" ht="13.5" customHeight="1">
      <c r="B310" s="36"/>
      <c r="C310" s="36"/>
      <c r="D310" s="36"/>
      <c r="E310" s="36"/>
      <c r="F310" s="36"/>
      <c r="G310" s="36"/>
      <c r="H310" s="36"/>
      <c r="I310" s="36"/>
      <c r="J310" s="36"/>
      <c r="K310" s="36"/>
    </row>
    <row r="311" spans="2:11" ht="13.5" customHeight="1">
      <c r="B311" s="36"/>
      <c r="C311" s="36"/>
      <c r="D311" s="36"/>
      <c r="E311" s="36"/>
      <c r="F311" s="36"/>
      <c r="G311" s="36"/>
      <c r="H311" s="36"/>
      <c r="I311" s="36"/>
      <c r="J311" s="36"/>
      <c r="K311" s="36"/>
    </row>
    <row r="312" spans="2:11" ht="13.5" customHeight="1">
      <c r="B312" s="36"/>
      <c r="C312" s="36"/>
      <c r="D312" s="36"/>
      <c r="E312" s="36"/>
      <c r="F312" s="36"/>
      <c r="G312" s="36"/>
      <c r="H312" s="36"/>
      <c r="I312" s="36"/>
      <c r="J312" s="36"/>
      <c r="K312" s="36"/>
    </row>
    <row r="313" spans="2:11" ht="13.5" customHeight="1">
      <c r="B313" s="36"/>
      <c r="C313" s="36"/>
      <c r="D313" s="36"/>
      <c r="E313" s="36"/>
      <c r="F313" s="36"/>
      <c r="G313" s="36"/>
      <c r="H313" s="36"/>
      <c r="I313" s="36"/>
      <c r="J313" s="36"/>
      <c r="K313" s="36"/>
    </row>
    <row r="314" spans="2:11" ht="13.5" customHeight="1">
      <c r="B314" s="36"/>
      <c r="C314" s="36"/>
      <c r="D314" s="36"/>
      <c r="E314" s="36"/>
      <c r="F314" s="36"/>
      <c r="G314" s="36"/>
      <c r="H314" s="36"/>
      <c r="I314" s="36"/>
      <c r="J314" s="36"/>
      <c r="K314" s="36"/>
    </row>
    <row r="315" spans="2:11" ht="13.5" customHeight="1">
      <c r="B315" s="36"/>
      <c r="C315" s="36"/>
      <c r="D315" s="36"/>
      <c r="E315" s="36"/>
      <c r="F315" s="36"/>
      <c r="G315" s="36"/>
      <c r="H315" s="36"/>
      <c r="I315" s="36"/>
      <c r="J315" s="36"/>
      <c r="K315" s="36"/>
    </row>
    <row r="316" spans="2:11" ht="13.5" customHeight="1">
      <c r="B316" s="36"/>
      <c r="C316" s="36"/>
      <c r="D316" s="36"/>
      <c r="E316" s="36"/>
      <c r="F316" s="36"/>
      <c r="G316" s="36"/>
      <c r="H316" s="36"/>
      <c r="I316" s="36"/>
      <c r="J316" s="36"/>
      <c r="K316" s="36"/>
    </row>
    <row r="317" spans="2:11" ht="13.5" customHeight="1">
      <c r="B317" s="36"/>
      <c r="C317" s="36"/>
      <c r="D317" s="36"/>
      <c r="E317" s="36"/>
      <c r="F317" s="36"/>
      <c r="G317" s="36"/>
      <c r="H317" s="36"/>
      <c r="I317" s="36"/>
      <c r="J317" s="36"/>
      <c r="K317" s="36"/>
    </row>
    <row r="318" spans="2:11" ht="13.5" customHeight="1">
      <c r="B318" s="36"/>
      <c r="C318" s="36"/>
      <c r="D318" s="36"/>
      <c r="E318" s="36"/>
      <c r="F318" s="36"/>
      <c r="G318" s="36"/>
      <c r="H318" s="36"/>
      <c r="I318" s="36"/>
      <c r="J318" s="36"/>
      <c r="K318" s="36"/>
    </row>
    <row r="319" spans="2:11" ht="13.5" customHeight="1">
      <c r="B319" s="36"/>
      <c r="C319" s="36"/>
      <c r="D319" s="36"/>
      <c r="E319" s="36"/>
      <c r="F319" s="36"/>
      <c r="G319" s="36"/>
      <c r="H319" s="36"/>
      <c r="I319" s="36"/>
      <c r="J319" s="36"/>
      <c r="K319" s="36"/>
    </row>
    <row r="320" spans="2:11" ht="13.5" customHeight="1">
      <c r="B320" s="36"/>
      <c r="C320" s="36"/>
      <c r="D320" s="36"/>
      <c r="E320" s="36"/>
      <c r="F320" s="36"/>
      <c r="G320" s="36"/>
      <c r="H320" s="36"/>
      <c r="I320" s="36"/>
      <c r="J320" s="36"/>
      <c r="K320" s="36"/>
    </row>
    <row r="321" spans="2:11" ht="13.5" customHeight="1">
      <c r="B321" s="36"/>
      <c r="C321" s="36"/>
      <c r="D321" s="36"/>
      <c r="E321" s="36"/>
      <c r="F321" s="36"/>
      <c r="G321" s="36"/>
      <c r="H321" s="36"/>
      <c r="I321" s="36"/>
      <c r="J321" s="36"/>
      <c r="K321" s="36"/>
    </row>
    <row r="322" spans="2:11" ht="13.5" customHeight="1">
      <c r="B322" s="36"/>
      <c r="C322" s="36"/>
      <c r="D322" s="36"/>
      <c r="E322" s="36"/>
      <c r="F322" s="36"/>
      <c r="G322" s="36"/>
      <c r="H322" s="36"/>
      <c r="I322" s="36"/>
      <c r="J322" s="36"/>
      <c r="K322" s="36"/>
    </row>
    <row r="323" spans="2:11" ht="13.5" customHeight="1">
      <c r="B323" s="36"/>
      <c r="C323" s="36"/>
      <c r="D323" s="36"/>
      <c r="E323" s="36"/>
      <c r="F323" s="36"/>
      <c r="G323" s="36"/>
      <c r="H323" s="36"/>
      <c r="I323" s="36"/>
      <c r="J323" s="36"/>
      <c r="K323" s="36"/>
    </row>
    <row r="324" spans="2:11" ht="13.5" customHeight="1">
      <c r="B324" s="36"/>
      <c r="C324" s="36"/>
      <c r="D324" s="36"/>
      <c r="E324" s="36"/>
      <c r="F324" s="36"/>
      <c r="G324" s="36"/>
      <c r="H324" s="36"/>
      <c r="I324" s="36"/>
      <c r="J324" s="36"/>
      <c r="K324" s="36"/>
    </row>
    <row r="325" spans="2:11" ht="13.5" customHeight="1">
      <c r="B325" s="36"/>
      <c r="C325" s="36"/>
      <c r="D325" s="36"/>
      <c r="E325" s="36"/>
      <c r="F325" s="36"/>
      <c r="G325" s="36"/>
      <c r="H325" s="36"/>
      <c r="I325" s="36"/>
      <c r="J325" s="36"/>
      <c r="K325" s="36"/>
    </row>
    <row r="326" spans="2:11" ht="13.5" customHeight="1">
      <c r="B326" s="36"/>
      <c r="C326" s="36"/>
      <c r="D326" s="36"/>
      <c r="E326" s="36"/>
      <c r="F326" s="36"/>
      <c r="G326" s="36"/>
      <c r="H326" s="36"/>
      <c r="I326" s="36"/>
      <c r="J326" s="36"/>
      <c r="K326" s="36"/>
    </row>
    <row r="327" spans="2:11" ht="13.5" customHeight="1">
      <c r="B327" s="36"/>
      <c r="C327" s="36"/>
      <c r="D327" s="36"/>
      <c r="E327" s="36"/>
      <c r="F327" s="36"/>
      <c r="G327" s="36"/>
      <c r="H327" s="36"/>
      <c r="I327" s="36"/>
      <c r="J327" s="36"/>
      <c r="K327" s="36"/>
    </row>
    <row r="328" spans="2:11" ht="13.5" customHeight="1">
      <c r="B328" s="36"/>
      <c r="C328" s="36"/>
      <c r="D328" s="36"/>
      <c r="E328" s="36"/>
      <c r="F328" s="36"/>
      <c r="G328" s="36"/>
      <c r="H328" s="36"/>
      <c r="I328" s="36"/>
      <c r="J328" s="36"/>
      <c r="K328" s="36"/>
    </row>
    <row r="329" spans="2:11" ht="13.5" customHeight="1">
      <c r="B329" s="36"/>
      <c r="C329" s="36"/>
      <c r="D329" s="36"/>
      <c r="E329" s="36"/>
      <c r="F329" s="36"/>
      <c r="G329" s="36"/>
      <c r="H329" s="36"/>
      <c r="I329" s="36"/>
      <c r="J329" s="36"/>
      <c r="K329" s="36"/>
    </row>
    <row r="330" spans="2:11" ht="13.5" customHeight="1">
      <c r="B330" s="36"/>
      <c r="C330" s="36"/>
      <c r="D330" s="36"/>
      <c r="E330" s="36"/>
      <c r="F330" s="36"/>
      <c r="G330" s="36"/>
      <c r="H330" s="36"/>
      <c r="I330" s="36"/>
      <c r="J330" s="36"/>
      <c r="K330" s="36"/>
    </row>
    <row r="331" spans="2:11" ht="13.5" customHeight="1">
      <c r="B331" s="36"/>
      <c r="C331" s="36"/>
      <c r="D331" s="36"/>
      <c r="E331" s="36"/>
      <c r="F331" s="36"/>
      <c r="G331" s="36"/>
      <c r="H331" s="36"/>
      <c r="I331" s="36"/>
      <c r="J331" s="36"/>
      <c r="K331" s="36"/>
    </row>
    <row r="332" spans="2:11" ht="13.5" customHeight="1">
      <c r="B332" s="36"/>
      <c r="C332" s="36"/>
      <c r="D332" s="36"/>
      <c r="E332" s="36"/>
      <c r="F332" s="36"/>
      <c r="G332" s="36"/>
      <c r="H332" s="36"/>
      <c r="I332" s="36"/>
      <c r="J332" s="36"/>
      <c r="K332" s="36"/>
    </row>
    <row r="333" spans="2:11" ht="13.5" customHeight="1">
      <c r="B333" s="36"/>
      <c r="C333" s="36"/>
      <c r="D333" s="36"/>
      <c r="E333" s="36"/>
      <c r="F333" s="36"/>
      <c r="G333" s="36"/>
      <c r="H333" s="36"/>
      <c r="I333" s="36"/>
      <c r="J333" s="36"/>
      <c r="K333" s="36"/>
    </row>
    <row r="334" spans="2:11" ht="13.5" customHeight="1">
      <c r="B334" s="36"/>
      <c r="C334" s="36"/>
      <c r="D334" s="36"/>
      <c r="E334" s="36"/>
      <c r="F334" s="36"/>
      <c r="G334" s="36"/>
      <c r="H334" s="36"/>
      <c r="I334" s="36"/>
      <c r="J334" s="36"/>
      <c r="K334" s="36"/>
    </row>
    <row r="335" spans="2:11" ht="13.5" customHeight="1">
      <c r="B335" s="36"/>
      <c r="C335" s="36"/>
      <c r="D335" s="36"/>
      <c r="E335" s="36"/>
      <c r="F335" s="36"/>
      <c r="G335" s="36"/>
      <c r="H335" s="36"/>
      <c r="I335" s="36"/>
      <c r="J335" s="36"/>
      <c r="K335" s="36"/>
    </row>
    <row r="336" spans="2:11" ht="13.5" customHeight="1">
      <c r="B336" s="36"/>
      <c r="C336" s="36"/>
      <c r="D336" s="36"/>
      <c r="E336" s="36"/>
      <c r="F336" s="36"/>
      <c r="G336" s="36"/>
      <c r="H336" s="36"/>
      <c r="I336" s="36"/>
      <c r="J336" s="36"/>
      <c r="K336" s="36"/>
    </row>
    <row r="337" spans="2:11" ht="13.5" customHeight="1">
      <c r="B337" s="36"/>
      <c r="C337" s="36"/>
      <c r="D337" s="36"/>
      <c r="E337" s="36"/>
      <c r="F337" s="36"/>
      <c r="G337" s="36"/>
      <c r="H337" s="36"/>
      <c r="I337" s="36"/>
      <c r="J337" s="36"/>
      <c r="K337" s="36"/>
    </row>
    <row r="338" spans="2:11" ht="13.5" customHeight="1">
      <c r="B338" s="36"/>
      <c r="C338" s="36"/>
      <c r="D338" s="36"/>
      <c r="E338" s="36"/>
      <c r="F338" s="36"/>
      <c r="G338" s="36"/>
      <c r="H338" s="36"/>
      <c r="I338" s="36"/>
      <c r="J338" s="36"/>
      <c r="K338" s="36"/>
    </row>
    <row r="339" spans="2:11" ht="13.5" customHeight="1">
      <c r="B339" s="36"/>
      <c r="C339" s="36"/>
      <c r="D339" s="36"/>
      <c r="E339" s="36"/>
      <c r="F339" s="36"/>
      <c r="G339" s="36"/>
      <c r="H339" s="36"/>
      <c r="I339" s="36"/>
      <c r="J339" s="36"/>
      <c r="K339" s="36"/>
    </row>
    <row r="340" spans="2:11" ht="13.5" customHeight="1">
      <c r="B340" s="36"/>
      <c r="C340" s="36"/>
      <c r="D340" s="36"/>
      <c r="E340" s="36"/>
      <c r="F340" s="36"/>
      <c r="G340" s="36"/>
      <c r="H340" s="36"/>
      <c r="I340" s="36"/>
      <c r="J340" s="36"/>
      <c r="K340" s="36"/>
    </row>
    <row r="341" spans="2:11" ht="13.5" customHeight="1">
      <c r="B341" s="36"/>
      <c r="C341" s="36"/>
      <c r="D341" s="36"/>
      <c r="E341" s="36"/>
      <c r="F341" s="36"/>
      <c r="G341" s="36"/>
      <c r="H341" s="36"/>
      <c r="I341" s="36"/>
      <c r="J341" s="36"/>
      <c r="K341" s="36"/>
    </row>
    <row r="342" spans="2:11" ht="13.5" customHeight="1">
      <c r="B342" s="36"/>
      <c r="C342" s="36"/>
      <c r="D342" s="36"/>
      <c r="E342" s="36"/>
      <c r="F342" s="36"/>
      <c r="G342" s="36"/>
      <c r="H342" s="36"/>
      <c r="I342" s="36"/>
      <c r="J342" s="36"/>
      <c r="K342" s="36"/>
    </row>
    <row r="343" spans="2:11" ht="13.5" customHeight="1">
      <c r="B343" s="36"/>
      <c r="C343" s="36"/>
      <c r="D343" s="36"/>
      <c r="E343" s="36"/>
      <c r="F343" s="36"/>
      <c r="G343" s="36"/>
      <c r="H343" s="36"/>
      <c r="I343" s="36"/>
      <c r="J343" s="36"/>
      <c r="K343" s="36"/>
    </row>
    <row r="344" spans="2:11" ht="13.5" customHeight="1">
      <c r="B344" s="36"/>
      <c r="C344" s="36"/>
      <c r="D344" s="36"/>
      <c r="E344" s="36"/>
      <c r="F344" s="36"/>
      <c r="G344" s="36"/>
      <c r="H344" s="36"/>
      <c r="I344" s="36"/>
      <c r="J344" s="36"/>
      <c r="K344" s="36"/>
    </row>
    <row r="345" spans="2:11" ht="13.5" customHeight="1">
      <c r="B345" s="36"/>
      <c r="C345" s="36"/>
      <c r="D345" s="36"/>
      <c r="E345" s="36"/>
      <c r="F345" s="36"/>
      <c r="G345" s="36"/>
      <c r="H345" s="36"/>
      <c r="I345" s="36"/>
      <c r="J345" s="36"/>
      <c r="K345" s="36"/>
    </row>
    <row r="346" spans="2:11" ht="13.5" customHeight="1">
      <c r="B346" s="36"/>
      <c r="C346" s="36"/>
      <c r="D346" s="36"/>
      <c r="E346" s="36"/>
      <c r="F346" s="36"/>
      <c r="G346" s="36"/>
      <c r="H346" s="36"/>
      <c r="I346" s="36"/>
      <c r="J346" s="36"/>
      <c r="K346" s="36"/>
    </row>
    <row r="347" spans="2:11" ht="13.5" customHeight="1">
      <c r="B347" s="36"/>
      <c r="C347" s="36"/>
      <c r="D347" s="36"/>
      <c r="E347" s="36"/>
      <c r="F347" s="36"/>
      <c r="G347" s="36"/>
      <c r="H347" s="36"/>
      <c r="I347" s="36"/>
      <c r="J347" s="36"/>
      <c r="K347" s="36"/>
    </row>
    <row r="348" spans="2:11" ht="13.5" customHeight="1">
      <c r="B348" s="36"/>
      <c r="C348" s="36"/>
      <c r="D348" s="36"/>
      <c r="E348" s="36"/>
      <c r="F348" s="36"/>
      <c r="G348" s="36"/>
      <c r="H348" s="36"/>
      <c r="I348" s="36"/>
      <c r="J348" s="36"/>
      <c r="K348" s="36"/>
    </row>
    <row r="349" spans="2:11" ht="13.5" customHeight="1">
      <c r="B349" s="36"/>
      <c r="C349" s="36"/>
      <c r="D349" s="36"/>
      <c r="E349" s="36"/>
      <c r="F349" s="36"/>
      <c r="G349" s="36"/>
      <c r="H349" s="36"/>
      <c r="I349" s="36"/>
      <c r="J349" s="36"/>
      <c r="K349" s="36"/>
    </row>
    <row r="350" spans="2:11" ht="13.5" customHeight="1">
      <c r="B350" s="36"/>
      <c r="C350" s="36"/>
      <c r="D350" s="36"/>
      <c r="E350" s="36"/>
      <c r="F350" s="36"/>
      <c r="G350" s="36"/>
      <c r="H350" s="36"/>
      <c r="I350" s="36"/>
      <c r="J350" s="36"/>
      <c r="K350" s="36"/>
    </row>
    <row r="351" spans="2:11" ht="12.75">
      <c r="B351" s="36"/>
      <c r="C351" s="36"/>
      <c r="D351" s="36"/>
      <c r="E351" s="36"/>
      <c r="F351" s="36"/>
      <c r="G351" s="36"/>
      <c r="H351" s="36"/>
      <c r="I351" s="36"/>
      <c r="J351" s="36"/>
      <c r="K351" s="36"/>
    </row>
    <row r="352" spans="2:11" ht="12.75">
      <c r="B352" s="36"/>
      <c r="C352" s="36"/>
      <c r="D352" s="36"/>
      <c r="E352" s="36"/>
      <c r="F352" s="36"/>
      <c r="G352" s="36"/>
      <c r="H352" s="36"/>
      <c r="I352" s="36"/>
      <c r="J352" s="36"/>
      <c r="K352" s="36"/>
    </row>
    <row r="353" spans="2:11" ht="12.75">
      <c r="B353" s="36"/>
      <c r="C353" s="36"/>
      <c r="D353" s="36"/>
      <c r="E353" s="36"/>
      <c r="F353" s="36"/>
      <c r="G353" s="36"/>
      <c r="H353" s="36"/>
      <c r="I353" s="36"/>
      <c r="J353" s="36"/>
      <c r="K353" s="36"/>
    </row>
    <row r="354" spans="2:11" ht="12.75">
      <c r="B354" s="36"/>
      <c r="C354" s="36"/>
      <c r="D354" s="36"/>
      <c r="E354" s="36"/>
      <c r="F354" s="36"/>
      <c r="G354" s="36"/>
      <c r="H354" s="36"/>
      <c r="I354" s="36"/>
      <c r="J354" s="36"/>
      <c r="K354" s="36"/>
    </row>
    <row r="355" spans="2:11" ht="12.75">
      <c r="B355" s="36"/>
      <c r="C355" s="36"/>
      <c r="D355" s="36"/>
      <c r="E355" s="36"/>
      <c r="F355" s="36"/>
      <c r="G355" s="36"/>
      <c r="H355" s="36"/>
      <c r="I355" s="36"/>
      <c r="J355" s="36"/>
      <c r="K355" s="36"/>
    </row>
    <row r="356" spans="2:11" ht="12.75">
      <c r="B356" s="36"/>
      <c r="C356" s="36"/>
      <c r="D356" s="36"/>
      <c r="E356" s="36"/>
      <c r="F356" s="36"/>
      <c r="G356" s="36"/>
      <c r="H356" s="36"/>
      <c r="I356" s="36"/>
      <c r="J356" s="36"/>
      <c r="K356" s="36"/>
    </row>
    <row r="357" spans="2:11" ht="12.75">
      <c r="B357" s="36"/>
      <c r="C357" s="36"/>
      <c r="D357" s="36"/>
      <c r="E357" s="36"/>
      <c r="F357" s="36"/>
      <c r="G357" s="36"/>
      <c r="H357" s="36"/>
      <c r="I357" s="36"/>
      <c r="J357" s="36"/>
      <c r="K357" s="36"/>
    </row>
    <row r="358" spans="2:11" ht="12.75">
      <c r="B358" s="36"/>
      <c r="C358" s="36"/>
      <c r="D358" s="36"/>
      <c r="E358" s="36"/>
      <c r="F358" s="36"/>
      <c r="G358" s="36"/>
      <c r="H358" s="36"/>
      <c r="I358" s="36"/>
      <c r="J358" s="36"/>
      <c r="K358" s="36"/>
    </row>
    <row r="359" spans="2:11" ht="12.75">
      <c r="B359" s="36"/>
      <c r="C359" s="36"/>
      <c r="D359" s="36"/>
      <c r="E359" s="36"/>
      <c r="F359" s="36"/>
      <c r="G359" s="36"/>
      <c r="H359" s="36"/>
      <c r="I359" s="36"/>
      <c r="J359" s="36"/>
      <c r="K359" s="36"/>
    </row>
    <row r="360" spans="2:11" ht="12.75">
      <c r="B360" s="36"/>
      <c r="C360" s="36"/>
      <c r="D360" s="36"/>
      <c r="E360" s="36"/>
      <c r="F360" s="36"/>
      <c r="G360" s="36"/>
      <c r="H360" s="36"/>
      <c r="I360" s="36"/>
      <c r="J360" s="36"/>
      <c r="K360" s="36"/>
    </row>
    <row r="361" spans="2:11" ht="12.75">
      <c r="B361" s="36"/>
      <c r="C361" s="36"/>
      <c r="D361" s="36"/>
      <c r="E361" s="36"/>
      <c r="F361" s="36"/>
      <c r="G361" s="36"/>
      <c r="H361" s="36"/>
      <c r="I361" s="36"/>
      <c r="J361" s="36"/>
      <c r="K361" s="36"/>
    </row>
    <row r="362" spans="2:11" ht="12.75">
      <c r="B362" s="36"/>
      <c r="C362" s="36"/>
      <c r="D362" s="36"/>
      <c r="E362" s="36"/>
      <c r="F362" s="36"/>
      <c r="G362" s="36"/>
      <c r="H362" s="36"/>
      <c r="I362" s="36"/>
      <c r="J362" s="36"/>
      <c r="K362" s="36"/>
    </row>
    <row r="363" spans="2:11" ht="12.75">
      <c r="B363" s="36"/>
      <c r="C363" s="36"/>
      <c r="D363" s="36"/>
      <c r="E363" s="36"/>
      <c r="F363" s="36"/>
      <c r="G363" s="36"/>
      <c r="H363" s="36"/>
      <c r="I363" s="36"/>
      <c r="J363" s="36"/>
      <c r="K363" s="36"/>
    </row>
    <row r="364" spans="2:11" ht="12.75">
      <c r="B364" s="36"/>
      <c r="C364" s="36"/>
      <c r="D364" s="36"/>
      <c r="E364" s="36"/>
      <c r="F364" s="36"/>
      <c r="G364" s="36"/>
      <c r="H364" s="36"/>
      <c r="I364" s="36"/>
      <c r="J364" s="36"/>
      <c r="K364" s="36"/>
    </row>
    <row r="365" spans="2:11" ht="12.75">
      <c r="B365" s="36"/>
      <c r="C365" s="36"/>
      <c r="D365" s="36"/>
      <c r="E365" s="36"/>
      <c r="F365" s="36"/>
      <c r="G365" s="36"/>
      <c r="H365" s="36"/>
      <c r="I365" s="36"/>
      <c r="J365" s="36"/>
      <c r="K365" s="36"/>
    </row>
    <row r="366" spans="2:11" ht="12.75">
      <c r="B366" s="36"/>
      <c r="C366" s="36"/>
      <c r="D366" s="36"/>
      <c r="E366" s="36"/>
      <c r="F366" s="36"/>
      <c r="G366" s="36"/>
      <c r="H366" s="36"/>
      <c r="I366" s="36"/>
      <c r="J366" s="36"/>
      <c r="K366" s="36"/>
    </row>
    <row r="367" spans="2:11" ht="12.75">
      <c r="B367" s="36"/>
      <c r="C367" s="36"/>
      <c r="D367" s="36"/>
      <c r="E367" s="36"/>
      <c r="F367" s="36"/>
      <c r="G367" s="36"/>
      <c r="H367" s="36"/>
      <c r="I367" s="36"/>
      <c r="J367" s="36"/>
      <c r="K367" s="36"/>
    </row>
    <row r="368" spans="2:11" ht="12.75">
      <c r="B368" s="36"/>
      <c r="C368" s="36"/>
      <c r="D368" s="36"/>
      <c r="E368" s="36"/>
      <c r="F368" s="36"/>
      <c r="G368" s="36"/>
      <c r="H368" s="36"/>
      <c r="I368" s="36"/>
      <c r="J368" s="36"/>
      <c r="K368" s="36"/>
    </row>
    <row r="369" spans="2:11" ht="12.75">
      <c r="B369" s="36"/>
      <c r="C369" s="36"/>
      <c r="D369" s="36"/>
      <c r="E369" s="36"/>
      <c r="F369" s="36"/>
      <c r="G369" s="36"/>
      <c r="H369" s="36"/>
      <c r="I369" s="36"/>
      <c r="J369" s="36"/>
      <c r="K369" s="36"/>
    </row>
    <row r="370" spans="2:11" ht="12.75">
      <c r="B370" s="36"/>
      <c r="C370" s="36"/>
      <c r="D370" s="36"/>
      <c r="E370" s="36"/>
      <c r="F370" s="36"/>
      <c r="G370" s="36"/>
      <c r="H370" s="36"/>
      <c r="I370" s="36"/>
      <c r="J370" s="36"/>
      <c r="K370" s="36"/>
    </row>
    <row r="371" spans="2:11" ht="12.75">
      <c r="B371" s="36"/>
      <c r="C371" s="36"/>
      <c r="D371" s="36"/>
      <c r="E371" s="36"/>
      <c r="F371" s="36"/>
      <c r="G371" s="36"/>
      <c r="H371" s="36"/>
      <c r="I371" s="36"/>
      <c r="J371" s="36"/>
      <c r="K371" s="36"/>
    </row>
    <row r="372" spans="2:11" ht="12.75">
      <c r="B372" s="36"/>
      <c r="C372" s="36"/>
      <c r="D372" s="36"/>
      <c r="E372" s="36"/>
      <c r="F372" s="36"/>
      <c r="G372" s="36"/>
      <c r="H372" s="36"/>
      <c r="I372" s="36"/>
      <c r="J372" s="36"/>
      <c r="K372" s="36"/>
    </row>
    <row r="373" spans="2:11" ht="12.75">
      <c r="B373" s="36"/>
      <c r="C373" s="36"/>
      <c r="D373" s="36"/>
      <c r="E373" s="36"/>
      <c r="F373" s="36"/>
      <c r="G373" s="36"/>
      <c r="H373" s="36"/>
      <c r="I373" s="36"/>
      <c r="J373" s="36"/>
      <c r="K373" s="36"/>
    </row>
    <row r="374" spans="2:11" ht="12.75">
      <c r="B374" s="36"/>
      <c r="C374" s="36"/>
      <c r="D374" s="36"/>
      <c r="E374" s="36"/>
      <c r="F374" s="36"/>
      <c r="G374" s="36"/>
      <c r="H374" s="36"/>
      <c r="I374" s="36"/>
      <c r="J374" s="36"/>
      <c r="K374" s="36"/>
    </row>
    <row r="375" spans="2:11" ht="12.75">
      <c r="B375" s="36"/>
      <c r="C375" s="36"/>
      <c r="D375" s="36"/>
      <c r="E375" s="36"/>
      <c r="F375" s="36"/>
      <c r="G375" s="36"/>
      <c r="H375" s="36"/>
      <c r="I375" s="36"/>
      <c r="J375" s="36"/>
      <c r="K375" s="36"/>
    </row>
    <row r="376" spans="2:11" ht="12.75">
      <c r="B376" s="36"/>
      <c r="C376" s="36"/>
      <c r="D376" s="36"/>
      <c r="E376" s="36"/>
      <c r="F376" s="36"/>
      <c r="G376" s="36"/>
      <c r="H376" s="36"/>
      <c r="I376" s="36"/>
      <c r="J376" s="36"/>
      <c r="K376" s="36"/>
    </row>
    <row r="377" spans="2:11" ht="12.75">
      <c r="B377" s="36"/>
      <c r="C377" s="36"/>
      <c r="D377" s="36"/>
      <c r="E377" s="36"/>
      <c r="F377" s="36"/>
      <c r="G377" s="36"/>
      <c r="H377" s="36"/>
      <c r="I377" s="36"/>
      <c r="J377" s="36"/>
      <c r="K377" s="36"/>
    </row>
    <row r="378" spans="2:11" ht="12.75">
      <c r="B378" s="36"/>
      <c r="C378" s="36"/>
      <c r="D378" s="36"/>
      <c r="E378" s="36"/>
      <c r="F378" s="36"/>
      <c r="G378" s="36"/>
      <c r="H378" s="36"/>
      <c r="I378" s="36"/>
      <c r="J378" s="36"/>
      <c r="K378" s="36"/>
    </row>
    <row r="379" spans="2:11" ht="12.75">
      <c r="B379" s="36"/>
      <c r="C379" s="36"/>
      <c r="D379" s="36"/>
      <c r="E379" s="36"/>
      <c r="F379" s="36"/>
      <c r="G379" s="36"/>
      <c r="H379" s="36"/>
      <c r="I379" s="36"/>
      <c r="J379" s="36"/>
      <c r="K379" s="36"/>
    </row>
    <row r="380" spans="2:11" ht="12.75">
      <c r="B380" s="36"/>
      <c r="C380" s="36"/>
      <c r="D380" s="36"/>
      <c r="E380" s="36"/>
      <c r="F380" s="36"/>
      <c r="G380" s="36"/>
      <c r="H380" s="36"/>
      <c r="I380" s="36"/>
      <c r="J380" s="36"/>
      <c r="K380" s="36"/>
    </row>
    <row r="381" spans="2:11" ht="12.75">
      <c r="B381" s="36"/>
      <c r="C381" s="36"/>
      <c r="D381" s="36"/>
      <c r="E381" s="36"/>
      <c r="F381" s="36"/>
      <c r="G381" s="36"/>
      <c r="H381" s="36"/>
      <c r="I381" s="36"/>
      <c r="J381" s="36"/>
      <c r="K381" s="36"/>
    </row>
    <row r="382" spans="2:11" ht="12.75">
      <c r="B382" s="36"/>
      <c r="C382" s="36"/>
      <c r="D382" s="36"/>
      <c r="E382" s="36"/>
      <c r="F382" s="36"/>
      <c r="G382" s="36"/>
      <c r="H382" s="36"/>
      <c r="I382" s="36"/>
      <c r="J382" s="36"/>
      <c r="K382" s="36"/>
    </row>
    <row r="383" spans="2:11" ht="12.75">
      <c r="B383" s="36"/>
      <c r="C383" s="36"/>
      <c r="D383" s="36"/>
      <c r="E383" s="36"/>
      <c r="F383" s="36"/>
      <c r="G383" s="36"/>
      <c r="H383" s="36"/>
      <c r="I383" s="36"/>
      <c r="J383" s="36"/>
      <c r="K383" s="36"/>
    </row>
    <row r="384" spans="2:11" ht="12.75">
      <c r="B384" s="36"/>
      <c r="C384" s="36"/>
      <c r="D384" s="36"/>
      <c r="E384" s="36"/>
      <c r="F384" s="36"/>
      <c r="G384" s="36"/>
      <c r="H384" s="36"/>
      <c r="I384" s="36"/>
      <c r="J384" s="36"/>
      <c r="K384" s="36"/>
    </row>
    <row r="385" spans="2:11" ht="12.75">
      <c r="B385" s="36"/>
      <c r="C385" s="36"/>
      <c r="D385" s="36"/>
      <c r="E385" s="36"/>
      <c r="F385" s="36"/>
      <c r="G385" s="36"/>
      <c r="H385" s="36"/>
      <c r="I385" s="36"/>
      <c r="J385" s="36"/>
      <c r="K385" s="36"/>
    </row>
    <row r="386" spans="2:11" ht="12.75">
      <c r="B386" s="36"/>
      <c r="C386" s="36"/>
      <c r="D386" s="36"/>
      <c r="E386" s="36"/>
      <c r="F386" s="36"/>
      <c r="G386" s="36"/>
      <c r="H386" s="36"/>
      <c r="I386" s="36"/>
      <c r="J386" s="36"/>
      <c r="K386" s="36"/>
    </row>
    <row r="387" spans="2:11" ht="12.75">
      <c r="B387" s="36"/>
      <c r="C387" s="36"/>
      <c r="D387" s="36"/>
      <c r="E387" s="36"/>
      <c r="F387" s="36"/>
      <c r="G387" s="36"/>
      <c r="H387" s="36"/>
      <c r="I387" s="36"/>
      <c r="J387" s="36"/>
      <c r="K387" s="36"/>
    </row>
    <row r="388" spans="2:11" ht="12.75">
      <c r="B388" s="36"/>
      <c r="C388" s="36"/>
      <c r="D388" s="36"/>
      <c r="E388" s="36"/>
      <c r="F388" s="36"/>
      <c r="G388" s="36"/>
      <c r="H388" s="36"/>
      <c r="I388" s="36"/>
      <c r="J388" s="36"/>
      <c r="K388" s="36"/>
    </row>
    <row r="389" spans="2:11" ht="12.75">
      <c r="B389" s="36"/>
      <c r="C389" s="36"/>
      <c r="D389" s="36"/>
      <c r="E389" s="36"/>
      <c r="F389" s="36"/>
      <c r="G389" s="36"/>
      <c r="H389" s="36"/>
      <c r="I389" s="36"/>
      <c r="J389" s="36"/>
      <c r="K389" s="36"/>
    </row>
    <row r="390" spans="2:11" ht="12.75">
      <c r="B390" s="36"/>
      <c r="C390" s="36"/>
      <c r="D390" s="36"/>
      <c r="E390" s="36"/>
      <c r="F390" s="36"/>
      <c r="G390" s="36"/>
      <c r="H390" s="36"/>
      <c r="I390" s="36"/>
      <c r="J390" s="36"/>
      <c r="K390" s="36"/>
    </row>
    <row r="391" spans="2:11" ht="12.75">
      <c r="B391" s="36"/>
      <c r="C391" s="36"/>
      <c r="D391" s="36"/>
      <c r="E391" s="36"/>
      <c r="F391" s="36"/>
      <c r="G391" s="36"/>
      <c r="H391" s="36"/>
      <c r="I391" s="36"/>
      <c r="J391" s="36"/>
      <c r="K391" s="36"/>
    </row>
    <row r="392" spans="2:11" ht="12.75">
      <c r="B392" s="36"/>
      <c r="C392" s="36"/>
      <c r="D392" s="36"/>
      <c r="E392" s="36"/>
      <c r="F392" s="36"/>
      <c r="G392" s="36"/>
      <c r="H392" s="36"/>
      <c r="I392" s="36"/>
      <c r="J392" s="36"/>
      <c r="K392" s="36"/>
    </row>
    <row r="393" spans="2:11" ht="12.75">
      <c r="B393" s="36"/>
      <c r="C393" s="36"/>
      <c r="D393" s="36"/>
      <c r="E393" s="36"/>
      <c r="F393" s="36"/>
      <c r="G393" s="36"/>
      <c r="H393" s="36"/>
      <c r="I393" s="36"/>
      <c r="J393" s="36"/>
      <c r="K393" s="36"/>
    </row>
    <row r="394" spans="2:11" ht="12.75">
      <c r="B394" s="36"/>
      <c r="C394" s="36"/>
      <c r="D394" s="36"/>
      <c r="E394" s="36"/>
      <c r="F394" s="36"/>
      <c r="G394" s="36"/>
      <c r="H394" s="36"/>
      <c r="I394" s="36"/>
      <c r="J394" s="36"/>
      <c r="K394" s="36"/>
    </row>
    <row r="395" spans="2:11" ht="12.75">
      <c r="B395" s="36"/>
      <c r="C395" s="36"/>
      <c r="D395" s="36"/>
      <c r="E395" s="36"/>
      <c r="F395" s="36"/>
      <c r="G395" s="36"/>
      <c r="H395" s="36"/>
      <c r="I395" s="36"/>
      <c r="J395" s="36"/>
      <c r="K395" s="36"/>
    </row>
    <row r="396" spans="2:11" ht="12.75">
      <c r="B396" s="36"/>
      <c r="C396" s="36"/>
      <c r="D396" s="36"/>
      <c r="E396" s="36"/>
      <c r="F396" s="36"/>
      <c r="G396" s="36"/>
      <c r="H396" s="36"/>
      <c r="I396" s="36"/>
      <c r="J396" s="36"/>
      <c r="K396" s="36"/>
    </row>
    <row r="397" spans="2:11" ht="12.75">
      <c r="B397" s="36"/>
      <c r="C397" s="36"/>
      <c r="D397" s="36"/>
      <c r="E397" s="36"/>
      <c r="F397" s="36"/>
      <c r="G397" s="36"/>
      <c r="H397" s="36"/>
      <c r="I397" s="36"/>
      <c r="J397" s="36"/>
      <c r="K397" s="36"/>
    </row>
    <row r="398" spans="2:11" ht="12.75">
      <c r="B398" s="36"/>
      <c r="C398" s="36"/>
      <c r="D398" s="36"/>
      <c r="E398" s="36"/>
      <c r="F398" s="36"/>
      <c r="G398" s="36"/>
      <c r="H398" s="36"/>
      <c r="I398" s="36"/>
      <c r="J398" s="36"/>
      <c r="K398" s="36"/>
    </row>
    <row r="399" spans="2:11" ht="12.75">
      <c r="B399" s="36"/>
      <c r="C399" s="36"/>
      <c r="D399" s="36"/>
      <c r="E399" s="36"/>
      <c r="F399" s="36"/>
      <c r="G399" s="36"/>
      <c r="H399" s="36"/>
      <c r="I399" s="36"/>
      <c r="J399" s="36"/>
      <c r="K399" s="36"/>
    </row>
    <row r="400" spans="2:11" ht="12.75">
      <c r="B400" s="36"/>
      <c r="C400" s="36"/>
      <c r="D400" s="36"/>
      <c r="E400" s="36"/>
      <c r="F400" s="36"/>
      <c r="G400" s="36"/>
      <c r="H400" s="36"/>
      <c r="I400" s="36"/>
      <c r="J400" s="36"/>
      <c r="K400" s="36"/>
    </row>
    <row r="401" spans="2:11" ht="12.75">
      <c r="B401" s="36"/>
      <c r="C401" s="36"/>
      <c r="D401" s="36"/>
      <c r="E401" s="36"/>
      <c r="F401" s="36"/>
      <c r="G401" s="36"/>
      <c r="H401" s="36"/>
      <c r="I401" s="36"/>
      <c r="J401" s="36"/>
      <c r="K401" s="36"/>
    </row>
    <row r="402" spans="2:11" ht="12.75">
      <c r="B402" s="36"/>
      <c r="C402" s="36"/>
      <c r="D402" s="36"/>
      <c r="E402" s="36"/>
      <c r="F402" s="36"/>
      <c r="G402" s="36"/>
      <c r="H402" s="36"/>
      <c r="I402" s="36"/>
      <c r="J402" s="36"/>
      <c r="K402" s="36"/>
    </row>
    <row r="403" spans="2:11" ht="12.75">
      <c r="B403" s="36"/>
      <c r="C403" s="36"/>
      <c r="D403" s="36"/>
      <c r="E403" s="36"/>
      <c r="F403" s="36"/>
      <c r="G403" s="36"/>
      <c r="H403" s="36"/>
      <c r="I403" s="36"/>
      <c r="J403" s="36"/>
      <c r="K403" s="36"/>
    </row>
    <row r="404" spans="2:11" ht="12.75">
      <c r="B404" s="36"/>
      <c r="C404" s="36"/>
      <c r="D404" s="36"/>
      <c r="E404" s="36"/>
      <c r="F404" s="36"/>
      <c r="G404" s="36"/>
      <c r="H404" s="36"/>
      <c r="I404" s="36"/>
      <c r="J404" s="36"/>
      <c r="K404" s="36"/>
    </row>
    <row r="405" spans="2:11" ht="12.75">
      <c r="B405" s="36"/>
      <c r="C405" s="36"/>
      <c r="D405" s="36"/>
      <c r="E405" s="36"/>
      <c r="F405" s="36"/>
      <c r="G405" s="36"/>
      <c r="H405" s="36"/>
      <c r="I405" s="36"/>
      <c r="J405" s="36"/>
      <c r="K405" s="36"/>
    </row>
    <row r="406" spans="2:11" ht="12.75">
      <c r="B406" s="36"/>
      <c r="C406" s="36"/>
      <c r="D406" s="36"/>
      <c r="E406" s="36"/>
      <c r="F406" s="36"/>
      <c r="G406" s="36"/>
      <c r="H406" s="36"/>
      <c r="I406" s="36"/>
      <c r="J406" s="36"/>
      <c r="K406" s="36"/>
    </row>
    <row r="407" spans="2:11" ht="12.75">
      <c r="B407" s="36"/>
      <c r="C407" s="36"/>
      <c r="D407" s="36"/>
      <c r="E407" s="36"/>
      <c r="F407" s="36"/>
      <c r="G407" s="36"/>
      <c r="H407" s="36"/>
      <c r="I407" s="36"/>
      <c r="J407" s="36"/>
      <c r="K407" s="36"/>
    </row>
    <row r="408" spans="2:11" ht="12.75">
      <c r="B408" s="36"/>
      <c r="C408" s="36"/>
      <c r="D408" s="36"/>
      <c r="E408" s="36"/>
      <c r="F408" s="36"/>
      <c r="G408" s="36"/>
      <c r="H408" s="36"/>
      <c r="I408" s="36"/>
      <c r="J408" s="36"/>
      <c r="K408" s="36"/>
    </row>
    <row r="409" spans="2:11" ht="12.75">
      <c r="B409" s="36"/>
      <c r="C409" s="36"/>
      <c r="D409" s="36"/>
      <c r="E409" s="36"/>
      <c r="F409" s="36"/>
      <c r="G409" s="36"/>
      <c r="H409" s="36"/>
      <c r="I409" s="36"/>
      <c r="J409" s="36"/>
      <c r="K409" s="36"/>
    </row>
    <row r="410" spans="2:11" ht="12.75">
      <c r="B410" s="36"/>
      <c r="C410" s="36"/>
      <c r="D410" s="36"/>
      <c r="E410" s="36"/>
      <c r="F410" s="36"/>
      <c r="G410" s="36"/>
      <c r="H410" s="36"/>
      <c r="I410" s="36"/>
      <c r="J410" s="36"/>
      <c r="K410" s="36"/>
    </row>
    <row r="411" spans="2:11" ht="12.75">
      <c r="B411" s="36"/>
      <c r="C411" s="36"/>
      <c r="D411" s="36"/>
      <c r="E411" s="36"/>
      <c r="F411" s="36"/>
      <c r="G411" s="36"/>
      <c r="H411" s="36"/>
      <c r="I411" s="36"/>
      <c r="J411" s="36"/>
      <c r="K411" s="36"/>
    </row>
    <row r="412" spans="2:11" ht="12.75">
      <c r="B412" s="36"/>
      <c r="C412" s="36"/>
      <c r="D412" s="36"/>
      <c r="E412" s="36"/>
      <c r="F412" s="36"/>
      <c r="G412" s="36"/>
      <c r="H412" s="36"/>
      <c r="I412" s="36"/>
      <c r="J412" s="36"/>
      <c r="K412" s="36"/>
    </row>
    <row r="413" spans="2:11" ht="12.75">
      <c r="B413" s="36"/>
      <c r="C413" s="36"/>
      <c r="D413" s="36"/>
      <c r="E413" s="36"/>
      <c r="F413" s="36"/>
      <c r="G413" s="36"/>
      <c r="H413" s="36"/>
      <c r="I413" s="36"/>
      <c r="J413" s="36"/>
      <c r="K413" s="36"/>
    </row>
    <row r="414" spans="2:11" ht="12.75">
      <c r="B414" s="36"/>
      <c r="C414" s="36"/>
      <c r="D414" s="36"/>
      <c r="E414" s="36"/>
      <c r="F414" s="36"/>
      <c r="G414" s="36"/>
      <c r="H414" s="36"/>
      <c r="I414" s="36"/>
      <c r="J414" s="36"/>
      <c r="K414" s="36"/>
    </row>
    <row r="415" spans="2:11" ht="12.75">
      <c r="B415" s="36"/>
      <c r="C415" s="36"/>
      <c r="D415" s="36"/>
      <c r="E415" s="36"/>
      <c r="F415" s="36"/>
      <c r="G415" s="36"/>
      <c r="H415" s="36"/>
      <c r="I415" s="36"/>
      <c r="J415" s="36"/>
      <c r="K415" s="36"/>
    </row>
    <row r="416" spans="2:11" ht="12.75">
      <c r="B416" s="36"/>
      <c r="C416" s="36"/>
      <c r="D416" s="36"/>
      <c r="E416" s="36"/>
      <c r="F416" s="36"/>
      <c r="G416" s="36"/>
      <c r="H416" s="36"/>
      <c r="I416" s="36"/>
      <c r="J416" s="36"/>
      <c r="K416" s="36"/>
    </row>
    <row r="417" spans="2:11" ht="12.75">
      <c r="B417" s="36"/>
      <c r="C417" s="36"/>
      <c r="D417" s="36"/>
      <c r="E417" s="36"/>
      <c r="F417" s="36"/>
      <c r="G417" s="36"/>
      <c r="H417" s="36"/>
      <c r="I417" s="36"/>
      <c r="J417" s="36"/>
      <c r="K417" s="36"/>
    </row>
    <row r="418" spans="2:11" ht="12.75">
      <c r="B418" s="36"/>
      <c r="C418" s="36"/>
      <c r="D418" s="36"/>
      <c r="E418" s="36"/>
      <c r="F418" s="36"/>
      <c r="G418" s="36"/>
      <c r="H418" s="36"/>
      <c r="I418" s="36"/>
      <c r="J418" s="36"/>
      <c r="K418" s="36"/>
    </row>
    <row r="419" spans="2:11" ht="12.75">
      <c r="B419" s="36"/>
      <c r="C419" s="36"/>
      <c r="D419" s="36"/>
      <c r="E419" s="36"/>
      <c r="F419" s="36"/>
      <c r="G419" s="36"/>
      <c r="H419" s="36"/>
      <c r="I419" s="36"/>
      <c r="J419" s="36"/>
      <c r="K419" s="36"/>
    </row>
    <row r="420" spans="2:11" ht="12.75">
      <c r="B420" s="36"/>
      <c r="C420" s="36"/>
      <c r="D420" s="36"/>
      <c r="E420" s="36"/>
      <c r="F420" s="36"/>
      <c r="G420" s="36"/>
      <c r="H420" s="36"/>
      <c r="I420" s="36"/>
      <c r="J420" s="36"/>
      <c r="K420" s="36"/>
    </row>
    <row r="421" spans="2:11" ht="12.75">
      <c r="B421" s="36"/>
      <c r="C421" s="36"/>
      <c r="D421" s="36"/>
      <c r="E421" s="36"/>
      <c r="F421" s="36"/>
      <c r="G421" s="36"/>
      <c r="H421" s="36"/>
      <c r="I421" s="36"/>
      <c r="J421" s="36"/>
      <c r="K421" s="36"/>
    </row>
    <row r="422" spans="2:11" ht="12.75">
      <c r="B422" s="36"/>
      <c r="C422" s="36"/>
      <c r="D422" s="36"/>
      <c r="E422" s="36"/>
      <c r="F422" s="36"/>
      <c r="G422" s="36"/>
      <c r="H422" s="36"/>
      <c r="I422" s="36"/>
      <c r="J422" s="36"/>
      <c r="K422" s="36"/>
    </row>
    <row r="423" spans="2:11" ht="12.75">
      <c r="B423" s="36"/>
      <c r="C423" s="36"/>
      <c r="D423" s="36"/>
      <c r="E423" s="36"/>
      <c r="F423" s="36"/>
      <c r="G423" s="36"/>
      <c r="H423" s="36"/>
      <c r="I423" s="36"/>
      <c r="J423" s="36"/>
      <c r="K423" s="36"/>
    </row>
    <row r="424" spans="2:11" ht="12.75">
      <c r="B424" s="36"/>
      <c r="C424" s="36"/>
      <c r="D424" s="36"/>
      <c r="E424" s="36"/>
      <c r="F424" s="36"/>
      <c r="G424" s="36"/>
      <c r="H424" s="36"/>
      <c r="I424" s="36"/>
      <c r="J424" s="36"/>
      <c r="K424" s="36"/>
    </row>
    <row r="425" spans="2:11" ht="12.75">
      <c r="B425" s="36"/>
      <c r="C425" s="36"/>
      <c r="D425" s="36"/>
      <c r="E425" s="36"/>
      <c r="F425" s="36"/>
      <c r="G425" s="36"/>
      <c r="H425" s="36"/>
      <c r="I425" s="36"/>
      <c r="J425" s="36"/>
      <c r="K425" s="36"/>
    </row>
    <row r="426" spans="2:11" ht="12.75">
      <c r="B426" s="36"/>
      <c r="C426" s="36"/>
      <c r="D426" s="36"/>
      <c r="E426" s="36"/>
      <c r="F426" s="36"/>
      <c r="G426" s="36"/>
      <c r="H426" s="36"/>
      <c r="I426" s="36"/>
      <c r="J426" s="36"/>
      <c r="K426" s="36"/>
    </row>
    <row r="427" spans="2:11" ht="12.75">
      <c r="B427" s="36"/>
      <c r="C427" s="36"/>
      <c r="D427" s="36"/>
      <c r="E427" s="36"/>
      <c r="F427" s="36"/>
      <c r="G427" s="36"/>
      <c r="H427" s="36"/>
      <c r="I427" s="36"/>
      <c r="J427" s="36"/>
      <c r="K427" s="36"/>
    </row>
    <row r="428" spans="2:11" ht="12.75">
      <c r="B428" s="36"/>
      <c r="C428" s="36"/>
      <c r="D428" s="36"/>
      <c r="E428" s="36"/>
      <c r="F428" s="36"/>
      <c r="G428" s="36"/>
      <c r="H428" s="36"/>
      <c r="I428" s="36"/>
      <c r="J428" s="36"/>
      <c r="K428" s="36"/>
    </row>
    <row r="429" spans="2:11" ht="12.75">
      <c r="B429" s="36"/>
      <c r="C429" s="36"/>
      <c r="D429" s="36"/>
      <c r="E429" s="36"/>
      <c r="F429" s="36"/>
      <c r="G429" s="36"/>
      <c r="H429" s="36"/>
      <c r="I429" s="36"/>
      <c r="J429" s="36"/>
      <c r="K429" s="36"/>
    </row>
    <row r="430" spans="2:11" ht="12.75">
      <c r="B430" s="36"/>
      <c r="C430" s="36"/>
      <c r="D430" s="36"/>
      <c r="E430" s="36"/>
      <c r="F430" s="36"/>
      <c r="G430" s="36"/>
      <c r="H430" s="36"/>
      <c r="I430" s="36"/>
      <c r="J430" s="36"/>
      <c r="K430" s="36"/>
    </row>
    <row r="431" spans="2:11" ht="12.75">
      <c r="B431" s="36"/>
      <c r="C431" s="36"/>
      <c r="D431" s="36"/>
      <c r="E431" s="36"/>
      <c r="F431" s="36"/>
      <c r="G431" s="36"/>
      <c r="H431" s="36"/>
      <c r="I431" s="36"/>
      <c r="J431" s="36"/>
      <c r="K431" s="36"/>
    </row>
    <row r="432" spans="2:11" ht="12.75">
      <c r="B432" s="36"/>
      <c r="C432" s="36"/>
      <c r="D432" s="36"/>
      <c r="E432" s="36"/>
      <c r="F432" s="36"/>
      <c r="G432" s="36"/>
      <c r="H432" s="36"/>
      <c r="I432" s="36"/>
      <c r="J432" s="36"/>
      <c r="K432" s="36"/>
    </row>
    <row r="433" spans="2:11" ht="12.75">
      <c r="B433" s="36"/>
      <c r="C433" s="36"/>
      <c r="D433" s="36"/>
      <c r="E433" s="36"/>
      <c r="F433" s="36"/>
      <c r="G433" s="36"/>
      <c r="H433" s="36"/>
      <c r="I433" s="36"/>
      <c r="J433" s="36"/>
      <c r="K433" s="36"/>
    </row>
    <row r="434" spans="2:11" ht="12.75">
      <c r="B434" s="36"/>
      <c r="C434" s="36"/>
      <c r="D434" s="36"/>
      <c r="E434" s="36"/>
      <c r="F434" s="36"/>
      <c r="G434" s="36"/>
      <c r="H434" s="36"/>
      <c r="I434" s="36"/>
      <c r="J434" s="36"/>
      <c r="K434" s="36"/>
    </row>
    <row r="435" spans="2:11" ht="12.75">
      <c r="B435" s="36"/>
      <c r="C435" s="36"/>
      <c r="D435" s="36"/>
      <c r="E435" s="36"/>
      <c r="F435" s="36"/>
      <c r="G435" s="36"/>
      <c r="H435" s="36"/>
      <c r="I435" s="36"/>
      <c r="J435" s="36"/>
      <c r="K435" s="36"/>
    </row>
    <row r="436" spans="2:11" ht="12.75">
      <c r="B436" s="36"/>
      <c r="C436" s="36"/>
      <c r="D436" s="36"/>
      <c r="E436" s="36"/>
      <c r="F436" s="36"/>
      <c r="G436" s="36"/>
      <c r="H436" s="36"/>
      <c r="I436" s="36"/>
      <c r="J436" s="36"/>
      <c r="K436" s="36"/>
    </row>
    <row r="437" spans="2:11" ht="12.75">
      <c r="B437" s="36"/>
      <c r="C437" s="36"/>
      <c r="D437" s="36"/>
      <c r="E437" s="36"/>
      <c r="F437" s="36"/>
      <c r="G437" s="36"/>
      <c r="H437" s="36"/>
      <c r="I437" s="36"/>
      <c r="J437" s="36"/>
      <c r="K437" s="36"/>
    </row>
    <row r="438" spans="2:11" ht="12.75">
      <c r="B438" s="36"/>
      <c r="C438" s="36"/>
      <c r="D438" s="36"/>
      <c r="E438" s="36"/>
      <c r="F438" s="36"/>
      <c r="G438" s="36"/>
      <c r="H438" s="36"/>
      <c r="I438" s="36"/>
      <c r="J438" s="36"/>
      <c r="K438" s="36"/>
    </row>
    <row r="439" spans="2:11" ht="12.75">
      <c r="B439" s="36"/>
      <c r="C439" s="36"/>
      <c r="D439" s="36"/>
      <c r="E439" s="36"/>
      <c r="F439" s="36"/>
      <c r="G439" s="36"/>
      <c r="H439" s="36"/>
      <c r="I439" s="36"/>
      <c r="J439" s="36"/>
      <c r="K439" s="36"/>
    </row>
    <row r="440" spans="2:11" ht="12.75">
      <c r="B440" s="36"/>
      <c r="C440" s="36"/>
      <c r="D440" s="36"/>
      <c r="E440" s="36"/>
      <c r="F440" s="36"/>
      <c r="G440" s="36"/>
      <c r="H440" s="36"/>
      <c r="I440" s="36"/>
      <c r="J440" s="36"/>
      <c r="K440" s="36"/>
    </row>
    <row r="441" spans="2:11" ht="12.75">
      <c r="B441" s="36"/>
      <c r="C441" s="36"/>
      <c r="D441" s="36"/>
      <c r="E441" s="36"/>
      <c r="F441" s="36"/>
      <c r="G441" s="36"/>
      <c r="H441" s="36"/>
      <c r="I441" s="36"/>
      <c r="J441" s="36"/>
      <c r="K441" s="36"/>
    </row>
    <row r="442" spans="2:11" ht="12.75">
      <c r="B442" s="36"/>
      <c r="C442" s="36"/>
      <c r="D442" s="36"/>
      <c r="E442" s="36"/>
      <c r="F442" s="36"/>
      <c r="G442" s="36"/>
      <c r="H442" s="36"/>
      <c r="I442" s="36"/>
      <c r="J442" s="36"/>
      <c r="K442" s="36"/>
    </row>
    <row r="443" spans="2:11" ht="12.75">
      <c r="B443" s="36"/>
      <c r="C443" s="36"/>
      <c r="D443" s="36"/>
      <c r="E443" s="36"/>
      <c r="F443" s="36"/>
      <c r="G443" s="36"/>
      <c r="H443" s="36"/>
      <c r="I443" s="36"/>
      <c r="J443" s="36"/>
      <c r="K443" s="36"/>
    </row>
    <row r="444" spans="2:11" ht="12.75">
      <c r="B444" s="36"/>
      <c r="C444" s="36"/>
      <c r="D444" s="36"/>
      <c r="E444" s="36"/>
      <c r="F444" s="36"/>
      <c r="G444" s="36"/>
      <c r="H444" s="36"/>
      <c r="I444" s="36"/>
      <c r="J444" s="36"/>
      <c r="K444" s="36"/>
    </row>
    <row r="445" spans="2:11" ht="12.75">
      <c r="B445" s="36"/>
      <c r="C445" s="36"/>
      <c r="D445" s="36"/>
      <c r="E445" s="36"/>
      <c r="F445" s="36"/>
      <c r="G445" s="36"/>
      <c r="H445" s="36"/>
      <c r="I445" s="36"/>
      <c r="J445" s="36"/>
      <c r="K445" s="36"/>
    </row>
    <row r="446" spans="2:11" ht="12.75">
      <c r="B446" s="36"/>
      <c r="C446" s="36"/>
      <c r="D446" s="36"/>
      <c r="E446" s="36"/>
      <c r="F446" s="36"/>
      <c r="G446" s="36"/>
      <c r="H446" s="36"/>
      <c r="I446" s="36"/>
      <c r="J446" s="36"/>
      <c r="K446" s="36"/>
    </row>
    <row r="447" spans="2:11" ht="12.75">
      <c r="B447" s="36"/>
      <c r="C447" s="36"/>
      <c r="D447" s="36"/>
      <c r="E447" s="36"/>
      <c r="F447" s="36"/>
      <c r="G447" s="36"/>
      <c r="H447" s="36"/>
      <c r="I447" s="36"/>
      <c r="J447" s="36"/>
      <c r="K447" s="36"/>
    </row>
    <row r="448" spans="2:11" ht="12.75">
      <c r="B448" s="36"/>
      <c r="C448" s="36"/>
      <c r="D448" s="36"/>
      <c r="E448" s="36"/>
      <c r="F448" s="36"/>
      <c r="G448" s="36"/>
      <c r="H448" s="36"/>
      <c r="I448" s="36"/>
      <c r="J448" s="36"/>
      <c r="K448" s="36"/>
    </row>
    <row r="449" spans="2:11" ht="12.75">
      <c r="B449" s="36"/>
      <c r="C449" s="36"/>
      <c r="D449" s="36"/>
      <c r="E449" s="36"/>
      <c r="F449" s="36"/>
      <c r="G449" s="36"/>
      <c r="H449" s="36"/>
      <c r="I449" s="36"/>
      <c r="J449" s="36"/>
      <c r="K449" s="36"/>
    </row>
    <row r="450" spans="2:11" ht="12.75">
      <c r="B450" s="36"/>
      <c r="C450" s="36"/>
      <c r="D450" s="36"/>
      <c r="E450" s="36"/>
      <c r="F450" s="36"/>
      <c r="G450" s="36"/>
      <c r="H450" s="36"/>
      <c r="I450" s="36"/>
      <c r="J450" s="36"/>
      <c r="K450" s="36"/>
    </row>
    <row r="451" spans="2:11" ht="12.75">
      <c r="B451" s="36"/>
      <c r="C451" s="36"/>
      <c r="D451" s="36"/>
      <c r="E451" s="36"/>
      <c r="F451" s="36"/>
      <c r="G451" s="36"/>
      <c r="H451" s="36"/>
      <c r="I451" s="36"/>
      <c r="J451" s="36"/>
      <c r="K451" s="36"/>
    </row>
    <row r="452" spans="2:11" ht="12.75">
      <c r="B452" s="36"/>
      <c r="C452" s="36"/>
      <c r="D452" s="36"/>
      <c r="E452" s="36"/>
      <c r="F452" s="36"/>
      <c r="G452" s="36"/>
      <c r="H452" s="36"/>
      <c r="I452" s="36"/>
      <c r="J452" s="36"/>
      <c r="K452" s="36"/>
    </row>
    <row r="453" spans="2:11" ht="12.75">
      <c r="B453" s="36"/>
      <c r="C453" s="36"/>
      <c r="D453" s="36"/>
      <c r="E453" s="36"/>
      <c r="F453" s="36"/>
      <c r="G453" s="36"/>
      <c r="H453" s="36"/>
      <c r="I453" s="36"/>
      <c r="J453" s="36"/>
      <c r="K453" s="36"/>
    </row>
    <row r="454" spans="2:11" ht="12.75">
      <c r="B454" s="36"/>
      <c r="C454" s="36"/>
      <c r="D454" s="36"/>
      <c r="E454" s="36"/>
      <c r="F454" s="36"/>
      <c r="G454" s="36"/>
      <c r="H454" s="36"/>
      <c r="I454" s="36"/>
      <c r="J454" s="36"/>
      <c r="K454" s="36"/>
    </row>
    <row r="455" spans="2:11" ht="12.75">
      <c r="B455" s="36"/>
      <c r="C455" s="36"/>
      <c r="D455" s="36"/>
      <c r="E455" s="36"/>
      <c r="F455" s="36"/>
      <c r="G455" s="36"/>
      <c r="H455" s="36"/>
      <c r="I455" s="36"/>
      <c r="J455" s="36"/>
      <c r="K455" s="36"/>
    </row>
    <row r="456" spans="2:11" ht="12.75">
      <c r="B456" s="36"/>
      <c r="C456" s="36"/>
      <c r="D456" s="36"/>
      <c r="E456" s="36"/>
      <c r="F456" s="36"/>
      <c r="G456" s="36"/>
      <c r="H456" s="36"/>
      <c r="I456" s="36"/>
      <c r="J456" s="36"/>
      <c r="K456" s="36"/>
    </row>
    <row r="457" spans="2:11" ht="12.75">
      <c r="B457" s="36"/>
      <c r="C457" s="36"/>
      <c r="D457" s="36"/>
      <c r="E457" s="36"/>
      <c r="F457" s="36"/>
      <c r="G457" s="36"/>
      <c r="H457" s="36"/>
      <c r="I457" s="36"/>
      <c r="J457" s="36"/>
      <c r="K457" s="36"/>
    </row>
    <row r="458" spans="2:11" ht="12.75">
      <c r="B458" s="36"/>
      <c r="C458" s="36"/>
      <c r="D458" s="36"/>
      <c r="E458" s="36"/>
      <c r="F458" s="36"/>
      <c r="G458" s="36"/>
      <c r="H458" s="36"/>
      <c r="I458" s="36"/>
      <c r="J458" s="36"/>
      <c r="K458" s="36"/>
    </row>
    <row r="459" spans="2:11" ht="12.75">
      <c r="B459" s="36"/>
      <c r="C459" s="36"/>
      <c r="D459" s="36"/>
      <c r="E459" s="36"/>
      <c r="F459" s="36"/>
      <c r="G459" s="36"/>
      <c r="H459" s="36"/>
      <c r="I459" s="36"/>
      <c r="J459" s="36"/>
      <c r="K459" s="36"/>
    </row>
    <row r="460" spans="2:11" ht="12.75">
      <c r="B460" s="36"/>
      <c r="C460" s="36"/>
      <c r="D460" s="36"/>
      <c r="E460" s="36"/>
      <c r="F460" s="36"/>
      <c r="G460" s="36"/>
      <c r="H460" s="36"/>
      <c r="I460" s="36"/>
      <c r="J460" s="36"/>
      <c r="K460" s="36"/>
    </row>
    <row r="461" spans="2:11" ht="12.75">
      <c r="B461" s="36"/>
      <c r="C461" s="36"/>
      <c r="D461" s="36"/>
      <c r="E461" s="36"/>
      <c r="F461" s="36"/>
      <c r="G461" s="36"/>
      <c r="H461" s="36"/>
      <c r="I461" s="36"/>
      <c r="J461" s="36"/>
      <c r="K461" s="36"/>
    </row>
    <row r="462" spans="2:11" ht="12.75">
      <c r="B462" s="36"/>
      <c r="C462" s="36"/>
      <c r="D462" s="36"/>
      <c r="E462" s="36"/>
      <c r="F462" s="36"/>
      <c r="G462" s="36"/>
      <c r="H462" s="36"/>
      <c r="I462" s="36"/>
      <c r="J462" s="36"/>
      <c r="K462" s="36"/>
    </row>
    <row r="463" spans="2:11" ht="12.75">
      <c r="B463" s="36"/>
      <c r="C463" s="36"/>
      <c r="D463" s="36"/>
      <c r="E463" s="36"/>
      <c r="F463" s="36"/>
      <c r="G463" s="36"/>
      <c r="H463" s="36"/>
      <c r="I463" s="36"/>
      <c r="J463" s="36"/>
      <c r="K463" s="36"/>
    </row>
    <row r="464" spans="2:11" ht="12.75">
      <c r="B464" s="36"/>
      <c r="C464" s="36"/>
      <c r="D464" s="36"/>
      <c r="E464" s="36"/>
      <c r="F464" s="36"/>
      <c r="G464" s="36"/>
      <c r="H464" s="36"/>
      <c r="I464" s="36"/>
      <c r="J464" s="36"/>
      <c r="K464" s="36"/>
    </row>
    <row r="465" spans="2:11" ht="12.75">
      <c r="B465" s="36"/>
      <c r="C465" s="36"/>
      <c r="D465" s="36"/>
      <c r="E465" s="36"/>
      <c r="F465" s="36"/>
      <c r="G465" s="36"/>
      <c r="H465" s="36"/>
      <c r="I465" s="36"/>
      <c r="J465" s="36"/>
      <c r="K465" s="36"/>
    </row>
    <row r="466" spans="2:11" ht="12.75">
      <c r="B466" s="36"/>
      <c r="C466" s="36"/>
      <c r="D466" s="36"/>
      <c r="E466" s="36"/>
      <c r="F466" s="36"/>
      <c r="G466" s="36"/>
      <c r="H466" s="36"/>
      <c r="I466" s="36"/>
      <c r="J466" s="36"/>
      <c r="K466" s="36"/>
    </row>
    <row r="467" spans="2:11" ht="12.75">
      <c r="B467" s="36"/>
      <c r="C467" s="36"/>
      <c r="D467" s="36"/>
      <c r="E467" s="36"/>
      <c r="F467" s="36"/>
      <c r="G467" s="36"/>
      <c r="H467" s="36"/>
      <c r="I467" s="36"/>
      <c r="J467" s="36"/>
      <c r="K467" s="36"/>
    </row>
    <row r="468" spans="2:11" ht="12.75">
      <c r="B468" s="36"/>
      <c r="C468" s="36"/>
      <c r="D468" s="36"/>
      <c r="E468" s="36"/>
      <c r="F468" s="36"/>
      <c r="G468" s="36"/>
      <c r="H468" s="36"/>
      <c r="I468" s="36"/>
      <c r="J468" s="36"/>
      <c r="K468" s="36"/>
    </row>
    <row r="469" spans="2:11" ht="12.75">
      <c r="B469" s="36"/>
      <c r="C469" s="36"/>
      <c r="D469" s="36"/>
      <c r="E469" s="36"/>
      <c r="F469" s="36"/>
      <c r="G469" s="36"/>
      <c r="H469" s="36"/>
      <c r="I469" s="36"/>
      <c r="J469" s="36"/>
      <c r="K469" s="36"/>
    </row>
    <row r="470" spans="2:11" ht="12.75">
      <c r="B470" s="36"/>
      <c r="C470" s="36"/>
      <c r="D470" s="36"/>
      <c r="E470" s="36"/>
      <c r="F470" s="36"/>
      <c r="G470" s="36"/>
      <c r="H470" s="36"/>
      <c r="I470" s="36"/>
      <c r="J470" s="36"/>
      <c r="K470" s="36"/>
    </row>
    <row r="471" spans="2:11" ht="12.75">
      <c r="B471" s="36"/>
      <c r="C471" s="36"/>
      <c r="D471" s="36"/>
      <c r="E471" s="36"/>
      <c r="F471" s="36"/>
      <c r="G471" s="36"/>
      <c r="H471" s="36"/>
      <c r="I471" s="36"/>
      <c r="J471" s="36"/>
      <c r="K471" s="36"/>
    </row>
    <row r="472" spans="2:11" ht="12.75">
      <c r="B472" s="36"/>
      <c r="C472" s="36"/>
      <c r="D472" s="36"/>
      <c r="E472" s="36"/>
      <c r="F472" s="36"/>
      <c r="G472" s="36"/>
      <c r="H472" s="36"/>
      <c r="I472" s="36"/>
      <c r="J472" s="36"/>
      <c r="K472" s="36"/>
    </row>
    <row r="473" spans="2:11" ht="12.75">
      <c r="B473" s="36"/>
      <c r="C473" s="36"/>
      <c r="D473" s="36"/>
      <c r="E473" s="36"/>
      <c r="F473" s="36"/>
      <c r="G473" s="36"/>
      <c r="H473" s="36"/>
      <c r="I473" s="36"/>
      <c r="J473" s="36"/>
      <c r="K473" s="36"/>
    </row>
    <row r="474" spans="2:11" ht="12.75">
      <c r="B474" s="36"/>
      <c r="C474" s="36"/>
      <c r="D474" s="36"/>
      <c r="E474" s="36"/>
      <c r="F474" s="36"/>
      <c r="G474" s="36"/>
      <c r="H474" s="36"/>
      <c r="I474" s="36"/>
      <c r="J474" s="36"/>
      <c r="K474" s="36"/>
    </row>
    <row r="475" spans="2:11" ht="12.75">
      <c r="B475" s="36"/>
      <c r="C475" s="36"/>
      <c r="D475" s="36"/>
      <c r="E475" s="36"/>
      <c r="F475" s="36"/>
      <c r="G475" s="36"/>
      <c r="H475" s="36"/>
      <c r="I475" s="36"/>
      <c r="J475" s="36"/>
      <c r="K475" s="36"/>
    </row>
    <row r="476" spans="2:11" ht="12.75">
      <c r="B476" s="36"/>
      <c r="C476" s="36"/>
      <c r="D476" s="36"/>
      <c r="E476" s="36"/>
      <c r="F476" s="36"/>
      <c r="G476" s="36"/>
      <c r="H476" s="36"/>
      <c r="I476" s="36"/>
      <c r="J476" s="36"/>
      <c r="K476" s="36"/>
    </row>
    <row r="477" spans="2:11" ht="12.75">
      <c r="B477" s="36"/>
      <c r="C477" s="36"/>
      <c r="D477" s="36"/>
      <c r="E477" s="36"/>
      <c r="F477" s="36"/>
      <c r="G477" s="36"/>
      <c r="H477" s="36"/>
      <c r="I477" s="36"/>
      <c r="J477" s="36"/>
      <c r="K477" s="36"/>
    </row>
    <row r="478" spans="2:11" ht="12.75">
      <c r="B478" s="36"/>
      <c r="C478" s="36"/>
      <c r="D478" s="36"/>
      <c r="E478" s="36"/>
      <c r="F478" s="36"/>
      <c r="G478" s="36"/>
      <c r="H478" s="36"/>
      <c r="I478" s="36"/>
      <c r="J478" s="36"/>
      <c r="K478" s="36"/>
    </row>
    <row r="479" spans="2:11" ht="12.75">
      <c r="B479" s="36"/>
      <c r="C479" s="36"/>
      <c r="D479" s="36"/>
      <c r="E479" s="36"/>
      <c r="F479" s="36"/>
      <c r="G479" s="36"/>
      <c r="H479" s="36"/>
      <c r="I479" s="36"/>
      <c r="J479" s="36"/>
      <c r="K479" s="36"/>
    </row>
    <row r="480" spans="2:11" ht="12.75">
      <c r="B480" s="36"/>
      <c r="C480" s="36"/>
      <c r="D480" s="36"/>
      <c r="E480" s="36"/>
      <c r="F480" s="36"/>
      <c r="G480" s="36"/>
      <c r="H480" s="36"/>
      <c r="I480" s="36"/>
      <c r="J480" s="36"/>
      <c r="K480" s="36"/>
    </row>
    <row r="481" spans="2:11" ht="12.75">
      <c r="B481" s="36"/>
      <c r="C481" s="36"/>
      <c r="D481" s="36"/>
      <c r="E481" s="36"/>
      <c r="F481" s="36"/>
      <c r="G481" s="36"/>
      <c r="H481" s="36"/>
      <c r="I481" s="36"/>
      <c r="J481" s="36"/>
      <c r="K481" s="36"/>
    </row>
    <row r="482" spans="2:11" ht="12.75">
      <c r="B482" s="36"/>
      <c r="C482" s="36"/>
      <c r="D482" s="36"/>
      <c r="E482" s="36"/>
      <c r="F482" s="36"/>
      <c r="G482" s="36"/>
      <c r="H482" s="36"/>
      <c r="I482" s="36"/>
      <c r="J482" s="36"/>
      <c r="K482" s="36"/>
    </row>
    <row r="483" spans="2:11" ht="12.75">
      <c r="B483" s="36"/>
      <c r="C483" s="36"/>
      <c r="D483" s="36"/>
      <c r="E483" s="36"/>
      <c r="F483" s="36"/>
      <c r="G483" s="36"/>
      <c r="H483" s="36"/>
      <c r="I483" s="36"/>
      <c r="J483" s="36"/>
      <c r="K483" s="36"/>
    </row>
    <row r="484" spans="2:11" ht="12.75">
      <c r="B484" s="36"/>
      <c r="C484" s="36"/>
      <c r="D484" s="36"/>
      <c r="E484" s="36"/>
      <c r="F484" s="36"/>
      <c r="G484" s="36"/>
      <c r="H484" s="36"/>
      <c r="I484" s="36"/>
      <c r="J484" s="36"/>
      <c r="K484" s="36"/>
    </row>
    <row r="485" spans="2:11" ht="12.75">
      <c r="B485" s="36"/>
      <c r="C485" s="36"/>
      <c r="D485" s="36"/>
      <c r="E485" s="36"/>
      <c r="F485" s="36"/>
      <c r="G485" s="36"/>
      <c r="H485" s="36"/>
      <c r="I485" s="36"/>
      <c r="J485" s="36"/>
      <c r="K485" s="36"/>
    </row>
    <row r="486" spans="2:11" ht="12.75">
      <c r="B486" s="36"/>
      <c r="C486" s="36"/>
      <c r="D486" s="36"/>
      <c r="E486" s="36"/>
      <c r="F486" s="36"/>
      <c r="G486" s="36"/>
      <c r="H486" s="36"/>
      <c r="I486" s="36"/>
      <c r="J486" s="36"/>
      <c r="K486" s="36"/>
    </row>
    <row r="487" spans="2:11" ht="12.75">
      <c r="B487" s="36"/>
      <c r="C487" s="36"/>
      <c r="D487" s="36"/>
      <c r="E487" s="36"/>
      <c r="F487" s="36"/>
      <c r="G487" s="36"/>
      <c r="H487" s="36"/>
      <c r="I487" s="36"/>
      <c r="J487" s="36"/>
      <c r="K487" s="36"/>
    </row>
    <row r="488" spans="2:11" ht="12.75">
      <c r="B488" s="36"/>
      <c r="C488" s="36"/>
      <c r="D488" s="36"/>
      <c r="E488" s="36"/>
      <c r="F488" s="36"/>
      <c r="G488" s="36"/>
      <c r="H488" s="36"/>
      <c r="I488" s="36"/>
      <c r="J488" s="36"/>
      <c r="K488" s="36"/>
    </row>
    <row r="489" spans="2:11" ht="12.75">
      <c r="B489" s="36"/>
      <c r="C489" s="36"/>
      <c r="D489" s="36"/>
      <c r="E489" s="36"/>
      <c r="F489" s="36"/>
      <c r="G489" s="36"/>
      <c r="H489" s="36"/>
      <c r="I489" s="36"/>
      <c r="J489" s="36"/>
      <c r="K489" s="36"/>
    </row>
    <row r="490" spans="2:11" ht="12.75">
      <c r="B490" s="36"/>
      <c r="C490" s="36"/>
      <c r="D490" s="36"/>
      <c r="E490" s="36"/>
      <c r="F490" s="36"/>
      <c r="G490" s="36"/>
      <c r="H490" s="36"/>
      <c r="I490" s="36"/>
      <c r="J490" s="36"/>
      <c r="K490" s="36"/>
    </row>
    <row r="491" spans="2:11" ht="12.75">
      <c r="B491" s="36"/>
      <c r="C491" s="36"/>
      <c r="D491" s="36"/>
      <c r="E491" s="36"/>
      <c r="F491" s="36"/>
      <c r="G491" s="36"/>
      <c r="H491" s="36"/>
      <c r="I491" s="36"/>
      <c r="J491" s="36"/>
      <c r="K491" s="36"/>
    </row>
    <row r="492" spans="2:11" ht="12.75">
      <c r="B492" s="36"/>
      <c r="C492" s="36"/>
      <c r="D492" s="36"/>
      <c r="E492" s="36"/>
      <c r="F492" s="36"/>
      <c r="G492" s="36"/>
      <c r="H492" s="36"/>
      <c r="I492" s="36"/>
      <c r="J492" s="36"/>
      <c r="K492" s="36"/>
    </row>
    <row r="493" spans="2:11" ht="12.75">
      <c r="B493" s="36"/>
      <c r="C493" s="36"/>
      <c r="D493" s="36"/>
      <c r="E493" s="36"/>
      <c r="F493" s="36"/>
      <c r="G493" s="36"/>
      <c r="H493" s="36"/>
      <c r="I493" s="36"/>
      <c r="J493" s="36"/>
      <c r="K493" s="36"/>
    </row>
    <row r="494" spans="2:11" ht="12.75">
      <c r="B494" s="36"/>
      <c r="C494" s="36"/>
      <c r="D494" s="36"/>
      <c r="E494" s="36"/>
      <c r="F494" s="36"/>
      <c r="G494" s="36"/>
      <c r="H494" s="36"/>
      <c r="I494" s="36"/>
      <c r="J494" s="36"/>
      <c r="K494" s="36"/>
    </row>
    <row r="495" spans="2:11" ht="12.75">
      <c r="B495" s="36"/>
      <c r="C495" s="36"/>
      <c r="D495" s="36"/>
      <c r="E495" s="36"/>
      <c r="F495" s="36"/>
      <c r="G495" s="36"/>
      <c r="H495" s="36"/>
      <c r="I495" s="36"/>
      <c r="J495" s="36"/>
      <c r="K495" s="36"/>
    </row>
    <row r="496" spans="2:11" ht="12.75">
      <c r="B496" s="36"/>
      <c r="C496" s="36"/>
      <c r="D496" s="36"/>
      <c r="E496" s="36"/>
      <c r="F496" s="36"/>
      <c r="G496" s="36"/>
      <c r="H496" s="36"/>
      <c r="I496" s="36"/>
      <c r="J496" s="36"/>
      <c r="K496" s="36"/>
    </row>
    <row r="497" spans="2:11" ht="12.75">
      <c r="B497" s="36"/>
      <c r="C497" s="36"/>
      <c r="D497" s="36"/>
      <c r="E497" s="36"/>
      <c r="F497" s="36"/>
      <c r="G497" s="36"/>
      <c r="H497" s="36"/>
      <c r="I497" s="36"/>
      <c r="J497" s="36"/>
      <c r="K497" s="36"/>
    </row>
    <row r="498" spans="2:11" ht="12.75">
      <c r="B498" s="36"/>
      <c r="C498" s="36"/>
      <c r="D498" s="36"/>
      <c r="E498" s="36"/>
      <c r="F498" s="36"/>
      <c r="G498" s="36"/>
      <c r="H498" s="36"/>
      <c r="I498" s="36"/>
      <c r="J498" s="36"/>
      <c r="K498" s="36"/>
    </row>
    <row r="499" spans="2:11" ht="12.75">
      <c r="B499" s="36"/>
      <c r="C499" s="36"/>
      <c r="D499" s="36"/>
      <c r="E499" s="36"/>
      <c r="F499" s="36"/>
      <c r="G499" s="36"/>
      <c r="H499" s="36"/>
      <c r="I499" s="36"/>
      <c r="J499" s="36"/>
      <c r="K499" s="36"/>
    </row>
    <row r="500" spans="2:11" ht="12.75">
      <c r="B500" s="36"/>
      <c r="C500" s="36"/>
      <c r="D500" s="36"/>
      <c r="E500" s="36"/>
      <c r="F500" s="36"/>
      <c r="G500" s="36"/>
      <c r="H500" s="36"/>
      <c r="I500" s="36"/>
      <c r="J500" s="36"/>
      <c r="K500" s="36"/>
    </row>
    <row r="501" spans="2:11" ht="12.75">
      <c r="B501" s="36"/>
      <c r="C501" s="36"/>
      <c r="D501" s="36"/>
      <c r="E501" s="36"/>
      <c r="F501" s="36"/>
      <c r="G501" s="36"/>
      <c r="H501" s="36"/>
      <c r="I501" s="36"/>
      <c r="J501" s="36"/>
      <c r="K501" s="36"/>
    </row>
    <row r="502" spans="2:11" ht="12.75">
      <c r="B502" s="36"/>
      <c r="C502" s="36"/>
      <c r="D502" s="36"/>
      <c r="E502" s="36"/>
      <c r="F502" s="36"/>
      <c r="G502" s="36"/>
      <c r="H502" s="36"/>
      <c r="I502" s="36"/>
      <c r="J502" s="36"/>
      <c r="K502" s="36"/>
    </row>
    <row r="503" spans="2:11" ht="12.75">
      <c r="B503" s="36"/>
      <c r="C503" s="36"/>
      <c r="D503" s="36"/>
      <c r="E503" s="36"/>
      <c r="F503" s="36"/>
      <c r="G503" s="36"/>
      <c r="H503" s="36"/>
      <c r="I503" s="36"/>
      <c r="J503" s="36"/>
      <c r="K503" s="36"/>
    </row>
    <row r="504" spans="2:11" ht="12.75">
      <c r="B504" s="36"/>
      <c r="C504" s="36"/>
      <c r="D504" s="36"/>
      <c r="E504" s="36"/>
      <c r="F504" s="36"/>
      <c r="G504" s="36"/>
      <c r="H504" s="36"/>
      <c r="I504" s="36"/>
      <c r="J504" s="36"/>
      <c r="K504" s="36"/>
    </row>
    <row r="505" spans="2:11" ht="12.75">
      <c r="B505" s="36"/>
      <c r="C505" s="36"/>
      <c r="D505" s="36"/>
      <c r="E505" s="36"/>
      <c r="F505" s="36"/>
      <c r="G505" s="36"/>
      <c r="H505" s="36"/>
      <c r="I505" s="36"/>
      <c r="J505" s="36"/>
      <c r="K505" s="36"/>
    </row>
    <row r="506" spans="2:11" ht="12.75">
      <c r="B506" s="36"/>
      <c r="C506" s="36"/>
      <c r="D506" s="36"/>
      <c r="E506" s="36"/>
      <c r="F506" s="36"/>
      <c r="G506" s="36"/>
      <c r="H506" s="36"/>
      <c r="I506" s="36"/>
      <c r="J506" s="36"/>
      <c r="K506" s="36"/>
    </row>
    <row r="507" spans="2:11" ht="12.75">
      <c r="B507" s="36"/>
      <c r="C507" s="36"/>
      <c r="D507" s="36"/>
      <c r="E507" s="36"/>
      <c r="F507" s="36"/>
      <c r="G507" s="36"/>
      <c r="H507" s="36"/>
      <c r="I507" s="36"/>
      <c r="J507" s="36"/>
      <c r="K507" s="36"/>
    </row>
    <row r="508" spans="2:11" ht="12.75">
      <c r="B508" s="36"/>
      <c r="C508" s="36"/>
      <c r="D508" s="36"/>
      <c r="E508" s="36"/>
      <c r="F508" s="36"/>
      <c r="G508" s="36"/>
      <c r="H508" s="36"/>
      <c r="I508" s="36"/>
      <c r="J508" s="36"/>
      <c r="K508" s="36"/>
    </row>
    <row r="509" spans="2:11" ht="12.75">
      <c r="B509" s="36"/>
      <c r="C509" s="36"/>
      <c r="D509" s="36"/>
      <c r="E509" s="36"/>
      <c r="F509" s="36"/>
      <c r="G509" s="36"/>
      <c r="H509" s="36"/>
      <c r="I509" s="36"/>
      <c r="J509" s="36"/>
      <c r="K509" s="36"/>
    </row>
    <row r="510" spans="2:11" ht="12.75">
      <c r="B510" s="36"/>
      <c r="C510" s="36"/>
      <c r="D510" s="36"/>
      <c r="E510" s="36"/>
      <c r="F510" s="36"/>
      <c r="G510" s="36"/>
      <c r="H510" s="36"/>
      <c r="I510" s="36"/>
      <c r="J510" s="36"/>
      <c r="K510" s="36"/>
    </row>
    <row r="511" spans="2:11" ht="12.75">
      <c r="B511" s="36"/>
      <c r="C511" s="36"/>
      <c r="D511" s="36"/>
      <c r="E511" s="36"/>
      <c r="F511" s="36"/>
      <c r="G511" s="36"/>
      <c r="H511" s="36"/>
      <c r="I511" s="36"/>
      <c r="J511" s="36"/>
      <c r="K511" s="36"/>
    </row>
    <row r="512" spans="2:11" ht="12.75">
      <c r="B512" s="36"/>
      <c r="C512" s="36"/>
      <c r="D512" s="36"/>
      <c r="E512" s="36"/>
      <c r="F512" s="36"/>
      <c r="G512" s="36"/>
      <c r="H512" s="36"/>
      <c r="I512" s="36"/>
      <c r="J512" s="36"/>
      <c r="K512" s="36"/>
    </row>
    <row r="513" spans="2:11" ht="12.75">
      <c r="B513" s="36"/>
      <c r="C513" s="36"/>
      <c r="D513" s="36"/>
      <c r="E513" s="36"/>
      <c r="F513" s="36"/>
      <c r="G513" s="36"/>
      <c r="H513" s="36"/>
      <c r="I513" s="36"/>
      <c r="J513" s="36"/>
      <c r="K513" s="36"/>
    </row>
    <row r="514" spans="2:11" ht="12.75">
      <c r="B514" s="36"/>
      <c r="C514" s="36"/>
      <c r="D514" s="36"/>
      <c r="E514" s="36"/>
      <c r="F514" s="36"/>
      <c r="G514" s="36"/>
      <c r="H514" s="36"/>
      <c r="I514" s="36"/>
      <c r="J514" s="36"/>
      <c r="K514" s="36"/>
    </row>
    <row r="515" spans="2:11" ht="12.75">
      <c r="B515" s="36"/>
      <c r="C515" s="36"/>
      <c r="D515" s="36"/>
      <c r="E515" s="36"/>
      <c r="F515" s="36"/>
      <c r="G515" s="36"/>
      <c r="H515" s="36"/>
      <c r="I515" s="36"/>
      <c r="J515" s="36"/>
      <c r="K515" s="36"/>
    </row>
    <row r="516" spans="2:11" ht="12.75">
      <c r="B516" s="36"/>
      <c r="C516" s="36"/>
      <c r="D516" s="36"/>
      <c r="E516" s="36"/>
      <c r="F516" s="36"/>
      <c r="G516" s="36"/>
      <c r="H516" s="36"/>
      <c r="I516" s="36"/>
      <c r="J516" s="36"/>
      <c r="K516" s="36"/>
    </row>
    <row r="517" spans="2:11" ht="12.75">
      <c r="B517" s="36"/>
      <c r="C517" s="36"/>
      <c r="D517" s="36"/>
      <c r="E517" s="36"/>
      <c r="F517" s="36"/>
      <c r="G517" s="36"/>
      <c r="H517" s="36"/>
      <c r="I517" s="36"/>
      <c r="J517" s="36"/>
      <c r="K517" s="36"/>
    </row>
    <row r="518" spans="2:11" ht="12.75">
      <c r="B518" s="36"/>
      <c r="C518" s="36"/>
      <c r="D518" s="36"/>
      <c r="E518" s="36"/>
      <c r="F518" s="36"/>
      <c r="G518" s="36"/>
      <c r="H518" s="36"/>
      <c r="I518" s="36"/>
      <c r="J518" s="36"/>
      <c r="K518" s="36"/>
    </row>
    <row r="519" spans="2:11" ht="12.75">
      <c r="B519" s="36"/>
      <c r="C519" s="36"/>
      <c r="D519" s="36"/>
      <c r="E519" s="36"/>
      <c r="F519" s="36"/>
      <c r="G519" s="36"/>
      <c r="H519" s="36"/>
      <c r="I519" s="36"/>
      <c r="J519" s="36"/>
      <c r="K519" s="36"/>
    </row>
    <row r="520" spans="2:11" ht="12.75">
      <c r="B520" s="36"/>
      <c r="C520" s="36"/>
      <c r="D520" s="36"/>
      <c r="E520" s="36"/>
      <c r="F520" s="36"/>
      <c r="G520" s="36"/>
      <c r="H520" s="36"/>
      <c r="I520" s="36"/>
      <c r="J520" s="36"/>
      <c r="K520" s="36"/>
    </row>
    <row r="521" spans="2:11" ht="12.75">
      <c r="B521" s="36"/>
      <c r="C521" s="36"/>
      <c r="D521" s="36"/>
      <c r="E521" s="36"/>
      <c r="F521" s="36"/>
      <c r="G521" s="36"/>
      <c r="H521" s="36"/>
      <c r="I521" s="36"/>
      <c r="J521" s="36"/>
      <c r="K521" s="36"/>
    </row>
    <row r="522" spans="2:11" ht="12.75">
      <c r="B522" s="36"/>
      <c r="C522" s="36"/>
      <c r="D522" s="36"/>
      <c r="E522" s="36"/>
      <c r="F522" s="36"/>
      <c r="G522" s="36"/>
      <c r="H522" s="36"/>
      <c r="I522" s="36"/>
      <c r="J522" s="36"/>
      <c r="K522" s="36"/>
    </row>
    <row r="523" spans="2:11" ht="12.75">
      <c r="B523" s="36"/>
      <c r="C523" s="36"/>
      <c r="D523" s="36"/>
      <c r="E523" s="36"/>
      <c r="F523" s="36"/>
      <c r="G523" s="36"/>
      <c r="H523" s="36"/>
      <c r="I523" s="36"/>
      <c r="J523" s="36"/>
      <c r="K523" s="36"/>
    </row>
    <row r="524" spans="2:11" ht="12.75">
      <c r="B524" s="36"/>
      <c r="C524" s="36"/>
      <c r="D524" s="36"/>
      <c r="E524" s="36"/>
      <c r="F524" s="36"/>
      <c r="G524" s="36"/>
      <c r="H524" s="36"/>
      <c r="I524" s="36"/>
      <c r="J524" s="36"/>
      <c r="K524" s="36"/>
    </row>
    <row r="525" spans="2:11" ht="12.75">
      <c r="B525" s="36"/>
      <c r="C525" s="36"/>
      <c r="D525" s="36"/>
      <c r="E525" s="36"/>
      <c r="F525" s="36"/>
      <c r="G525" s="36"/>
      <c r="H525" s="36"/>
      <c r="I525" s="36"/>
      <c r="J525" s="36"/>
      <c r="K525" s="36"/>
    </row>
    <row r="526" spans="2:11" ht="12.75">
      <c r="B526" s="36"/>
      <c r="C526" s="36"/>
      <c r="D526" s="36"/>
      <c r="E526" s="36"/>
      <c r="F526" s="36"/>
      <c r="G526" s="36"/>
      <c r="H526" s="36"/>
      <c r="I526" s="36"/>
      <c r="J526" s="36"/>
      <c r="K526" s="36"/>
    </row>
    <row r="527" spans="2:11" ht="12.75">
      <c r="B527" s="36"/>
      <c r="C527" s="36"/>
      <c r="D527" s="36"/>
      <c r="E527" s="36"/>
      <c r="F527" s="36"/>
      <c r="G527" s="36"/>
      <c r="H527" s="36"/>
      <c r="I527" s="36"/>
      <c r="J527" s="36"/>
      <c r="K527" s="36"/>
    </row>
    <row r="528" spans="2:11" ht="12.75">
      <c r="B528" s="36"/>
      <c r="C528" s="36"/>
      <c r="D528" s="36"/>
      <c r="E528" s="36"/>
      <c r="F528" s="36"/>
      <c r="G528" s="36"/>
      <c r="H528" s="36"/>
      <c r="I528" s="36"/>
      <c r="J528" s="36"/>
      <c r="K528" s="36"/>
    </row>
    <row r="529" spans="2:11" ht="12.75">
      <c r="B529" s="36"/>
      <c r="C529" s="36"/>
      <c r="D529" s="36"/>
      <c r="E529" s="36"/>
      <c r="F529" s="36"/>
      <c r="G529" s="36"/>
      <c r="H529" s="36"/>
      <c r="I529" s="36"/>
      <c r="J529" s="36"/>
      <c r="K529" s="36"/>
    </row>
    <row r="530" spans="2:11" ht="12.75">
      <c r="B530" s="36"/>
      <c r="C530" s="36"/>
      <c r="D530" s="36"/>
      <c r="E530" s="36"/>
      <c r="F530" s="36"/>
      <c r="G530" s="36"/>
      <c r="H530" s="36"/>
      <c r="I530" s="36"/>
      <c r="J530" s="36"/>
      <c r="K530" s="36"/>
    </row>
    <row r="531" spans="2:11" ht="12.75">
      <c r="B531" s="36"/>
      <c r="C531" s="36"/>
      <c r="D531" s="36"/>
      <c r="E531" s="36"/>
      <c r="F531" s="36"/>
      <c r="G531" s="36"/>
      <c r="H531" s="36"/>
      <c r="I531" s="36"/>
      <c r="J531" s="36"/>
      <c r="K531" s="36"/>
    </row>
    <row r="532" spans="2:11" ht="12.75">
      <c r="B532" s="36"/>
      <c r="C532" s="36"/>
      <c r="D532" s="36"/>
      <c r="E532" s="36"/>
      <c r="F532" s="36"/>
      <c r="G532" s="36"/>
      <c r="H532" s="36"/>
      <c r="I532" s="36"/>
      <c r="J532" s="36"/>
      <c r="K532" s="36"/>
    </row>
    <row r="533" spans="2:11" ht="12.75">
      <c r="B533" s="36"/>
      <c r="C533" s="36"/>
      <c r="D533" s="36"/>
      <c r="E533" s="36"/>
      <c r="F533" s="36"/>
      <c r="G533" s="36"/>
      <c r="H533" s="36"/>
      <c r="I533" s="36"/>
      <c r="J533" s="36"/>
      <c r="K533" s="36"/>
    </row>
    <row r="534" spans="2:11" ht="12.75">
      <c r="B534" s="36"/>
      <c r="C534" s="36"/>
      <c r="D534" s="36"/>
      <c r="E534" s="36"/>
      <c r="F534" s="36"/>
      <c r="G534" s="36"/>
      <c r="H534" s="36"/>
      <c r="I534" s="36"/>
      <c r="J534" s="36"/>
      <c r="K534" s="36"/>
    </row>
    <row r="535" spans="2:11" ht="12.75">
      <c r="B535" s="36"/>
      <c r="C535" s="36"/>
      <c r="D535" s="36"/>
      <c r="E535" s="36"/>
      <c r="F535" s="36"/>
      <c r="G535" s="36"/>
      <c r="H535" s="36"/>
      <c r="I535" s="36"/>
      <c r="J535" s="36"/>
      <c r="K535" s="36"/>
    </row>
    <row r="536" spans="2:11" ht="12.75">
      <c r="B536" s="36"/>
      <c r="C536" s="36"/>
      <c r="D536" s="36"/>
      <c r="E536" s="36"/>
      <c r="F536" s="36"/>
      <c r="G536" s="36"/>
      <c r="H536" s="36"/>
      <c r="I536" s="36"/>
      <c r="J536" s="36"/>
      <c r="K536" s="36"/>
    </row>
    <row r="537" spans="2:11" ht="12.75">
      <c r="B537" s="36"/>
      <c r="C537" s="36"/>
      <c r="D537" s="36"/>
      <c r="E537" s="36"/>
      <c r="F537" s="36"/>
      <c r="G537" s="36"/>
      <c r="H537" s="36"/>
      <c r="I537" s="36"/>
      <c r="J537" s="36"/>
      <c r="K537" s="36"/>
    </row>
    <row r="538" spans="2:11" ht="12.75">
      <c r="B538" s="36"/>
      <c r="C538" s="36"/>
      <c r="D538" s="36"/>
      <c r="E538" s="36"/>
      <c r="F538" s="36"/>
      <c r="G538" s="36"/>
      <c r="H538" s="36"/>
      <c r="I538" s="36"/>
      <c r="J538" s="36"/>
      <c r="K538" s="36"/>
    </row>
    <row r="539" spans="2:11" ht="12.75">
      <c r="B539" s="36"/>
      <c r="C539" s="36"/>
      <c r="D539" s="36"/>
      <c r="E539" s="36"/>
      <c r="F539" s="36"/>
      <c r="G539" s="36"/>
      <c r="H539" s="36"/>
      <c r="I539" s="36"/>
      <c r="J539" s="36"/>
      <c r="K539" s="36"/>
    </row>
    <row r="540" spans="2:11" ht="12.75">
      <c r="B540" s="36"/>
      <c r="C540" s="36"/>
      <c r="D540" s="36"/>
      <c r="E540" s="36"/>
      <c r="F540" s="36"/>
      <c r="G540" s="36"/>
      <c r="H540" s="36"/>
      <c r="I540" s="36"/>
      <c r="J540" s="36"/>
      <c r="K540" s="36"/>
    </row>
    <row r="541" spans="2:11" ht="12.75">
      <c r="B541" s="36"/>
      <c r="C541" s="36"/>
      <c r="D541" s="36"/>
      <c r="E541" s="36"/>
      <c r="F541" s="36"/>
      <c r="G541" s="36"/>
      <c r="H541" s="36"/>
      <c r="I541" s="36"/>
      <c r="J541" s="36"/>
      <c r="K541" s="36"/>
    </row>
    <row r="542" spans="2:11" ht="12.75">
      <c r="B542" s="36"/>
      <c r="C542" s="36"/>
      <c r="D542" s="36"/>
      <c r="E542" s="36"/>
      <c r="F542" s="36"/>
      <c r="G542" s="36"/>
      <c r="H542" s="36"/>
      <c r="I542" s="36"/>
      <c r="J542" s="36"/>
      <c r="K542" s="36"/>
    </row>
    <row r="543" spans="2:11" ht="12.75">
      <c r="B543" s="36"/>
      <c r="C543" s="36"/>
      <c r="D543" s="36"/>
      <c r="E543" s="36"/>
      <c r="F543" s="36"/>
      <c r="G543" s="36"/>
      <c r="H543" s="36"/>
      <c r="I543" s="36"/>
      <c r="J543" s="36"/>
      <c r="K543" s="36"/>
    </row>
    <row r="544" spans="2:11" ht="12.75">
      <c r="B544" s="36"/>
      <c r="C544" s="36"/>
      <c r="D544" s="36"/>
      <c r="E544" s="36"/>
      <c r="F544" s="36"/>
      <c r="G544" s="36"/>
      <c r="H544" s="36"/>
      <c r="I544" s="36"/>
      <c r="J544" s="36"/>
      <c r="K544" s="36"/>
    </row>
    <row r="545" spans="2:11" ht="12.75">
      <c r="B545" s="36"/>
      <c r="C545" s="36"/>
      <c r="D545" s="36"/>
      <c r="E545" s="36"/>
      <c r="F545" s="36"/>
      <c r="G545" s="36"/>
      <c r="H545" s="36"/>
      <c r="I545" s="36"/>
      <c r="J545" s="36"/>
      <c r="K545" s="36"/>
    </row>
    <row r="546" spans="2:11" ht="12.75">
      <c r="B546" s="36"/>
      <c r="C546" s="36"/>
      <c r="D546" s="36"/>
      <c r="E546" s="36"/>
      <c r="F546" s="36"/>
      <c r="G546" s="36"/>
      <c r="H546" s="36"/>
      <c r="I546" s="36"/>
      <c r="J546" s="36"/>
      <c r="K546" s="36"/>
    </row>
    <row r="547" spans="2:11" ht="12.75">
      <c r="B547" s="36"/>
      <c r="C547" s="36"/>
      <c r="D547" s="36"/>
      <c r="E547" s="36"/>
      <c r="F547" s="36"/>
      <c r="G547" s="36"/>
      <c r="H547" s="36"/>
      <c r="I547" s="36"/>
      <c r="J547" s="36"/>
      <c r="K547" s="36"/>
    </row>
    <row r="548" spans="2:11" ht="12.75">
      <c r="B548" s="36"/>
      <c r="C548" s="36"/>
      <c r="D548" s="36"/>
      <c r="E548" s="36"/>
      <c r="F548" s="36"/>
      <c r="G548" s="36"/>
      <c r="H548" s="36"/>
      <c r="I548" s="36"/>
      <c r="J548" s="36"/>
      <c r="K548" s="36"/>
    </row>
    <row r="549" spans="2:11" ht="12.75">
      <c r="B549" s="36"/>
      <c r="C549" s="36"/>
      <c r="D549" s="36"/>
      <c r="E549" s="36"/>
      <c r="F549" s="36"/>
      <c r="G549" s="36"/>
      <c r="H549" s="36"/>
      <c r="I549" s="36"/>
      <c r="J549" s="36"/>
      <c r="K549" s="36"/>
    </row>
    <row r="550" spans="2:11" ht="12.75">
      <c r="B550" s="36"/>
      <c r="C550" s="36"/>
      <c r="D550" s="36"/>
      <c r="E550" s="36"/>
      <c r="F550" s="36"/>
      <c r="G550" s="36"/>
      <c r="H550" s="36"/>
      <c r="I550" s="36"/>
      <c r="J550" s="36"/>
      <c r="K550" s="36"/>
    </row>
    <row r="551" spans="2:11" ht="12.75">
      <c r="B551" s="36"/>
      <c r="C551" s="36"/>
      <c r="D551" s="36"/>
      <c r="E551" s="36"/>
      <c r="F551" s="36"/>
      <c r="G551" s="36"/>
      <c r="H551" s="36"/>
      <c r="I551" s="36"/>
      <c r="J551" s="36"/>
      <c r="K551" s="36"/>
    </row>
    <row r="552" spans="2:11" ht="12.75">
      <c r="B552" s="36"/>
      <c r="C552" s="36"/>
      <c r="D552" s="36"/>
      <c r="E552" s="36"/>
      <c r="F552" s="36"/>
      <c r="G552" s="36"/>
      <c r="H552" s="36"/>
      <c r="I552" s="36"/>
      <c r="J552" s="36"/>
      <c r="K552" s="36"/>
    </row>
    <row r="553" spans="2:11" ht="12.75">
      <c r="B553" s="36"/>
      <c r="C553" s="36"/>
      <c r="D553" s="36"/>
      <c r="E553" s="36"/>
      <c r="F553" s="36"/>
      <c r="G553" s="36"/>
      <c r="H553" s="36"/>
      <c r="I553" s="36"/>
      <c r="J553" s="36"/>
      <c r="K553" s="36"/>
    </row>
    <row r="554" spans="2:11" ht="12.75">
      <c r="B554" s="36"/>
      <c r="C554" s="36"/>
      <c r="D554" s="36"/>
      <c r="E554" s="36"/>
      <c r="F554" s="36"/>
      <c r="G554" s="36"/>
      <c r="H554" s="36"/>
      <c r="I554" s="36"/>
      <c r="J554" s="36"/>
      <c r="K554" s="36"/>
    </row>
    <row r="555" spans="2:11" ht="12.75">
      <c r="B555" s="36"/>
      <c r="C555" s="36"/>
      <c r="D555" s="36"/>
      <c r="E555" s="36"/>
      <c r="F555" s="36"/>
      <c r="G555" s="36"/>
      <c r="H555" s="36"/>
      <c r="I555" s="36"/>
      <c r="J555" s="36"/>
      <c r="K555" s="36"/>
    </row>
    <row r="556" spans="2:11" ht="12.75">
      <c r="B556" s="36"/>
      <c r="C556" s="36"/>
      <c r="D556" s="36"/>
      <c r="E556" s="36"/>
      <c r="F556" s="36"/>
      <c r="G556" s="36"/>
      <c r="H556" s="36"/>
      <c r="I556" s="36"/>
      <c r="J556" s="36"/>
      <c r="K556" s="36"/>
    </row>
    <row r="557" spans="2:11" ht="12.75">
      <c r="B557" s="36"/>
      <c r="C557" s="36"/>
      <c r="D557" s="36"/>
      <c r="E557" s="36"/>
      <c r="F557" s="36"/>
      <c r="G557" s="36"/>
      <c r="H557" s="36"/>
      <c r="I557" s="36"/>
      <c r="J557" s="36"/>
      <c r="K557" s="36"/>
    </row>
    <row r="558" spans="2:11" ht="12.75">
      <c r="B558" s="36"/>
      <c r="C558" s="36"/>
      <c r="D558" s="36"/>
      <c r="E558" s="36"/>
      <c r="F558" s="36"/>
      <c r="G558" s="36"/>
      <c r="H558" s="36"/>
      <c r="I558" s="36"/>
      <c r="J558" s="36"/>
      <c r="K558" s="36"/>
    </row>
    <row r="559" spans="2:11" ht="12.75">
      <c r="B559" s="36"/>
      <c r="C559" s="36"/>
      <c r="D559" s="36"/>
      <c r="E559" s="36"/>
      <c r="F559" s="36"/>
      <c r="G559" s="36"/>
      <c r="H559" s="36"/>
      <c r="I559" s="36"/>
      <c r="J559" s="36"/>
      <c r="K559" s="36"/>
    </row>
    <row r="560" spans="2:11" ht="12.75">
      <c r="B560" s="36"/>
      <c r="C560" s="36"/>
      <c r="D560" s="36"/>
      <c r="E560" s="36"/>
      <c r="F560" s="36"/>
      <c r="G560" s="36"/>
      <c r="H560" s="36"/>
      <c r="I560" s="36"/>
      <c r="J560" s="36"/>
      <c r="K560" s="36"/>
    </row>
    <row r="561" spans="2:11" ht="12.75">
      <c r="B561" s="36"/>
      <c r="C561" s="36"/>
      <c r="D561" s="36"/>
      <c r="E561" s="36"/>
      <c r="F561" s="36"/>
      <c r="G561" s="36"/>
      <c r="H561" s="36"/>
      <c r="I561" s="36"/>
      <c r="J561" s="36"/>
      <c r="K561" s="36"/>
    </row>
    <row r="562" spans="2:11" ht="12.75">
      <c r="B562" s="36"/>
      <c r="C562" s="36"/>
      <c r="D562" s="36"/>
      <c r="E562" s="36"/>
      <c r="F562" s="36"/>
      <c r="G562" s="36"/>
      <c r="H562" s="36"/>
      <c r="I562" s="36"/>
      <c r="J562" s="36"/>
      <c r="K562" s="36"/>
    </row>
    <row r="563" spans="2:11" ht="12.75">
      <c r="B563" s="36"/>
      <c r="C563" s="36"/>
      <c r="D563" s="36"/>
      <c r="E563" s="36"/>
      <c r="F563" s="36"/>
      <c r="G563" s="36"/>
      <c r="H563" s="36"/>
      <c r="I563" s="36"/>
      <c r="J563" s="36"/>
      <c r="K563" s="36"/>
    </row>
    <row r="564" spans="2:11" ht="12.75">
      <c r="B564" s="36"/>
      <c r="C564" s="36"/>
      <c r="D564" s="36"/>
      <c r="E564" s="36"/>
      <c r="F564" s="36"/>
      <c r="G564" s="36"/>
      <c r="H564" s="36"/>
      <c r="I564" s="36"/>
      <c r="J564" s="36"/>
      <c r="K564" s="36"/>
    </row>
    <row r="565" spans="2:11" ht="12.75">
      <c r="B565" s="36"/>
      <c r="C565" s="36"/>
      <c r="D565" s="36"/>
      <c r="E565" s="36"/>
      <c r="F565" s="36"/>
      <c r="G565" s="36"/>
      <c r="H565" s="36"/>
      <c r="I565" s="36"/>
      <c r="J565" s="36"/>
      <c r="K565" s="36"/>
    </row>
    <row r="566" spans="2:11" ht="12.75">
      <c r="B566" s="36"/>
      <c r="C566" s="36"/>
      <c r="D566" s="36"/>
      <c r="E566" s="36"/>
      <c r="F566" s="36"/>
      <c r="G566" s="36"/>
      <c r="H566" s="36"/>
      <c r="I566" s="36"/>
      <c r="J566" s="36"/>
      <c r="K566" s="36"/>
    </row>
    <row r="567" spans="2:11" ht="12.75">
      <c r="B567" s="36"/>
      <c r="C567" s="36"/>
      <c r="D567" s="36"/>
      <c r="E567" s="36"/>
      <c r="F567" s="36"/>
      <c r="G567" s="36"/>
      <c r="H567" s="36"/>
      <c r="I567" s="36"/>
      <c r="J567" s="36"/>
      <c r="K567" s="36"/>
    </row>
    <row r="568" spans="2:11" ht="12.75">
      <c r="B568" s="36"/>
      <c r="C568" s="36"/>
      <c r="D568" s="36"/>
      <c r="E568" s="36"/>
      <c r="F568" s="36"/>
      <c r="G568" s="36"/>
      <c r="H568" s="36"/>
      <c r="I568" s="36"/>
      <c r="J568" s="36"/>
      <c r="K568" s="36"/>
    </row>
    <row r="569" spans="2:11" ht="12.75">
      <c r="B569" s="36"/>
      <c r="C569" s="36"/>
      <c r="D569" s="36"/>
      <c r="E569" s="36"/>
      <c r="F569" s="36"/>
      <c r="G569" s="36"/>
      <c r="H569" s="36"/>
      <c r="I569" s="36"/>
      <c r="J569" s="36"/>
      <c r="K569" s="36"/>
    </row>
    <row r="570" spans="2:11" ht="12.75">
      <c r="B570" s="36"/>
      <c r="C570" s="36"/>
      <c r="D570" s="36"/>
      <c r="E570" s="36"/>
      <c r="F570" s="36"/>
      <c r="G570" s="36"/>
      <c r="H570" s="36"/>
      <c r="I570" s="36"/>
      <c r="J570" s="36"/>
      <c r="K570" s="36"/>
    </row>
    <row r="571" spans="2:11" ht="12.75">
      <c r="B571" s="36"/>
      <c r="C571" s="36"/>
      <c r="D571" s="36"/>
      <c r="E571" s="36"/>
      <c r="F571" s="36"/>
      <c r="G571" s="36"/>
      <c r="H571" s="36"/>
      <c r="I571" s="36"/>
      <c r="J571" s="36"/>
      <c r="K571" s="36"/>
    </row>
    <row r="572" spans="2:11" ht="12.75">
      <c r="B572" s="36"/>
      <c r="C572" s="36"/>
      <c r="D572" s="36"/>
      <c r="E572" s="36"/>
      <c r="F572" s="36"/>
      <c r="G572" s="36"/>
      <c r="H572" s="36"/>
      <c r="I572" s="36"/>
      <c r="J572" s="36"/>
      <c r="K572" s="36"/>
    </row>
    <row r="573" spans="2:11" ht="12.75">
      <c r="B573" s="36"/>
      <c r="C573" s="36"/>
      <c r="D573" s="36"/>
      <c r="E573" s="36"/>
      <c r="F573" s="36"/>
      <c r="G573" s="36"/>
      <c r="H573" s="36"/>
      <c r="I573" s="36"/>
      <c r="J573" s="36"/>
      <c r="K573" s="36"/>
    </row>
    <row r="574" spans="2:11" ht="12.75">
      <c r="B574" s="36"/>
      <c r="C574" s="36"/>
      <c r="D574" s="36"/>
      <c r="E574" s="36"/>
      <c r="F574" s="36"/>
      <c r="G574" s="36"/>
      <c r="H574" s="36"/>
      <c r="I574" s="36"/>
      <c r="J574" s="36"/>
      <c r="K574" s="36"/>
    </row>
    <row r="575" spans="2:11" ht="12.75">
      <c r="B575" s="36"/>
      <c r="C575" s="36"/>
      <c r="D575" s="36"/>
      <c r="E575" s="36"/>
      <c r="F575" s="36"/>
      <c r="G575" s="36"/>
      <c r="H575" s="36"/>
      <c r="I575" s="36"/>
      <c r="J575" s="36"/>
      <c r="K575" s="36"/>
    </row>
    <row r="576" spans="2:11" ht="12.75">
      <c r="B576" s="36"/>
      <c r="C576" s="36"/>
      <c r="D576" s="36"/>
      <c r="E576" s="36"/>
      <c r="F576" s="36"/>
      <c r="G576" s="36"/>
      <c r="H576" s="36"/>
      <c r="I576" s="36"/>
      <c r="J576" s="36"/>
      <c r="K576" s="36"/>
    </row>
    <row r="577" spans="2:11" ht="12.75">
      <c r="B577" s="36"/>
      <c r="C577" s="36"/>
      <c r="D577" s="36"/>
      <c r="E577" s="36"/>
      <c r="F577" s="36"/>
      <c r="G577" s="36"/>
      <c r="H577" s="36"/>
      <c r="I577" s="36"/>
      <c r="J577" s="36"/>
      <c r="K577" s="36"/>
    </row>
    <row r="578" spans="2:11" ht="12.75">
      <c r="B578" s="36"/>
      <c r="C578" s="36"/>
      <c r="D578" s="36"/>
      <c r="E578" s="36"/>
      <c r="F578" s="36"/>
      <c r="G578" s="36"/>
      <c r="H578" s="36"/>
      <c r="I578" s="36"/>
      <c r="J578" s="36"/>
      <c r="K578" s="36"/>
    </row>
    <row r="579" spans="2:11" ht="12.75">
      <c r="B579" s="36"/>
      <c r="C579" s="36"/>
      <c r="D579" s="36"/>
      <c r="E579" s="36"/>
      <c r="F579" s="36"/>
      <c r="G579" s="36"/>
      <c r="H579" s="36"/>
      <c r="I579" s="36"/>
      <c r="J579" s="36"/>
      <c r="K579" s="36"/>
    </row>
    <row r="580" spans="2:11" ht="12.75">
      <c r="B580" s="36"/>
      <c r="C580" s="36"/>
      <c r="D580" s="36"/>
      <c r="E580" s="36"/>
      <c r="F580" s="36"/>
      <c r="G580" s="36"/>
      <c r="H580" s="36"/>
      <c r="I580" s="36"/>
      <c r="J580" s="36"/>
      <c r="K580" s="36"/>
    </row>
    <row r="581" spans="2:11" ht="12.75">
      <c r="B581" s="36"/>
      <c r="C581" s="36"/>
      <c r="D581" s="36"/>
      <c r="E581" s="36"/>
      <c r="F581" s="36"/>
      <c r="G581" s="36"/>
      <c r="H581" s="36"/>
      <c r="I581" s="36"/>
      <c r="J581" s="36"/>
      <c r="K581" s="36"/>
    </row>
    <row r="582" spans="2:11" ht="12.75">
      <c r="B582" s="36"/>
      <c r="C582" s="36"/>
      <c r="D582" s="36"/>
      <c r="E582" s="36"/>
      <c r="F582" s="36"/>
      <c r="G582" s="36"/>
      <c r="H582" s="36"/>
      <c r="I582" s="36"/>
      <c r="J582" s="36"/>
      <c r="K582" s="36"/>
    </row>
    <row r="583" spans="2:11" ht="12.75">
      <c r="B583" s="36"/>
      <c r="C583" s="36"/>
      <c r="D583" s="36"/>
      <c r="E583" s="36"/>
      <c r="F583" s="36"/>
      <c r="G583" s="36"/>
      <c r="H583" s="36"/>
      <c r="I583" s="36"/>
      <c r="J583" s="36"/>
      <c r="K583" s="36"/>
    </row>
    <row r="584" spans="2:11" ht="12.75">
      <c r="B584" s="36"/>
      <c r="C584" s="36"/>
      <c r="D584" s="36"/>
      <c r="E584" s="36"/>
      <c r="F584" s="36"/>
      <c r="G584" s="36"/>
      <c r="H584" s="36"/>
      <c r="I584" s="36"/>
      <c r="J584" s="36"/>
      <c r="K584" s="36"/>
    </row>
    <row r="585" spans="2:11" ht="12.75">
      <c r="B585" s="36"/>
      <c r="C585" s="36"/>
      <c r="D585" s="36"/>
      <c r="E585" s="36"/>
      <c r="F585" s="36"/>
      <c r="G585" s="36"/>
      <c r="H585" s="36"/>
      <c r="I585" s="36"/>
      <c r="J585" s="36"/>
      <c r="K585" s="36"/>
    </row>
    <row r="586" spans="2:11" ht="12.75">
      <c r="B586" s="36"/>
      <c r="C586" s="36"/>
      <c r="D586" s="36"/>
      <c r="E586" s="36"/>
      <c r="F586" s="36"/>
      <c r="G586" s="36"/>
      <c r="H586" s="36"/>
      <c r="I586" s="36"/>
      <c r="J586" s="36"/>
      <c r="K586" s="36"/>
    </row>
    <row r="587" spans="2:11" ht="12.75">
      <c r="B587" s="36"/>
      <c r="C587" s="36"/>
      <c r="D587" s="36"/>
      <c r="E587" s="36"/>
      <c r="F587" s="36"/>
      <c r="G587" s="36"/>
      <c r="H587" s="36"/>
      <c r="I587" s="36"/>
      <c r="J587" s="36"/>
      <c r="K587" s="36"/>
    </row>
    <row r="588" spans="2:11" ht="12.75">
      <c r="B588" s="36"/>
      <c r="C588" s="36"/>
      <c r="D588" s="36"/>
      <c r="E588" s="36"/>
      <c r="F588" s="36"/>
      <c r="G588" s="36"/>
      <c r="H588" s="36"/>
      <c r="I588" s="36"/>
      <c r="J588" s="36"/>
      <c r="K588" s="36"/>
    </row>
    <row r="589" spans="2:11" ht="12.75">
      <c r="B589" s="36"/>
      <c r="C589" s="36"/>
      <c r="D589" s="36"/>
      <c r="E589" s="36"/>
      <c r="F589" s="36"/>
      <c r="G589" s="36"/>
      <c r="H589" s="36"/>
      <c r="I589" s="36"/>
      <c r="J589" s="36"/>
      <c r="K589" s="36"/>
    </row>
    <row r="590" spans="2:11" ht="12.75">
      <c r="B590" s="36"/>
      <c r="C590" s="36"/>
      <c r="D590" s="36"/>
      <c r="E590" s="36"/>
      <c r="F590" s="36"/>
      <c r="G590" s="36"/>
      <c r="H590" s="36"/>
      <c r="I590" s="36"/>
      <c r="J590" s="36"/>
      <c r="K590" s="36"/>
    </row>
    <row r="591" spans="2:11" ht="12.75">
      <c r="B591" s="36"/>
      <c r="C591" s="36"/>
      <c r="D591" s="36"/>
      <c r="E591" s="36"/>
      <c r="F591" s="36"/>
      <c r="G591" s="36"/>
      <c r="H591" s="36"/>
      <c r="I591" s="36"/>
      <c r="J591" s="36"/>
      <c r="K591" s="36"/>
    </row>
    <row r="592" spans="2:11" ht="12.75">
      <c r="B592" s="36"/>
      <c r="C592" s="36"/>
      <c r="D592" s="36"/>
      <c r="E592" s="36"/>
      <c r="F592" s="36"/>
      <c r="G592" s="36"/>
      <c r="H592" s="36"/>
      <c r="I592" s="36"/>
      <c r="J592" s="36"/>
      <c r="K592" s="36"/>
    </row>
    <row r="593" spans="2:11" ht="12.75">
      <c r="B593" s="36"/>
      <c r="C593" s="36"/>
      <c r="D593" s="36"/>
      <c r="E593" s="36"/>
      <c r="F593" s="36"/>
      <c r="G593" s="36"/>
      <c r="H593" s="36"/>
      <c r="I593" s="36"/>
      <c r="J593" s="36"/>
      <c r="K593" s="36"/>
    </row>
    <row r="594" spans="2:11" ht="12.75">
      <c r="B594" s="36"/>
      <c r="C594" s="36"/>
      <c r="D594" s="36"/>
      <c r="E594" s="36"/>
      <c r="F594" s="36"/>
      <c r="G594" s="36"/>
      <c r="H594" s="36"/>
      <c r="I594" s="36"/>
      <c r="J594" s="36"/>
      <c r="K594" s="36"/>
    </row>
    <row r="595" spans="2:11" ht="12.75">
      <c r="B595" s="36"/>
      <c r="C595" s="36"/>
      <c r="D595" s="36"/>
      <c r="E595" s="36"/>
      <c r="F595" s="36"/>
      <c r="G595" s="36"/>
      <c r="H595" s="36"/>
      <c r="I595" s="36"/>
      <c r="J595" s="36"/>
      <c r="K595" s="36"/>
    </row>
    <row r="596" spans="2:11" ht="12.75">
      <c r="B596" s="36"/>
      <c r="C596" s="36"/>
      <c r="D596" s="36"/>
      <c r="E596" s="36"/>
      <c r="F596" s="36"/>
      <c r="G596" s="36"/>
      <c r="H596" s="36"/>
      <c r="I596" s="36"/>
      <c r="J596" s="36"/>
      <c r="K596" s="36"/>
    </row>
    <row r="597" spans="2:11" ht="12.75">
      <c r="B597" s="36"/>
      <c r="C597" s="36"/>
      <c r="D597" s="36"/>
      <c r="E597" s="36"/>
      <c r="F597" s="36"/>
      <c r="G597" s="36"/>
      <c r="H597" s="36"/>
      <c r="I597" s="36"/>
      <c r="J597" s="36"/>
      <c r="K597" s="36"/>
    </row>
    <row r="598" spans="2:11" ht="12.75">
      <c r="B598" s="36"/>
      <c r="C598" s="36"/>
      <c r="D598" s="36"/>
      <c r="E598" s="36"/>
      <c r="F598" s="36"/>
      <c r="G598" s="36"/>
      <c r="H598" s="36"/>
      <c r="I598" s="36"/>
      <c r="J598" s="36"/>
      <c r="K598" s="36"/>
    </row>
    <row r="599" spans="2:11" ht="12.75">
      <c r="B599" s="36"/>
      <c r="C599" s="36"/>
      <c r="D599" s="36"/>
      <c r="E599" s="36"/>
      <c r="F599" s="36"/>
      <c r="G599" s="36"/>
      <c r="H599" s="36"/>
      <c r="I599" s="36"/>
      <c r="J599" s="36"/>
      <c r="K599" s="36"/>
    </row>
    <row r="600" spans="2:11" ht="12.75">
      <c r="B600" s="36"/>
      <c r="C600" s="36"/>
      <c r="D600" s="36"/>
      <c r="E600" s="36"/>
      <c r="F600" s="36"/>
      <c r="G600" s="36"/>
      <c r="H600" s="36"/>
      <c r="I600" s="36"/>
      <c r="J600" s="36"/>
      <c r="K600" s="36"/>
    </row>
    <row r="601" spans="2:11" ht="12.75">
      <c r="B601" s="36"/>
      <c r="C601" s="36"/>
      <c r="D601" s="36"/>
      <c r="E601" s="36"/>
      <c r="F601" s="36"/>
      <c r="G601" s="36"/>
      <c r="H601" s="36"/>
      <c r="I601" s="36"/>
      <c r="J601" s="36"/>
      <c r="K601" s="36"/>
    </row>
    <row r="602" spans="2:11" ht="12.75">
      <c r="B602" s="36"/>
      <c r="C602" s="36"/>
      <c r="D602" s="36"/>
      <c r="E602" s="36"/>
      <c r="F602" s="36"/>
      <c r="G602" s="36"/>
      <c r="H602" s="36"/>
      <c r="I602" s="36"/>
      <c r="J602" s="36"/>
      <c r="K602" s="36"/>
    </row>
    <row r="603" spans="2:11" ht="12.75">
      <c r="B603" s="36"/>
      <c r="C603" s="36"/>
      <c r="D603" s="36"/>
      <c r="E603" s="36"/>
      <c r="F603" s="36"/>
      <c r="G603" s="36"/>
      <c r="H603" s="36"/>
      <c r="I603" s="36"/>
      <c r="J603" s="36"/>
      <c r="K603" s="36"/>
    </row>
    <row r="604" spans="2:11" ht="12.75">
      <c r="B604" s="36"/>
      <c r="C604" s="36"/>
      <c r="D604" s="36"/>
      <c r="E604" s="36"/>
      <c r="F604" s="36"/>
      <c r="G604" s="36"/>
      <c r="H604" s="36"/>
      <c r="I604" s="36"/>
      <c r="J604" s="36"/>
      <c r="K604" s="36"/>
    </row>
    <row r="605" spans="2:11" ht="12.75">
      <c r="B605" s="36"/>
      <c r="C605" s="36"/>
      <c r="D605" s="36"/>
      <c r="E605" s="36"/>
      <c r="F605" s="36"/>
      <c r="G605" s="36"/>
      <c r="H605" s="36"/>
      <c r="I605" s="36"/>
      <c r="J605" s="36"/>
      <c r="K605" s="36"/>
    </row>
    <row r="606" spans="2:11" ht="12.75">
      <c r="B606" s="36"/>
      <c r="C606" s="36"/>
      <c r="D606" s="36"/>
      <c r="E606" s="36"/>
      <c r="F606" s="36"/>
      <c r="G606" s="36"/>
      <c r="H606" s="36"/>
      <c r="I606" s="36"/>
      <c r="J606" s="36"/>
      <c r="K606" s="36"/>
    </row>
    <row r="607" spans="2:11" ht="12.75">
      <c r="B607" s="36"/>
      <c r="C607" s="36"/>
      <c r="D607" s="36"/>
      <c r="E607" s="36"/>
      <c r="F607" s="36"/>
      <c r="G607" s="36"/>
      <c r="H607" s="36"/>
      <c r="I607" s="36"/>
      <c r="J607" s="36"/>
      <c r="K607" s="36"/>
    </row>
    <row r="608" spans="2:11" ht="12.75">
      <c r="B608" s="36"/>
      <c r="C608" s="36"/>
      <c r="D608" s="36"/>
      <c r="E608" s="36"/>
      <c r="F608" s="36"/>
      <c r="G608" s="36"/>
      <c r="H608" s="36"/>
      <c r="I608" s="36"/>
      <c r="J608" s="36"/>
      <c r="K608" s="36"/>
    </row>
    <row r="609" spans="2:11" ht="12.75">
      <c r="B609" s="36"/>
      <c r="C609" s="36"/>
      <c r="D609" s="36"/>
      <c r="E609" s="36"/>
      <c r="F609" s="36"/>
      <c r="G609" s="36"/>
      <c r="H609" s="36"/>
      <c r="I609" s="36"/>
      <c r="J609" s="36"/>
      <c r="K609" s="36"/>
    </row>
    <row r="610" spans="2:11" ht="12.75">
      <c r="B610" s="36"/>
      <c r="C610" s="36"/>
      <c r="D610" s="36"/>
      <c r="E610" s="36"/>
      <c r="F610" s="36"/>
      <c r="G610" s="36"/>
      <c r="H610" s="36"/>
      <c r="I610" s="36"/>
      <c r="J610" s="36"/>
      <c r="K610" s="36"/>
    </row>
    <row r="611" spans="2:11" ht="12.75">
      <c r="B611" s="36"/>
      <c r="C611" s="36"/>
      <c r="D611" s="36"/>
      <c r="E611" s="36"/>
      <c r="F611" s="36"/>
      <c r="G611" s="36"/>
      <c r="H611" s="36"/>
      <c r="I611" s="36"/>
      <c r="J611" s="36"/>
      <c r="K611" s="36"/>
    </row>
    <row r="612" spans="2:11" ht="12.75">
      <c r="B612" s="36"/>
      <c r="C612" s="36"/>
      <c r="D612" s="36"/>
      <c r="E612" s="36"/>
      <c r="F612" s="36"/>
      <c r="G612" s="36"/>
      <c r="H612" s="36"/>
      <c r="I612" s="36"/>
      <c r="J612" s="36"/>
      <c r="K612" s="36"/>
    </row>
    <row r="613" spans="2:11" ht="12.75">
      <c r="B613" s="36"/>
      <c r="C613" s="36"/>
      <c r="D613" s="36"/>
      <c r="E613" s="36"/>
      <c r="F613" s="36"/>
      <c r="G613" s="36"/>
      <c r="H613" s="36"/>
      <c r="I613" s="36"/>
      <c r="J613" s="36"/>
      <c r="K613" s="36"/>
    </row>
    <row r="614" spans="2:11" ht="12.75">
      <c r="B614" s="36"/>
      <c r="C614" s="36"/>
      <c r="D614" s="36"/>
      <c r="E614" s="36"/>
      <c r="F614" s="36"/>
      <c r="G614" s="36"/>
      <c r="H614" s="36"/>
      <c r="I614" s="36"/>
      <c r="J614" s="36"/>
      <c r="K614" s="36"/>
    </row>
    <row r="615" spans="2:11" ht="12.75">
      <c r="B615" s="36"/>
      <c r="C615" s="36"/>
      <c r="D615" s="36"/>
      <c r="E615" s="36"/>
      <c r="F615" s="36"/>
      <c r="G615" s="36"/>
      <c r="H615" s="36"/>
      <c r="I615" s="36"/>
      <c r="J615" s="36"/>
      <c r="K615" s="36"/>
    </row>
    <row r="616" spans="2:11" ht="12.75">
      <c r="B616" s="36"/>
      <c r="C616" s="36"/>
      <c r="D616" s="36"/>
      <c r="E616" s="36"/>
      <c r="F616" s="36"/>
      <c r="G616" s="36"/>
      <c r="H616" s="36"/>
      <c r="I616" s="36"/>
      <c r="J616" s="36"/>
      <c r="K616" s="36"/>
    </row>
    <row r="617" spans="2:11" ht="12.75">
      <c r="B617" s="36"/>
      <c r="C617" s="36"/>
      <c r="D617" s="36"/>
      <c r="E617" s="36"/>
      <c r="F617" s="36"/>
      <c r="G617" s="36"/>
      <c r="H617" s="36"/>
      <c r="I617" s="36"/>
      <c r="J617" s="36"/>
      <c r="K617" s="36"/>
    </row>
    <row r="618" spans="2:11" ht="12.75">
      <c r="B618" s="36"/>
      <c r="C618" s="36"/>
      <c r="D618" s="36"/>
      <c r="E618" s="36"/>
      <c r="F618" s="36"/>
      <c r="G618" s="36"/>
      <c r="H618" s="36"/>
      <c r="I618" s="36"/>
      <c r="J618" s="36"/>
      <c r="K618" s="36"/>
    </row>
    <row r="619" spans="2:11" ht="12.75">
      <c r="B619" s="36"/>
      <c r="C619" s="36"/>
      <c r="D619" s="36"/>
      <c r="E619" s="36"/>
      <c r="F619" s="36"/>
      <c r="G619" s="36"/>
      <c r="H619" s="36"/>
      <c r="I619" s="36"/>
      <c r="J619" s="36"/>
      <c r="K619" s="36"/>
    </row>
    <row r="620" spans="2:11" ht="12.75">
      <c r="B620" s="36"/>
      <c r="C620" s="36"/>
      <c r="D620" s="36"/>
      <c r="E620" s="36"/>
      <c r="F620" s="36"/>
      <c r="G620" s="36"/>
      <c r="H620" s="36"/>
      <c r="I620" s="36"/>
      <c r="J620" s="36"/>
      <c r="K620" s="36"/>
    </row>
    <row r="621" spans="2:11" ht="12.75">
      <c r="B621" s="36"/>
      <c r="C621" s="36"/>
      <c r="D621" s="36"/>
      <c r="E621" s="36"/>
      <c r="F621" s="36"/>
      <c r="G621" s="36"/>
      <c r="H621" s="36"/>
      <c r="I621" s="36"/>
      <c r="J621" s="36"/>
      <c r="K621" s="36"/>
    </row>
    <row r="622" spans="2:11" ht="12.75">
      <c r="B622" s="36"/>
      <c r="C622" s="36"/>
      <c r="D622" s="36"/>
      <c r="E622" s="36"/>
      <c r="F622" s="36"/>
      <c r="G622" s="36"/>
      <c r="H622" s="36"/>
      <c r="I622" s="36"/>
      <c r="J622" s="36"/>
      <c r="K622" s="36"/>
    </row>
    <row r="623" spans="2:11" ht="12.75">
      <c r="B623" s="36"/>
      <c r="C623" s="36"/>
      <c r="D623" s="36"/>
      <c r="E623" s="36"/>
      <c r="F623" s="36"/>
      <c r="G623" s="36"/>
      <c r="H623" s="36"/>
      <c r="I623" s="36"/>
      <c r="J623" s="36"/>
      <c r="K623" s="36"/>
    </row>
    <row r="624" spans="2:11" ht="12.75">
      <c r="B624" s="36"/>
      <c r="C624" s="36"/>
      <c r="D624" s="36"/>
      <c r="E624" s="36"/>
      <c r="F624" s="36"/>
      <c r="G624" s="36"/>
      <c r="H624" s="36"/>
      <c r="I624" s="36"/>
      <c r="J624" s="36"/>
      <c r="K624" s="36"/>
    </row>
    <row r="625" spans="2:11" ht="12.75">
      <c r="B625" s="36"/>
      <c r="C625" s="36"/>
      <c r="D625" s="36"/>
      <c r="E625" s="36"/>
      <c r="F625" s="36"/>
      <c r="G625" s="36"/>
      <c r="H625" s="36"/>
      <c r="I625" s="36"/>
      <c r="J625" s="36"/>
      <c r="K625" s="36"/>
    </row>
    <row r="626" spans="2:11" ht="12.75">
      <c r="B626" s="36"/>
      <c r="C626" s="36"/>
      <c r="D626" s="36"/>
      <c r="E626" s="36"/>
      <c r="F626" s="36"/>
      <c r="G626" s="36"/>
      <c r="H626" s="36"/>
      <c r="I626" s="36"/>
      <c r="J626" s="36"/>
      <c r="K626" s="36"/>
    </row>
    <row r="627" spans="2:11" ht="12.75">
      <c r="B627" s="36"/>
      <c r="C627" s="36"/>
      <c r="D627" s="36"/>
      <c r="E627" s="36"/>
      <c r="F627" s="36"/>
      <c r="G627" s="36"/>
      <c r="H627" s="36"/>
      <c r="I627" s="36"/>
      <c r="J627" s="36"/>
      <c r="K627" s="36"/>
    </row>
    <row r="628" spans="2:11" ht="12.75">
      <c r="B628" s="36"/>
      <c r="C628" s="36"/>
      <c r="D628" s="36"/>
      <c r="E628" s="36"/>
      <c r="F628" s="36"/>
      <c r="G628" s="36"/>
      <c r="H628" s="36"/>
      <c r="I628" s="36"/>
      <c r="J628" s="36"/>
      <c r="K628" s="36"/>
    </row>
    <row r="629" spans="2:11" ht="12.75">
      <c r="B629" s="36"/>
      <c r="C629" s="36"/>
      <c r="D629" s="36"/>
      <c r="E629" s="36"/>
      <c r="F629" s="36"/>
      <c r="G629" s="36"/>
      <c r="H629" s="36"/>
      <c r="I629" s="36"/>
      <c r="J629" s="36"/>
      <c r="K629" s="36"/>
    </row>
    <row r="630" spans="2:11" ht="12.75">
      <c r="B630" s="36"/>
      <c r="C630" s="36"/>
      <c r="D630" s="36"/>
      <c r="E630" s="36"/>
      <c r="F630" s="36"/>
      <c r="G630" s="36"/>
      <c r="H630" s="36"/>
      <c r="I630" s="36"/>
      <c r="J630" s="36"/>
      <c r="K630" s="36"/>
    </row>
    <row r="631" spans="2:11" ht="12.75">
      <c r="B631" s="36"/>
      <c r="C631" s="36"/>
      <c r="D631" s="36"/>
      <c r="E631" s="36"/>
      <c r="F631" s="36"/>
      <c r="G631" s="36"/>
      <c r="H631" s="36"/>
      <c r="I631" s="36"/>
      <c r="J631" s="36"/>
      <c r="K631" s="36"/>
    </row>
    <row r="632" spans="2:11" ht="12.75">
      <c r="B632" s="36"/>
      <c r="C632" s="36"/>
      <c r="D632" s="36"/>
      <c r="E632" s="36"/>
      <c r="F632" s="36"/>
      <c r="G632" s="36"/>
      <c r="H632" s="36"/>
      <c r="I632" s="36"/>
      <c r="J632" s="36"/>
      <c r="K632" s="36"/>
    </row>
    <row r="633" spans="2:11" ht="12.75">
      <c r="B633" s="36"/>
      <c r="C633" s="36"/>
      <c r="D633" s="36"/>
      <c r="E633" s="36"/>
      <c r="F633" s="36"/>
      <c r="G633" s="36"/>
      <c r="H633" s="36"/>
      <c r="I633" s="36"/>
      <c r="J633" s="36"/>
      <c r="K633" s="36"/>
    </row>
    <row r="634" spans="2:11" ht="12.75">
      <c r="B634" s="36"/>
      <c r="C634" s="36"/>
      <c r="D634" s="36"/>
      <c r="E634" s="36"/>
      <c r="F634" s="36"/>
      <c r="G634" s="36"/>
      <c r="H634" s="36"/>
      <c r="I634" s="36"/>
      <c r="J634" s="36"/>
      <c r="K634" s="36"/>
    </row>
    <row r="635" spans="2:11" ht="12.75">
      <c r="B635" s="36"/>
      <c r="C635" s="36"/>
      <c r="D635" s="36"/>
      <c r="E635" s="36"/>
      <c r="F635" s="36"/>
      <c r="G635" s="36"/>
      <c r="H635" s="36"/>
      <c r="I635" s="36"/>
      <c r="J635" s="36"/>
      <c r="K635" s="36"/>
    </row>
    <row r="636" spans="2:11" ht="12.75">
      <c r="B636" s="36"/>
      <c r="C636" s="36"/>
      <c r="D636" s="36"/>
      <c r="E636" s="36"/>
      <c r="F636" s="36"/>
      <c r="G636" s="36"/>
      <c r="H636" s="36"/>
      <c r="I636" s="36"/>
      <c r="J636" s="36"/>
      <c r="K636" s="36"/>
    </row>
    <row r="637" spans="2:11" ht="12.75">
      <c r="B637" s="36"/>
      <c r="C637" s="36"/>
      <c r="D637" s="36"/>
      <c r="E637" s="36"/>
      <c r="F637" s="36"/>
      <c r="G637" s="36"/>
      <c r="H637" s="36"/>
      <c r="I637" s="36"/>
      <c r="J637" s="36"/>
      <c r="K637" s="36"/>
    </row>
    <row r="638" spans="2:11" ht="12.75">
      <c r="B638" s="36"/>
      <c r="C638" s="36"/>
      <c r="D638" s="36"/>
      <c r="E638" s="36"/>
      <c r="F638" s="36"/>
      <c r="G638" s="36"/>
      <c r="H638" s="36"/>
      <c r="I638" s="36"/>
      <c r="J638" s="36"/>
      <c r="K638" s="36"/>
    </row>
    <row r="639" spans="2:11" ht="12.75">
      <c r="B639" s="36"/>
      <c r="C639" s="36"/>
      <c r="D639" s="36"/>
      <c r="E639" s="36"/>
      <c r="F639" s="36"/>
      <c r="G639" s="36"/>
      <c r="H639" s="36"/>
      <c r="I639" s="36"/>
      <c r="J639" s="36"/>
      <c r="K639" s="36"/>
    </row>
    <row r="640" spans="2:11" ht="12.75">
      <c r="B640" s="36"/>
      <c r="C640" s="36"/>
      <c r="D640" s="36"/>
      <c r="E640" s="36"/>
      <c r="F640" s="36"/>
      <c r="G640" s="36"/>
      <c r="H640" s="36"/>
      <c r="I640" s="36"/>
      <c r="J640" s="36"/>
      <c r="K640" s="36"/>
    </row>
    <row r="641" spans="2:11" ht="12.75">
      <c r="B641" s="36"/>
      <c r="C641" s="36"/>
      <c r="D641" s="36"/>
      <c r="E641" s="36"/>
      <c r="F641" s="36"/>
      <c r="G641" s="36"/>
      <c r="H641" s="36"/>
      <c r="I641" s="36"/>
      <c r="J641" s="36"/>
      <c r="K641" s="36"/>
    </row>
    <row r="642" spans="2:11" ht="12.75">
      <c r="B642" s="36"/>
      <c r="C642" s="36"/>
      <c r="D642" s="36"/>
      <c r="E642" s="36"/>
      <c r="F642" s="36"/>
      <c r="G642" s="36"/>
      <c r="H642" s="36"/>
      <c r="I642" s="36"/>
      <c r="J642" s="36"/>
      <c r="K642" s="36"/>
    </row>
    <row r="643" spans="2:11" ht="12.75">
      <c r="B643" s="36"/>
      <c r="C643" s="36"/>
      <c r="D643" s="36"/>
      <c r="E643" s="36"/>
      <c r="F643" s="36"/>
      <c r="G643" s="36"/>
      <c r="H643" s="36"/>
      <c r="I643" s="36"/>
      <c r="J643" s="36"/>
      <c r="K643" s="36"/>
    </row>
    <row r="644" spans="2:11" ht="12.75">
      <c r="B644" s="36"/>
      <c r="C644" s="36"/>
      <c r="D644" s="36"/>
      <c r="E644" s="36"/>
      <c r="F644" s="36"/>
      <c r="G644" s="36"/>
      <c r="H644" s="36"/>
      <c r="I644" s="36"/>
      <c r="J644" s="36"/>
      <c r="K644" s="36"/>
    </row>
    <row r="645" spans="2:11" ht="12.75">
      <c r="B645" s="36"/>
      <c r="C645" s="36"/>
      <c r="D645" s="36"/>
      <c r="E645" s="36"/>
      <c r="F645" s="36"/>
      <c r="G645" s="36"/>
      <c r="H645" s="36"/>
      <c r="I645" s="36"/>
      <c r="J645" s="36"/>
      <c r="K645" s="36"/>
    </row>
    <row r="646" spans="2:11" ht="12.75">
      <c r="B646" s="36"/>
      <c r="C646" s="36"/>
      <c r="D646" s="36"/>
      <c r="E646" s="36"/>
      <c r="F646" s="36"/>
      <c r="G646" s="36"/>
      <c r="H646" s="36"/>
      <c r="I646" s="36"/>
      <c r="J646" s="36"/>
      <c r="K646" s="36"/>
    </row>
    <row r="647" spans="2:11" ht="12.75">
      <c r="B647" s="36"/>
      <c r="C647" s="36"/>
      <c r="D647" s="36"/>
      <c r="E647" s="36"/>
      <c r="F647" s="36"/>
      <c r="G647" s="36"/>
      <c r="H647" s="36"/>
      <c r="I647" s="36"/>
      <c r="J647" s="36"/>
      <c r="K647" s="36"/>
    </row>
    <row r="648" spans="2:11" ht="12.75">
      <c r="B648" s="36"/>
      <c r="C648" s="36"/>
      <c r="D648" s="36"/>
      <c r="E648" s="36"/>
      <c r="F648" s="36"/>
      <c r="G648" s="36"/>
      <c r="H648" s="36"/>
      <c r="I648" s="36"/>
      <c r="J648" s="36"/>
      <c r="K648" s="36"/>
    </row>
    <row r="649" spans="2:11" ht="12.75">
      <c r="B649" s="36"/>
      <c r="C649" s="36"/>
      <c r="D649" s="36"/>
      <c r="E649" s="36"/>
      <c r="F649" s="36"/>
      <c r="G649" s="36"/>
      <c r="H649" s="36"/>
      <c r="I649" s="36"/>
      <c r="J649" s="36"/>
      <c r="K649" s="36"/>
    </row>
    <row r="650" spans="2:11" ht="12.75">
      <c r="B650" s="36"/>
      <c r="C650" s="36"/>
      <c r="D650" s="36"/>
      <c r="E650" s="36"/>
      <c r="F650" s="36"/>
      <c r="G650" s="36"/>
      <c r="H650" s="36"/>
      <c r="I650" s="36"/>
      <c r="J650" s="36"/>
      <c r="K650" s="36"/>
    </row>
    <row r="651" spans="2:11" ht="12.75">
      <c r="B651" s="36"/>
      <c r="C651" s="36"/>
      <c r="D651" s="36"/>
      <c r="E651" s="36"/>
      <c r="F651" s="36"/>
      <c r="G651" s="36"/>
      <c r="H651" s="36"/>
      <c r="I651" s="36"/>
      <c r="J651" s="36"/>
      <c r="K651" s="36"/>
    </row>
    <row r="652" spans="2:11" ht="12.75">
      <c r="B652" s="36"/>
      <c r="C652" s="36"/>
      <c r="D652" s="36"/>
      <c r="E652" s="36"/>
      <c r="F652" s="36"/>
      <c r="G652" s="36"/>
      <c r="H652" s="36"/>
      <c r="I652" s="36"/>
      <c r="J652" s="36"/>
      <c r="K652" s="36"/>
    </row>
    <row r="653" spans="2:11" ht="12.75">
      <c r="B653" s="36"/>
      <c r="C653" s="36"/>
      <c r="D653" s="36"/>
      <c r="E653" s="36"/>
      <c r="F653" s="36"/>
      <c r="G653" s="36"/>
      <c r="H653" s="36"/>
      <c r="I653" s="36"/>
      <c r="J653" s="36"/>
      <c r="K653" s="36"/>
    </row>
    <row r="654" spans="2:11" ht="12.75">
      <c r="B654" s="36"/>
      <c r="C654" s="36"/>
      <c r="D654" s="36"/>
      <c r="E654" s="36"/>
      <c r="F654" s="36"/>
      <c r="G654" s="36"/>
      <c r="H654" s="36"/>
      <c r="I654" s="36"/>
      <c r="J654" s="36"/>
      <c r="K654" s="36"/>
    </row>
    <row r="655" spans="2:11" ht="12.75">
      <c r="B655" s="36"/>
      <c r="C655" s="36"/>
      <c r="D655" s="36"/>
      <c r="E655" s="36"/>
      <c r="F655" s="36"/>
      <c r="G655" s="36"/>
      <c r="H655" s="36"/>
      <c r="I655" s="36"/>
      <c r="J655" s="36"/>
      <c r="K655" s="36"/>
    </row>
    <row r="656" spans="2:11" ht="12.75">
      <c r="B656" s="36"/>
      <c r="C656" s="36"/>
      <c r="D656" s="36"/>
      <c r="E656" s="36"/>
      <c r="F656" s="36"/>
      <c r="G656" s="36"/>
      <c r="H656" s="36"/>
      <c r="I656" s="36"/>
      <c r="J656" s="36"/>
      <c r="K656" s="36"/>
    </row>
    <row r="657" spans="2:11" ht="12.75">
      <c r="B657" s="36"/>
      <c r="C657" s="36"/>
      <c r="D657" s="36"/>
      <c r="E657" s="36"/>
      <c r="F657" s="36"/>
      <c r="G657" s="36"/>
      <c r="H657" s="36"/>
      <c r="I657" s="36"/>
      <c r="J657" s="36"/>
      <c r="K657" s="36"/>
    </row>
    <row r="658" spans="2:11" ht="12.75">
      <c r="B658" s="36"/>
      <c r="C658" s="36"/>
      <c r="D658" s="36"/>
      <c r="E658" s="36"/>
      <c r="F658" s="36"/>
      <c r="G658" s="36"/>
      <c r="H658" s="36"/>
      <c r="I658" s="36"/>
      <c r="J658" s="36"/>
      <c r="K658" s="36"/>
    </row>
    <row r="659" spans="2:11" ht="12.75">
      <c r="B659" s="36"/>
      <c r="C659" s="36"/>
      <c r="D659" s="36"/>
      <c r="E659" s="36"/>
      <c r="F659" s="36"/>
      <c r="G659" s="36"/>
      <c r="H659" s="36"/>
      <c r="I659" s="36"/>
      <c r="J659" s="36"/>
      <c r="K659" s="36"/>
    </row>
    <row r="660" spans="2:11" ht="12.75">
      <c r="B660" s="36"/>
      <c r="C660" s="36"/>
      <c r="D660" s="36"/>
      <c r="E660" s="36"/>
      <c r="F660" s="36"/>
      <c r="G660" s="36"/>
      <c r="H660" s="36"/>
      <c r="I660" s="36"/>
      <c r="J660" s="36"/>
      <c r="K660" s="36"/>
    </row>
    <row r="661" spans="2:11" ht="12.75">
      <c r="B661" s="36"/>
      <c r="C661" s="36"/>
      <c r="D661" s="36"/>
      <c r="E661" s="36"/>
      <c r="F661" s="36"/>
      <c r="G661" s="36"/>
      <c r="H661" s="36"/>
      <c r="I661" s="36"/>
      <c r="J661" s="36"/>
      <c r="K661" s="36"/>
    </row>
    <row r="662" spans="2:11" ht="12.75">
      <c r="B662" s="36"/>
      <c r="C662" s="36"/>
      <c r="D662" s="36"/>
      <c r="E662" s="36"/>
      <c r="F662" s="36"/>
      <c r="G662" s="36"/>
      <c r="H662" s="36"/>
      <c r="I662" s="36"/>
      <c r="J662" s="36"/>
      <c r="K662" s="36"/>
    </row>
    <row r="663" spans="2:11" ht="12.75">
      <c r="B663" s="36"/>
      <c r="C663" s="36"/>
      <c r="D663" s="36"/>
      <c r="E663" s="36"/>
      <c r="F663" s="36"/>
      <c r="G663" s="36"/>
      <c r="H663" s="36"/>
      <c r="I663" s="36"/>
      <c r="J663" s="36"/>
      <c r="K663" s="36"/>
    </row>
    <row r="664" spans="2:11" ht="12.75">
      <c r="B664" s="36"/>
      <c r="C664" s="36"/>
      <c r="D664" s="36"/>
      <c r="E664" s="36"/>
      <c r="F664" s="36"/>
      <c r="G664" s="36"/>
      <c r="H664" s="36"/>
      <c r="I664" s="36"/>
      <c r="J664" s="36"/>
      <c r="K664" s="36"/>
    </row>
    <row r="665" spans="2:11" ht="12.75">
      <c r="B665" s="36"/>
      <c r="C665" s="36"/>
      <c r="D665" s="36"/>
      <c r="E665" s="36"/>
      <c r="F665" s="36"/>
      <c r="G665" s="36"/>
      <c r="H665" s="36"/>
      <c r="I665" s="36"/>
      <c r="J665" s="36"/>
      <c r="K665" s="36"/>
    </row>
    <row r="666" spans="2:11" ht="12.75">
      <c r="B666" s="36"/>
      <c r="C666" s="36"/>
      <c r="D666" s="36"/>
      <c r="E666" s="36"/>
      <c r="F666" s="36"/>
      <c r="G666" s="36"/>
      <c r="H666" s="36"/>
      <c r="I666" s="36"/>
      <c r="J666" s="36"/>
      <c r="K666" s="36"/>
    </row>
    <row r="667" spans="2:11" ht="12.75">
      <c r="B667" s="36"/>
      <c r="C667" s="36"/>
      <c r="D667" s="36"/>
      <c r="E667" s="36"/>
      <c r="F667" s="36"/>
      <c r="G667" s="36"/>
      <c r="H667" s="36"/>
      <c r="I667" s="36"/>
      <c r="J667" s="36"/>
      <c r="K667" s="36"/>
    </row>
    <row r="668" spans="2:11" ht="12.75">
      <c r="B668" s="36"/>
      <c r="C668" s="36"/>
      <c r="D668" s="36"/>
      <c r="E668" s="36"/>
      <c r="F668" s="36"/>
      <c r="G668" s="36"/>
      <c r="H668" s="36"/>
      <c r="I668" s="36"/>
      <c r="J668" s="36"/>
      <c r="K668" s="36"/>
    </row>
    <row r="669" spans="2:11" ht="12.75">
      <c r="B669" s="36"/>
      <c r="C669" s="36"/>
      <c r="D669" s="36"/>
      <c r="E669" s="36"/>
      <c r="F669" s="36"/>
      <c r="G669" s="36"/>
      <c r="H669" s="36"/>
      <c r="I669" s="36"/>
      <c r="J669" s="36"/>
      <c r="K669" s="36"/>
    </row>
    <row r="670" spans="2:11" ht="12.75">
      <c r="B670" s="36"/>
      <c r="C670" s="36"/>
      <c r="D670" s="36"/>
      <c r="E670" s="36"/>
      <c r="F670" s="36"/>
      <c r="G670" s="36"/>
      <c r="H670" s="36"/>
      <c r="I670" s="36"/>
      <c r="J670" s="36"/>
      <c r="K670" s="36"/>
    </row>
    <row r="671" spans="2:11" ht="12.75">
      <c r="B671" s="36"/>
      <c r="C671" s="36"/>
      <c r="D671" s="36"/>
      <c r="E671" s="36"/>
      <c r="F671" s="36"/>
      <c r="G671" s="36"/>
      <c r="H671" s="36"/>
      <c r="I671" s="36"/>
      <c r="J671" s="36"/>
      <c r="K671" s="36"/>
    </row>
    <row r="672" spans="2:11" ht="12.75">
      <c r="B672" s="36"/>
      <c r="C672" s="36"/>
      <c r="D672" s="36"/>
      <c r="E672" s="36"/>
      <c r="F672" s="36"/>
      <c r="G672" s="36"/>
      <c r="H672" s="36"/>
      <c r="I672" s="36"/>
      <c r="J672" s="36"/>
      <c r="K672" s="36"/>
    </row>
    <row r="673" spans="2:11" ht="12.75">
      <c r="B673" s="36"/>
      <c r="C673" s="36"/>
      <c r="D673" s="36"/>
      <c r="E673" s="36"/>
      <c r="F673" s="36"/>
      <c r="G673" s="36"/>
      <c r="H673" s="36"/>
      <c r="I673" s="36"/>
      <c r="J673" s="36"/>
      <c r="K673" s="36"/>
    </row>
    <row r="674" spans="2:11" ht="12.75">
      <c r="B674" s="36"/>
      <c r="C674" s="36"/>
      <c r="D674" s="36"/>
      <c r="E674" s="36"/>
      <c r="F674" s="36"/>
      <c r="G674" s="36"/>
      <c r="H674" s="36"/>
      <c r="I674" s="36"/>
      <c r="J674" s="36"/>
      <c r="K674" s="36"/>
    </row>
    <row r="675" spans="2:11" ht="12.75">
      <c r="B675" s="36"/>
      <c r="C675" s="36"/>
      <c r="D675" s="36"/>
      <c r="E675" s="36"/>
      <c r="F675" s="36"/>
      <c r="G675" s="36"/>
      <c r="H675" s="36"/>
      <c r="I675" s="36"/>
      <c r="J675" s="36"/>
      <c r="K675" s="36"/>
    </row>
    <row r="676" spans="2:11" ht="12.75">
      <c r="B676" s="36"/>
      <c r="C676" s="36"/>
      <c r="D676" s="36"/>
      <c r="E676" s="36"/>
      <c r="F676" s="36"/>
      <c r="G676" s="36"/>
      <c r="H676" s="36"/>
      <c r="I676" s="36"/>
      <c r="J676" s="36"/>
      <c r="K676" s="36"/>
    </row>
    <row r="677" spans="2:11" ht="12.75">
      <c r="B677" s="36"/>
      <c r="C677" s="36"/>
      <c r="D677" s="36"/>
      <c r="E677" s="36"/>
      <c r="F677" s="36"/>
      <c r="G677" s="36"/>
      <c r="H677" s="36"/>
      <c r="I677" s="36"/>
      <c r="J677" s="36"/>
      <c r="K677" s="36"/>
    </row>
    <row r="678" spans="2:11" ht="12.75">
      <c r="B678" s="36"/>
      <c r="C678" s="36"/>
      <c r="D678" s="36"/>
      <c r="E678" s="36"/>
      <c r="F678" s="36"/>
      <c r="G678" s="36"/>
      <c r="H678" s="36"/>
      <c r="I678" s="36"/>
      <c r="J678" s="36"/>
      <c r="K678" s="36"/>
    </row>
    <row r="679" spans="2:11" ht="12.75">
      <c r="B679" s="36"/>
      <c r="C679" s="36"/>
      <c r="D679" s="36"/>
      <c r="E679" s="36"/>
      <c r="F679" s="36"/>
      <c r="G679" s="36"/>
      <c r="H679" s="36"/>
      <c r="I679" s="36"/>
      <c r="J679" s="36"/>
      <c r="K679" s="36"/>
    </row>
    <row r="680" spans="2:11" ht="12.75">
      <c r="B680" s="36"/>
      <c r="C680" s="36"/>
      <c r="D680" s="36"/>
      <c r="E680" s="36"/>
      <c r="F680" s="36"/>
      <c r="G680" s="36"/>
      <c r="H680" s="36"/>
      <c r="I680" s="36"/>
      <c r="J680" s="36"/>
      <c r="K680" s="36"/>
    </row>
    <row r="681" spans="2:11" ht="12.75">
      <c r="B681" s="36"/>
      <c r="C681" s="36"/>
      <c r="D681" s="36"/>
      <c r="E681" s="36"/>
      <c r="F681" s="36"/>
      <c r="G681" s="36"/>
      <c r="H681" s="36"/>
      <c r="I681" s="36"/>
      <c r="J681" s="36"/>
      <c r="K681" s="36"/>
    </row>
    <row r="682" spans="2:11" ht="12.75">
      <c r="B682" s="36"/>
      <c r="C682" s="36"/>
      <c r="D682" s="36"/>
      <c r="E682" s="36"/>
      <c r="F682" s="36"/>
      <c r="G682" s="36"/>
      <c r="H682" s="36"/>
      <c r="I682" s="36"/>
      <c r="J682" s="36"/>
      <c r="K682" s="36"/>
    </row>
    <row r="683" spans="2:11" ht="12.75">
      <c r="B683" s="36"/>
      <c r="C683" s="36"/>
      <c r="D683" s="36"/>
      <c r="E683" s="36"/>
      <c r="F683" s="36"/>
      <c r="G683" s="36"/>
      <c r="H683" s="36"/>
      <c r="I683" s="36"/>
      <c r="J683" s="36"/>
      <c r="K683" s="36"/>
    </row>
    <row r="684" spans="2:11" ht="12.75">
      <c r="B684" s="36"/>
      <c r="C684" s="36"/>
      <c r="D684" s="36"/>
      <c r="E684" s="36"/>
      <c r="F684" s="36"/>
      <c r="G684" s="36"/>
      <c r="H684" s="36"/>
      <c r="I684" s="36"/>
      <c r="J684" s="36"/>
      <c r="K684" s="36"/>
    </row>
    <row r="685" spans="2:11" ht="12.75">
      <c r="B685" s="36"/>
      <c r="C685" s="36"/>
      <c r="D685" s="36"/>
      <c r="E685" s="36"/>
      <c r="F685" s="36"/>
      <c r="G685" s="36"/>
      <c r="H685" s="36"/>
      <c r="I685" s="36"/>
      <c r="J685" s="36"/>
      <c r="K685" s="36"/>
    </row>
    <row r="686" spans="2:11" ht="12.75">
      <c r="B686" s="36"/>
      <c r="C686" s="36"/>
      <c r="D686" s="36"/>
      <c r="E686" s="36"/>
      <c r="F686" s="36"/>
      <c r="G686" s="36"/>
      <c r="H686" s="36"/>
      <c r="I686" s="36"/>
      <c r="J686" s="36"/>
      <c r="K686" s="36"/>
    </row>
    <row r="687" spans="2:11" ht="12.75">
      <c r="B687" s="36"/>
      <c r="C687" s="36"/>
      <c r="D687" s="36"/>
      <c r="E687" s="36"/>
      <c r="F687" s="36"/>
      <c r="G687" s="36"/>
      <c r="H687" s="36"/>
      <c r="I687" s="36"/>
      <c r="J687" s="36"/>
      <c r="K687" s="36"/>
    </row>
    <row r="688" spans="2:11" ht="12.75">
      <c r="B688" s="36"/>
      <c r="C688" s="36"/>
      <c r="D688" s="36"/>
      <c r="E688" s="36"/>
      <c r="F688" s="36"/>
      <c r="G688" s="36"/>
      <c r="H688" s="36"/>
      <c r="I688" s="36"/>
      <c r="J688" s="36"/>
      <c r="K688" s="36"/>
    </row>
    <row r="689" spans="2:11" ht="12.75">
      <c r="B689" s="36"/>
      <c r="C689" s="36"/>
      <c r="D689" s="36"/>
      <c r="E689" s="36"/>
      <c r="F689" s="36"/>
      <c r="G689" s="36"/>
      <c r="H689" s="36"/>
      <c r="I689" s="36"/>
      <c r="J689" s="36"/>
      <c r="K689" s="36"/>
    </row>
    <row r="690" spans="2:11" ht="12.75">
      <c r="B690" s="36"/>
      <c r="C690" s="36"/>
      <c r="D690" s="36"/>
      <c r="E690" s="36"/>
      <c r="F690" s="36"/>
      <c r="G690" s="36"/>
      <c r="H690" s="36"/>
      <c r="I690" s="36"/>
      <c r="J690" s="36"/>
      <c r="K690" s="36"/>
    </row>
    <row r="691" spans="2:11" ht="12.75">
      <c r="B691" s="36"/>
      <c r="C691" s="36"/>
      <c r="D691" s="36"/>
      <c r="E691" s="36"/>
      <c r="F691" s="36"/>
      <c r="G691" s="36"/>
      <c r="H691" s="36"/>
      <c r="I691" s="36"/>
      <c r="J691" s="36"/>
      <c r="K691" s="36"/>
    </row>
    <row r="692" spans="2:11" ht="12.75">
      <c r="B692" s="36"/>
      <c r="C692" s="36"/>
      <c r="D692" s="36"/>
      <c r="E692" s="36"/>
      <c r="F692" s="36"/>
      <c r="G692" s="36"/>
      <c r="H692" s="36"/>
      <c r="I692" s="36"/>
      <c r="J692" s="36"/>
      <c r="K692" s="36"/>
    </row>
    <row r="693" spans="2:11" ht="12.75">
      <c r="B693" s="36"/>
      <c r="C693" s="36"/>
      <c r="D693" s="36"/>
      <c r="E693" s="36"/>
      <c r="F693" s="36"/>
      <c r="G693" s="36"/>
      <c r="H693" s="36"/>
      <c r="I693" s="36"/>
      <c r="J693" s="36"/>
      <c r="K693" s="36"/>
    </row>
    <row r="694" spans="2:11" ht="12.75">
      <c r="B694" s="36"/>
      <c r="C694" s="36"/>
      <c r="D694" s="36"/>
      <c r="E694" s="36"/>
      <c r="F694" s="36"/>
      <c r="G694" s="36"/>
      <c r="H694" s="36"/>
      <c r="I694" s="36"/>
      <c r="J694" s="36"/>
      <c r="K694" s="36"/>
    </row>
    <row r="695" spans="2:11" ht="12.75">
      <c r="B695" s="36"/>
      <c r="C695" s="36"/>
      <c r="D695" s="36"/>
      <c r="E695" s="36"/>
      <c r="F695" s="36"/>
      <c r="G695" s="36"/>
      <c r="H695" s="36"/>
      <c r="I695" s="36"/>
      <c r="J695" s="36"/>
      <c r="K695" s="36"/>
    </row>
    <row r="696" spans="2:11" ht="12.75">
      <c r="B696" s="36"/>
      <c r="C696" s="36"/>
      <c r="D696" s="36"/>
      <c r="E696" s="36"/>
      <c r="F696" s="36"/>
      <c r="G696" s="36"/>
      <c r="H696" s="36"/>
      <c r="I696" s="36"/>
      <c r="J696" s="36"/>
      <c r="K696" s="36"/>
    </row>
    <row r="697" spans="2:11" ht="12.75">
      <c r="B697" s="36"/>
      <c r="C697" s="36"/>
      <c r="D697" s="36"/>
      <c r="E697" s="36"/>
      <c r="F697" s="36"/>
      <c r="G697" s="36"/>
      <c r="H697" s="36"/>
      <c r="I697" s="36"/>
      <c r="J697" s="36"/>
      <c r="K697" s="36"/>
    </row>
    <row r="698" spans="2:11" ht="12.75">
      <c r="B698" s="36"/>
      <c r="C698" s="36"/>
      <c r="D698" s="36"/>
      <c r="E698" s="36"/>
      <c r="F698" s="36"/>
      <c r="G698" s="36"/>
      <c r="H698" s="36"/>
      <c r="I698" s="36"/>
      <c r="J698" s="36"/>
      <c r="K698" s="36"/>
    </row>
    <row r="699" spans="2:11" ht="12.75">
      <c r="B699" s="36"/>
      <c r="C699" s="36"/>
      <c r="D699" s="36"/>
      <c r="E699" s="36"/>
      <c r="F699" s="36"/>
      <c r="G699" s="36"/>
      <c r="H699" s="36"/>
      <c r="I699" s="36"/>
      <c r="J699" s="36"/>
      <c r="K699" s="36"/>
    </row>
    <row r="700" spans="2:11" ht="12.75">
      <c r="B700" s="36"/>
      <c r="C700" s="36"/>
      <c r="D700" s="36"/>
      <c r="E700" s="36"/>
      <c r="F700" s="36"/>
      <c r="G700" s="36"/>
      <c r="H700" s="36"/>
      <c r="I700" s="36"/>
      <c r="J700" s="36"/>
      <c r="K700" s="36"/>
    </row>
    <row r="701" spans="2:11" ht="12.75">
      <c r="B701" s="36"/>
      <c r="C701" s="36"/>
      <c r="D701" s="36"/>
      <c r="E701" s="36"/>
      <c r="F701" s="36"/>
      <c r="G701" s="36"/>
      <c r="H701" s="36"/>
      <c r="I701" s="36"/>
      <c r="J701" s="36"/>
      <c r="K701" s="36"/>
    </row>
    <row r="702" spans="2:11" ht="12.75">
      <c r="B702" s="36"/>
      <c r="C702" s="36"/>
      <c r="D702" s="36"/>
      <c r="E702" s="36"/>
      <c r="F702" s="36"/>
      <c r="G702" s="36"/>
      <c r="H702" s="36"/>
      <c r="I702" s="36"/>
      <c r="J702" s="36"/>
      <c r="K702" s="36"/>
    </row>
    <row r="703" spans="2:11" ht="12.75">
      <c r="B703" s="36"/>
      <c r="C703" s="36"/>
      <c r="D703" s="36"/>
      <c r="E703" s="36"/>
      <c r="F703" s="36"/>
      <c r="G703" s="36"/>
      <c r="H703" s="36"/>
      <c r="I703" s="36"/>
      <c r="J703" s="36"/>
      <c r="K703" s="36"/>
    </row>
    <row r="704" spans="2:11" ht="12.75">
      <c r="B704" s="36"/>
      <c r="C704" s="36"/>
      <c r="D704" s="36"/>
      <c r="E704" s="36"/>
      <c r="F704" s="36"/>
      <c r="G704" s="36"/>
      <c r="H704" s="36"/>
      <c r="I704" s="36"/>
      <c r="J704" s="36"/>
      <c r="K704" s="36"/>
    </row>
    <row r="705" spans="2:11" ht="12.75">
      <c r="B705" s="36"/>
      <c r="C705" s="36"/>
      <c r="D705" s="36"/>
      <c r="E705" s="36"/>
      <c r="F705" s="36"/>
      <c r="G705" s="36"/>
      <c r="H705" s="36"/>
      <c r="I705" s="36"/>
      <c r="J705" s="36"/>
      <c r="K705" s="36"/>
    </row>
    <row r="706" spans="2:11" ht="12.75">
      <c r="B706" s="36"/>
      <c r="C706" s="36"/>
      <c r="D706" s="36"/>
      <c r="E706" s="36"/>
      <c r="F706" s="36"/>
      <c r="G706" s="36"/>
      <c r="H706" s="36"/>
      <c r="I706" s="36"/>
      <c r="J706" s="36"/>
      <c r="K706" s="36"/>
    </row>
    <row r="707" spans="2:11" ht="12.75">
      <c r="B707" s="36"/>
      <c r="C707" s="36"/>
      <c r="D707" s="36"/>
      <c r="E707" s="36"/>
      <c r="F707" s="36"/>
      <c r="G707" s="36"/>
      <c r="H707" s="36"/>
      <c r="I707" s="36"/>
      <c r="J707" s="36"/>
      <c r="K707" s="36"/>
    </row>
    <row r="708" spans="2:11" ht="12.75">
      <c r="B708" s="36"/>
      <c r="C708" s="36"/>
      <c r="D708" s="36"/>
      <c r="E708" s="36"/>
      <c r="F708" s="36"/>
      <c r="G708" s="36"/>
      <c r="H708" s="36"/>
      <c r="I708" s="36"/>
      <c r="J708" s="36"/>
      <c r="K708" s="36"/>
    </row>
    <row r="709" spans="2:11" ht="12.75">
      <c r="B709" s="36"/>
      <c r="C709" s="36"/>
      <c r="D709" s="36"/>
      <c r="E709" s="36"/>
      <c r="F709" s="36"/>
      <c r="G709" s="36"/>
      <c r="H709" s="36"/>
      <c r="I709" s="36"/>
      <c r="J709" s="36"/>
      <c r="K709" s="36"/>
    </row>
    <row r="710" spans="2:11" ht="12.75">
      <c r="B710" s="36"/>
      <c r="C710" s="36"/>
      <c r="D710" s="36"/>
      <c r="E710" s="36"/>
      <c r="F710" s="36"/>
      <c r="G710" s="36"/>
      <c r="H710" s="36"/>
      <c r="I710" s="36"/>
      <c r="J710" s="36"/>
      <c r="K710" s="36"/>
    </row>
    <row r="711" spans="2:11" ht="12.75">
      <c r="B711" s="36"/>
      <c r="C711" s="36"/>
      <c r="D711" s="36"/>
      <c r="E711" s="36"/>
      <c r="F711" s="36"/>
      <c r="G711" s="36"/>
      <c r="H711" s="36"/>
      <c r="I711" s="36"/>
      <c r="J711" s="36"/>
      <c r="K711" s="36"/>
    </row>
    <row r="712" spans="2:11" ht="12.75">
      <c r="B712" s="36"/>
      <c r="C712" s="36"/>
      <c r="D712" s="36"/>
      <c r="E712" s="36"/>
      <c r="F712" s="36"/>
      <c r="G712" s="36"/>
      <c r="H712" s="36"/>
      <c r="I712" s="36"/>
      <c r="J712" s="36"/>
      <c r="K712" s="36"/>
    </row>
    <row r="713" spans="2:11" ht="12.75">
      <c r="B713" s="36"/>
      <c r="C713" s="36"/>
      <c r="D713" s="36"/>
      <c r="E713" s="36"/>
      <c r="F713" s="36"/>
      <c r="G713" s="36"/>
      <c r="H713" s="36"/>
      <c r="I713" s="36"/>
      <c r="J713" s="36"/>
      <c r="K713" s="36"/>
    </row>
    <row r="714" spans="2:11" ht="12.75">
      <c r="B714" s="36"/>
      <c r="C714" s="36"/>
      <c r="D714" s="36"/>
      <c r="E714" s="36"/>
      <c r="F714" s="36"/>
      <c r="G714" s="36"/>
      <c r="H714" s="36"/>
      <c r="I714" s="36"/>
      <c r="J714" s="36"/>
      <c r="K714" s="36"/>
    </row>
    <row r="715" spans="2:11" ht="12.75">
      <c r="B715" s="36"/>
      <c r="C715" s="36"/>
      <c r="D715" s="36"/>
      <c r="E715" s="36"/>
      <c r="F715" s="36"/>
      <c r="G715" s="36"/>
      <c r="H715" s="36"/>
      <c r="I715" s="36"/>
      <c r="J715" s="36"/>
      <c r="K715" s="36"/>
    </row>
    <row r="716" spans="2:11" ht="12.75">
      <c r="B716" s="36"/>
      <c r="C716" s="36"/>
      <c r="D716" s="36"/>
      <c r="E716" s="36"/>
      <c r="F716" s="36"/>
      <c r="G716" s="36"/>
      <c r="H716" s="36"/>
      <c r="I716" s="36"/>
      <c r="J716" s="36"/>
      <c r="K716" s="36"/>
    </row>
    <row r="717" spans="2:11" ht="12.75">
      <c r="B717" s="36"/>
      <c r="C717" s="36"/>
      <c r="D717" s="36"/>
      <c r="E717" s="36"/>
      <c r="F717" s="36"/>
      <c r="G717" s="36"/>
      <c r="H717" s="36"/>
      <c r="I717" s="36"/>
      <c r="J717" s="36"/>
      <c r="K717" s="36"/>
    </row>
    <row r="718" spans="2:11" ht="12.75">
      <c r="B718" s="36"/>
      <c r="C718" s="36"/>
      <c r="D718" s="36"/>
      <c r="E718" s="36"/>
      <c r="F718" s="36"/>
      <c r="G718" s="36"/>
      <c r="H718" s="36"/>
      <c r="I718" s="36"/>
      <c r="J718" s="36"/>
      <c r="K718" s="36"/>
    </row>
    <row r="719" spans="2:11" ht="12.75">
      <c r="B719" s="36"/>
      <c r="C719" s="36"/>
      <c r="D719" s="36"/>
      <c r="E719" s="36"/>
      <c r="F719" s="36"/>
      <c r="G719" s="36"/>
      <c r="H719" s="36"/>
      <c r="I719" s="36"/>
      <c r="J719" s="36"/>
      <c r="K719" s="36"/>
    </row>
    <row r="720" spans="2:11" ht="12.75">
      <c r="B720" s="36"/>
      <c r="C720" s="36"/>
      <c r="D720" s="36"/>
      <c r="E720" s="36"/>
      <c r="F720" s="36"/>
      <c r="G720" s="36"/>
      <c r="H720" s="36"/>
      <c r="I720" s="36"/>
      <c r="J720" s="36"/>
      <c r="K720" s="36"/>
    </row>
    <row r="721" spans="2:11" ht="12.75">
      <c r="B721" s="36"/>
      <c r="C721" s="36"/>
      <c r="D721" s="36"/>
      <c r="E721" s="36"/>
      <c r="F721" s="36"/>
      <c r="G721" s="36"/>
      <c r="H721" s="36"/>
      <c r="I721" s="36"/>
      <c r="J721" s="36"/>
      <c r="K721" s="36"/>
    </row>
    <row r="722" spans="2:11" ht="12.75">
      <c r="B722" s="36"/>
      <c r="C722" s="36"/>
      <c r="D722" s="36"/>
      <c r="E722" s="36"/>
      <c r="F722" s="36"/>
      <c r="G722" s="36"/>
      <c r="H722" s="36"/>
      <c r="I722" s="36"/>
      <c r="J722" s="36"/>
      <c r="K722" s="36"/>
    </row>
    <row r="723" spans="2:11" ht="12.75">
      <c r="B723" s="36"/>
      <c r="C723" s="36"/>
      <c r="D723" s="36"/>
      <c r="E723" s="36"/>
      <c r="F723" s="36"/>
      <c r="G723" s="36"/>
      <c r="H723" s="36"/>
      <c r="I723" s="36"/>
      <c r="J723" s="36"/>
      <c r="K723" s="36"/>
    </row>
    <row r="724" spans="2:11" ht="12.75">
      <c r="B724" s="36"/>
      <c r="C724" s="36"/>
      <c r="D724" s="36"/>
      <c r="E724" s="36"/>
      <c r="F724" s="36"/>
      <c r="G724" s="36"/>
      <c r="H724" s="36"/>
      <c r="I724" s="36"/>
      <c r="J724" s="36"/>
      <c r="K724" s="36"/>
    </row>
    <row r="725" spans="2:11" ht="12.75">
      <c r="B725" s="36"/>
      <c r="C725" s="36"/>
      <c r="D725" s="36"/>
      <c r="E725" s="36"/>
      <c r="F725" s="36"/>
      <c r="G725" s="36"/>
      <c r="H725" s="36"/>
      <c r="I725" s="36"/>
      <c r="J725" s="36"/>
      <c r="K725" s="36"/>
    </row>
    <row r="726" spans="2:11" ht="12.75">
      <c r="B726" s="36"/>
      <c r="C726" s="36"/>
      <c r="D726" s="36"/>
      <c r="E726" s="36"/>
      <c r="F726" s="36"/>
      <c r="G726" s="36"/>
      <c r="H726" s="36"/>
      <c r="I726" s="36"/>
      <c r="J726" s="36"/>
      <c r="K726" s="36"/>
    </row>
    <row r="727" spans="2:11" ht="12.75">
      <c r="B727" s="36"/>
      <c r="C727" s="36"/>
      <c r="D727" s="36"/>
      <c r="E727" s="36"/>
      <c r="F727" s="36"/>
      <c r="G727" s="36"/>
      <c r="H727" s="36"/>
      <c r="I727" s="36"/>
      <c r="J727" s="36"/>
      <c r="K727" s="36"/>
    </row>
    <row r="728" spans="2:11" ht="12.75">
      <c r="B728" s="36"/>
      <c r="C728" s="36"/>
      <c r="D728" s="36"/>
      <c r="E728" s="36"/>
      <c r="F728" s="36"/>
      <c r="G728" s="36"/>
      <c r="H728" s="36"/>
      <c r="I728" s="36"/>
      <c r="J728" s="36"/>
      <c r="K728" s="36"/>
    </row>
    <row r="729" spans="2:11" ht="12.75">
      <c r="B729" s="36"/>
      <c r="C729" s="36"/>
      <c r="D729" s="36"/>
      <c r="E729" s="36"/>
      <c r="F729" s="36"/>
      <c r="G729" s="36"/>
      <c r="H729" s="36"/>
      <c r="I729" s="36"/>
      <c r="J729" s="36"/>
      <c r="K729" s="36"/>
    </row>
    <row r="730" spans="2:11" ht="12.75">
      <c r="B730" s="36"/>
      <c r="C730" s="36"/>
      <c r="D730" s="36"/>
      <c r="E730" s="36"/>
      <c r="F730" s="36"/>
      <c r="G730" s="36"/>
      <c r="H730" s="36"/>
      <c r="I730" s="36"/>
      <c r="J730" s="36"/>
      <c r="K730" s="36"/>
    </row>
    <row r="731" spans="2:11" ht="12.75">
      <c r="B731" s="36"/>
      <c r="C731" s="36"/>
      <c r="D731" s="36"/>
      <c r="E731" s="36"/>
      <c r="F731" s="36"/>
      <c r="G731" s="36"/>
      <c r="H731" s="36"/>
      <c r="I731" s="36"/>
      <c r="J731" s="36"/>
      <c r="K731" s="36"/>
    </row>
    <row r="732" spans="2:11" ht="12.75">
      <c r="B732" s="36"/>
      <c r="C732" s="36"/>
      <c r="D732" s="36"/>
      <c r="E732" s="36"/>
      <c r="F732" s="36"/>
      <c r="G732" s="36"/>
      <c r="H732" s="36"/>
      <c r="I732" s="36"/>
      <c r="J732" s="36"/>
      <c r="K732" s="36"/>
    </row>
    <row r="733" spans="2:11" ht="12.75">
      <c r="B733" s="36"/>
      <c r="C733" s="36"/>
      <c r="D733" s="36"/>
      <c r="E733" s="36"/>
      <c r="F733" s="36"/>
      <c r="G733" s="36"/>
      <c r="H733" s="36"/>
      <c r="I733" s="36"/>
      <c r="J733" s="36"/>
      <c r="K733" s="36"/>
    </row>
    <row r="734" spans="2:11" ht="12.75">
      <c r="B734" s="36"/>
      <c r="C734" s="36"/>
      <c r="D734" s="36"/>
      <c r="E734" s="36"/>
      <c r="F734" s="36"/>
      <c r="G734" s="36"/>
      <c r="H734" s="36"/>
      <c r="I734" s="36"/>
      <c r="J734" s="36"/>
      <c r="K734" s="36"/>
    </row>
    <row r="735" spans="2:11" ht="12.75">
      <c r="B735" s="36"/>
      <c r="C735" s="36"/>
      <c r="D735" s="36"/>
      <c r="E735" s="36"/>
      <c r="F735" s="36"/>
      <c r="G735" s="36"/>
      <c r="H735" s="36"/>
      <c r="I735" s="36"/>
      <c r="J735" s="36"/>
      <c r="K735" s="36"/>
    </row>
    <row r="736" spans="2:11" ht="12.75">
      <c r="B736" s="36"/>
      <c r="C736" s="36"/>
      <c r="D736" s="36"/>
      <c r="E736" s="36"/>
      <c r="F736" s="36"/>
      <c r="G736" s="36"/>
      <c r="H736" s="36"/>
      <c r="I736" s="36"/>
      <c r="J736" s="36"/>
      <c r="K736" s="36"/>
    </row>
    <row r="737" spans="2:11" ht="12.75">
      <c r="B737" s="36"/>
      <c r="C737" s="36"/>
      <c r="D737" s="36"/>
      <c r="E737" s="36"/>
      <c r="F737" s="36"/>
      <c r="G737" s="36"/>
      <c r="H737" s="36"/>
      <c r="I737" s="36"/>
      <c r="J737" s="36"/>
      <c r="K737" s="36"/>
    </row>
    <row r="738" spans="2:11" ht="12.75">
      <c r="B738" s="36"/>
      <c r="C738" s="36"/>
      <c r="D738" s="36"/>
      <c r="E738" s="36"/>
      <c r="F738" s="36"/>
      <c r="G738" s="36"/>
      <c r="H738" s="36"/>
      <c r="I738" s="36"/>
      <c r="J738" s="36"/>
      <c r="K738" s="36"/>
    </row>
    <row r="739" spans="2:11" ht="12.75">
      <c r="B739" s="36"/>
      <c r="C739" s="36"/>
      <c r="D739" s="36"/>
      <c r="E739" s="36"/>
      <c r="F739" s="36"/>
      <c r="G739" s="36"/>
      <c r="H739" s="36"/>
      <c r="I739" s="36"/>
      <c r="J739" s="36"/>
      <c r="K739" s="36"/>
    </row>
    <row r="740" spans="2:11" ht="12.75">
      <c r="B740" s="36"/>
      <c r="C740" s="36"/>
      <c r="D740" s="36"/>
      <c r="E740" s="36"/>
      <c r="F740" s="36"/>
      <c r="G740" s="36"/>
      <c r="H740" s="36"/>
      <c r="I740" s="36"/>
      <c r="J740" s="36"/>
      <c r="K740" s="36"/>
    </row>
    <row r="741" spans="2:11" ht="12.75">
      <c r="B741" s="36"/>
      <c r="C741" s="36"/>
      <c r="D741" s="36"/>
      <c r="E741" s="36"/>
      <c r="F741" s="36"/>
      <c r="G741" s="36"/>
      <c r="H741" s="36"/>
      <c r="I741" s="36"/>
      <c r="J741" s="36"/>
      <c r="K741" s="36"/>
    </row>
    <row r="742" spans="2:11" ht="12.75">
      <c r="B742" s="36"/>
      <c r="C742" s="36"/>
      <c r="D742" s="36"/>
      <c r="E742" s="36"/>
      <c r="F742" s="36"/>
      <c r="G742" s="36"/>
      <c r="H742" s="36"/>
      <c r="I742" s="36"/>
      <c r="J742" s="36"/>
      <c r="K742" s="36"/>
    </row>
    <row r="743" spans="2:11" ht="12.75">
      <c r="B743" s="36"/>
      <c r="C743" s="36"/>
      <c r="D743" s="36"/>
      <c r="E743" s="36"/>
      <c r="F743" s="36"/>
      <c r="G743" s="36"/>
      <c r="H743" s="36"/>
      <c r="I743" s="36"/>
      <c r="J743" s="36"/>
      <c r="K743" s="36"/>
    </row>
    <row r="744" spans="2:11" ht="12.75">
      <c r="B744" s="36"/>
      <c r="C744" s="36"/>
      <c r="D744" s="36"/>
      <c r="E744" s="36"/>
      <c r="F744" s="36"/>
      <c r="G744" s="36"/>
      <c r="H744" s="36"/>
      <c r="I744" s="36"/>
      <c r="J744" s="36"/>
      <c r="K744" s="36"/>
    </row>
    <row r="745" spans="2:11" ht="12.75">
      <c r="B745" s="36"/>
      <c r="C745" s="36"/>
      <c r="D745" s="36"/>
      <c r="E745" s="36"/>
      <c r="F745" s="36"/>
      <c r="G745" s="36"/>
      <c r="H745" s="36"/>
      <c r="I745" s="36"/>
      <c r="J745" s="36"/>
      <c r="K745" s="36"/>
    </row>
    <row r="746" spans="2:11" ht="12.75">
      <c r="B746" s="36"/>
      <c r="C746" s="36"/>
      <c r="D746" s="36"/>
      <c r="E746" s="36"/>
      <c r="F746" s="36"/>
      <c r="G746" s="36"/>
      <c r="H746" s="36"/>
      <c r="I746" s="36"/>
      <c r="J746" s="36"/>
      <c r="K746" s="36"/>
    </row>
    <row r="747" spans="2:11" ht="12.75">
      <c r="B747" s="36"/>
      <c r="C747" s="36"/>
      <c r="D747" s="36"/>
      <c r="E747" s="36"/>
      <c r="F747" s="36"/>
      <c r="G747" s="36"/>
      <c r="H747" s="36"/>
      <c r="I747" s="36"/>
      <c r="J747" s="36"/>
      <c r="K747" s="36"/>
    </row>
    <row r="748" spans="2:11" ht="12.75">
      <c r="B748" s="36"/>
      <c r="C748" s="36"/>
      <c r="D748" s="36"/>
      <c r="E748" s="36"/>
      <c r="F748" s="36"/>
      <c r="G748" s="36"/>
      <c r="H748" s="36"/>
      <c r="I748" s="36"/>
      <c r="J748" s="36"/>
      <c r="K748" s="36"/>
    </row>
    <row r="749" spans="2:11" ht="12.75">
      <c r="B749" s="36"/>
      <c r="C749" s="36"/>
      <c r="D749" s="36"/>
      <c r="E749" s="36"/>
      <c r="F749" s="36"/>
      <c r="G749" s="36"/>
      <c r="H749" s="36"/>
      <c r="I749" s="36"/>
      <c r="J749" s="36"/>
      <c r="K749" s="36"/>
    </row>
    <row r="750" spans="2:11" ht="12.75">
      <c r="B750" s="36"/>
      <c r="C750" s="36"/>
      <c r="D750" s="36"/>
      <c r="E750" s="36"/>
      <c r="F750" s="36"/>
      <c r="G750" s="36"/>
      <c r="H750" s="36"/>
      <c r="I750" s="36"/>
      <c r="J750" s="36"/>
      <c r="K750" s="36"/>
    </row>
    <row r="751" spans="2:11" ht="12.75">
      <c r="B751" s="36"/>
      <c r="C751" s="36"/>
      <c r="D751" s="36"/>
      <c r="E751" s="36"/>
      <c r="F751" s="36"/>
      <c r="G751" s="36"/>
      <c r="H751" s="36"/>
      <c r="I751" s="36"/>
      <c r="J751" s="36"/>
      <c r="K751" s="36"/>
    </row>
    <row r="752" spans="2:11" ht="12.75">
      <c r="B752" s="36"/>
      <c r="C752" s="36"/>
      <c r="D752" s="36"/>
      <c r="E752" s="36"/>
      <c r="F752" s="36"/>
      <c r="G752" s="36"/>
      <c r="H752" s="36"/>
      <c r="I752" s="36"/>
      <c r="J752" s="36"/>
      <c r="K752" s="36"/>
    </row>
    <row r="753" spans="2:11" ht="12.75">
      <c r="B753" s="36"/>
      <c r="C753" s="36"/>
      <c r="D753" s="36"/>
      <c r="E753" s="36"/>
      <c r="F753" s="36"/>
      <c r="G753" s="36"/>
      <c r="H753" s="36"/>
      <c r="I753" s="36"/>
      <c r="J753" s="36"/>
      <c r="K753" s="36"/>
    </row>
    <row r="754" spans="2:11" ht="12.75">
      <c r="B754" s="36"/>
      <c r="C754" s="36"/>
      <c r="D754" s="36"/>
      <c r="E754" s="36"/>
      <c r="F754" s="36"/>
      <c r="G754" s="36"/>
      <c r="H754" s="36"/>
      <c r="I754" s="36"/>
      <c r="J754" s="36"/>
      <c r="K754" s="36"/>
    </row>
    <row r="755" spans="2:11" ht="12.75">
      <c r="B755" s="36"/>
      <c r="C755" s="36"/>
      <c r="D755" s="36"/>
      <c r="E755" s="36"/>
      <c r="F755" s="36"/>
      <c r="G755" s="36"/>
      <c r="H755" s="36"/>
      <c r="I755" s="36"/>
      <c r="J755" s="36"/>
      <c r="K755" s="36"/>
    </row>
    <row r="756" spans="2:11" ht="12.75">
      <c r="B756" s="36"/>
      <c r="C756" s="36"/>
      <c r="D756" s="36"/>
      <c r="E756" s="36"/>
      <c r="F756" s="36"/>
      <c r="G756" s="36"/>
      <c r="H756" s="36"/>
      <c r="I756" s="36"/>
      <c r="J756" s="36"/>
      <c r="K756" s="36"/>
    </row>
    <row r="757" spans="2:11" ht="12.75">
      <c r="B757" s="36"/>
      <c r="C757" s="36"/>
      <c r="D757" s="36"/>
      <c r="E757" s="36"/>
      <c r="F757" s="36"/>
      <c r="G757" s="36"/>
      <c r="H757" s="36"/>
      <c r="I757" s="36"/>
      <c r="J757" s="36"/>
      <c r="K757" s="36"/>
    </row>
    <row r="758" spans="2:11" ht="12.75">
      <c r="B758" s="36"/>
      <c r="C758" s="36"/>
      <c r="D758" s="36"/>
      <c r="E758" s="36"/>
      <c r="F758" s="36"/>
      <c r="G758" s="36"/>
      <c r="H758" s="36"/>
      <c r="I758" s="36"/>
      <c r="J758" s="36"/>
      <c r="K758" s="36"/>
    </row>
    <row r="759" spans="2:11" ht="12.75">
      <c r="B759" s="36"/>
      <c r="C759" s="36"/>
      <c r="D759" s="36"/>
      <c r="E759" s="36"/>
      <c r="F759" s="36"/>
      <c r="G759" s="36"/>
      <c r="H759" s="36"/>
      <c r="I759" s="36"/>
      <c r="J759" s="36"/>
      <c r="K759" s="36"/>
    </row>
    <row r="760" spans="2:11" ht="12.75">
      <c r="B760" s="36"/>
      <c r="C760" s="36"/>
      <c r="D760" s="36"/>
      <c r="E760" s="36"/>
      <c r="F760" s="36"/>
      <c r="G760" s="36"/>
      <c r="H760" s="36"/>
      <c r="I760" s="36"/>
      <c r="J760" s="36"/>
      <c r="K760" s="36"/>
    </row>
    <row r="761" spans="2:11" ht="12.75">
      <c r="B761" s="36"/>
      <c r="C761" s="36"/>
      <c r="D761" s="36"/>
      <c r="E761" s="36"/>
      <c r="F761" s="36"/>
      <c r="G761" s="36"/>
      <c r="H761" s="36"/>
      <c r="I761" s="36"/>
      <c r="J761" s="36"/>
      <c r="K761" s="36"/>
    </row>
    <row r="762" spans="2:11" ht="12.75">
      <c r="B762" s="36"/>
      <c r="C762" s="36"/>
      <c r="D762" s="36"/>
      <c r="E762" s="36"/>
      <c r="F762" s="36"/>
      <c r="G762" s="36"/>
      <c r="H762" s="36"/>
      <c r="I762" s="36"/>
      <c r="J762" s="36"/>
      <c r="K762" s="36"/>
    </row>
    <row r="763" spans="2:11" ht="12.75">
      <c r="B763" s="36"/>
      <c r="C763" s="36"/>
      <c r="D763" s="36"/>
      <c r="E763" s="36"/>
      <c r="F763" s="36"/>
      <c r="G763" s="36"/>
      <c r="H763" s="36"/>
      <c r="I763" s="36"/>
      <c r="J763" s="36"/>
      <c r="K763" s="36"/>
    </row>
    <row r="764" spans="2:11" ht="12.75">
      <c r="B764" s="36"/>
      <c r="C764" s="36"/>
      <c r="D764" s="36"/>
      <c r="E764" s="36"/>
      <c r="F764" s="36"/>
      <c r="G764" s="36"/>
      <c r="H764" s="36"/>
      <c r="I764" s="36"/>
      <c r="J764" s="36"/>
      <c r="K764" s="36"/>
    </row>
    <row r="765" spans="2:11" ht="12.75">
      <c r="B765" s="36"/>
      <c r="C765" s="36"/>
      <c r="D765" s="36"/>
      <c r="E765" s="36"/>
      <c r="F765" s="36"/>
      <c r="G765" s="36"/>
      <c r="H765" s="36"/>
      <c r="I765" s="36"/>
      <c r="J765" s="36"/>
      <c r="K765" s="36"/>
    </row>
    <row r="766" spans="2:11" ht="12.75">
      <c r="B766" s="36"/>
      <c r="C766" s="36"/>
      <c r="D766" s="36"/>
      <c r="E766" s="36"/>
      <c r="F766" s="36"/>
      <c r="G766" s="36"/>
      <c r="H766" s="36"/>
      <c r="I766" s="36"/>
      <c r="J766" s="36"/>
      <c r="K766" s="36"/>
    </row>
    <row r="767" spans="2:11" ht="12.75">
      <c r="B767" s="36"/>
      <c r="C767" s="36"/>
      <c r="D767" s="36"/>
      <c r="E767" s="36"/>
      <c r="F767" s="36"/>
      <c r="G767" s="36"/>
      <c r="H767" s="36"/>
      <c r="I767" s="36"/>
      <c r="J767" s="36"/>
      <c r="K767" s="36"/>
    </row>
    <row r="768" spans="2:11" ht="12.75">
      <c r="B768" s="36"/>
      <c r="C768" s="36"/>
      <c r="D768" s="36"/>
      <c r="E768" s="36"/>
      <c r="F768" s="36"/>
      <c r="G768" s="36"/>
      <c r="H768" s="36"/>
      <c r="I768" s="36"/>
      <c r="J768" s="36"/>
      <c r="K768" s="36"/>
    </row>
    <row r="769" spans="2:11" ht="12.75">
      <c r="B769" s="36"/>
      <c r="C769" s="36"/>
      <c r="D769" s="36"/>
      <c r="E769" s="36"/>
      <c r="F769" s="36"/>
      <c r="G769" s="36"/>
      <c r="H769" s="36"/>
      <c r="I769" s="36"/>
      <c r="J769" s="36"/>
      <c r="K769" s="36"/>
    </row>
    <row r="770" spans="2:11" ht="12.75">
      <c r="B770" s="36"/>
      <c r="C770" s="36"/>
      <c r="D770" s="36"/>
      <c r="E770" s="36"/>
      <c r="F770" s="36"/>
      <c r="G770" s="36"/>
      <c r="H770" s="36"/>
      <c r="I770" s="36"/>
      <c r="J770" s="36"/>
      <c r="K770" s="36"/>
    </row>
    <row r="771" spans="2:11" ht="12.75">
      <c r="B771" s="36"/>
      <c r="C771" s="36"/>
      <c r="D771" s="36"/>
      <c r="E771" s="36"/>
      <c r="F771" s="36"/>
      <c r="G771" s="36"/>
      <c r="H771" s="36"/>
      <c r="I771" s="36"/>
      <c r="J771" s="36"/>
      <c r="K771" s="36"/>
    </row>
    <row r="772" spans="2:11" ht="12.75">
      <c r="B772" s="36"/>
      <c r="C772" s="36"/>
      <c r="D772" s="36"/>
      <c r="E772" s="36"/>
      <c r="F772" s="36"/>
      <c r="G772" s="36"/>
      <c r="H772" s="36"/>
      <c r="I772" s="36"/>
      <c r="J772" s="36"/>
      <c r="K772" s="36"/>
    </row>
    <row r="773" spans="2:11" ht="12.75">
      <c r="B773" s="36"/>
      <c r="C773" s="36"/>
      <c r="D773" s="36"/>
      <c r="E773" s="36"/>
      <c r="F773" s="36"/>
      <c r="G773" s="36"/>
      <c r="H773" s="36"/>
      <c r="I773" s="36"/>
      <c r="J773" s="36"/>
      <c r="K773" s="36"/>
    </row>
    <row r="774" spans="2:11" ht="12.75">
      <c r="B774" s="36"/>
      <c r="C774" s="36"/>
      <c r="D774" s="36"/>
      <c r="E774" s="36"/>
      <c r="F774" s="36"/>
      <c r="G774" s="36"/>
      <c r="H774" s="36"/>
      <c r="I774" s="36"/>
      <c r="J774" s="36"/>
      <c r="K774" s="36"/>
    </row>
    <row r="775" spans="2:11" ht="12.75">
      <c r="B775" s="36"/>
      <c r="C775" s="36"/>
      <c r="D775" s="36"/>
      <c r="E775" s="36"/>
      <c r="F775" s="36"/>
      <c r="G775" s="36"/>
      <c r="H775" s="36"/>
      <c r="I775" s="36"/>
      <c r="J775" s="36"/>
      <c r="K775" s="36"/>
    </row>
    <row r="776" spans="2:11" ht="12.75">
      <c r="B776" s="36"/>
      <c r="C776" s="36"/>
      <c r="D776" s="36"/>
      <c r="E776" s="36"/>
      <c r="F776" s="36"/>
      <c r="G776" s="36"/>
      <c r="H776" s="36"/>
      <c r="I776" s="36"/>
      <c r="J776" s="36"/>
      <c r="K776" s="36"/>
    </row>
    <row r="777" spans="2:11" ht="12.75">
      <c r="B777" s="36"/>
      <c r="C777" s="36"/>
      <c r="D777" s="36"/>
      <c r="E777" s="36"/>
      <c r="F777" s="36"/>
      <c r="G777" s="36"/>
      <c r="H777" s="36"/>
      <c r="I777" s="36"/>
      <c r="J777" s="36"/>
      <c r="K777" s="36"/>
    </row>
    <row r="778" spans="2:11" ht="12.75">
      <c r="B778" s="36"/>
      <c r="C778" s="36"/>
      <c r="D778" s="36"/>
      <c r="E778" s="36"/>
      <c r="F778" s="36"/>
      <c r="G778" s="36"/>
      <c r="H778" s="36"/>
      <c r="I778" s="36"/>
      <c r="J778" s="36"/>
      <c r="K778" s="36"/>
    </row>
    <row r="779" spans="2:11" ht="12.75">
      <c r="B779" s="36"/>
      <c r="C779" s="36"/>
      <c r="D779" s="36"/>
      <c r="E779" s="36"/>
      <c r="F779" s="36"/>
      <c r="G779" s="36"/>
      <c r="H779" s="36"/>
      <c r="I779" s="36"/>
      <c r="J779" s="36"/>
      <c r="K779" s="36"/>
    </row>
    <row r="780" spans="2:11" ht="12.75">
      <c r="B780" s="36"/>
      <c r="C780" s="36"/>
      <c r="D780" s="36"/>
      <c r="E780" s="36"/>
      <c r="F780" s="36"/>
      <c r="G780" s="36"/>
      <c r="H780" s="36"/>
      <c r="I780" s="36"/>
      <c r="J780" s="36"/>
      <c r="K780" s="36"/>
    </row>
    <row r="781" spans="2:11" ht="12.75">
      <c r="B781" s="36"/>
      <c r="C781" s="36"/>
      <c r="D781" s="36"/>
      <c r="E781" s="36"/>
      <c r="F781" s="36"/>
      <c r="G781" s="36"/>
      <c r="H781" s="36"/>
      <c r="I781" s="36"/>
      <c r="J781" s="36"/>
      <c r="K781" s="36"/>
    </row>
    <row r="782" spans="2:11" ht="12.75">
      <c r="B782" s="36"/>
      <c r="C782" s="36"/>
      <c r="D782" s="36"/>
      <c r="E782" s="36"/>
      <c r="F782" s="36"/>
      <c r="G782" s="36"/>
      <c r="H782" s="36"/>
      <c r="I782" s="36"/>
      <c r="J782" s="36"/>
      <c r="K782" s="36"/>
    </row>
    <row r="783" spans="2:11" ht="12.75">
      <c r="B783" s="36"/>
      <c r="C783" s="36"/>
      <c r="D783" s="36"/>
      <c r="E783" s="36"/>
      <c r="F783" s="36"/>
      <c r="G783" s="36"/>
      <c r="H783" s="36"/>
      <c r="I783" s="36"/>
      <c r="J783" s="36"/>
      <c r="K783" s="36"/>
    </row>
    <row r="784" spans="2:11" ht="12.75">
      <c r="B784" s="36"/>
      <c r="C784" s="36"/>
      <c r="D784" s="36"/>
      <c r="E784" s="36"/>
      <c r="F784" s="36"/>
      <c r="G784" s="36"/>
      <c r="H784" s="36"/>
      <c r="I784" s="36"/>
      <c r="J784" s="36"/>
      <c r="K784" s="36"/>
    </row>
    <row r="785" spans="2:11" ht="12.75">
      <c r="B785" s="36"/>
      <c r="C785" s="36"/>
      <c r="D785" s="36"/>
      <c r="E785" s="36"/>
      <c r="F785" s="36"/>
      <c r="G785" s="36"/>
      <c r="H785" s="36"/>
      <c r="I785" s="36"/>
      <c r="J785" s="36"/>
      <c r="K785" s="36"/>
    </row>
    <row r="786" spans="2:11" ht="12.75">
      <c r="B786" s="36"/>
      <c r="C786" s="36"/>
      <c r="D786" s="36"/>
      <c r="E786" s="36"/>
      <c r="F786" s="36"/>
      <c r="G786" s="36"/>
      <c r="H786" s="36"/>
      <c r="I786" s="36"/>
      <c r="J786" s="36"/>
      <c r="K786" s="36"/>
    </row>
    <row r="787" spans="2:11" ht="12.75">
      <c r="B787" s="36"/>
      <c r="C787" s="36"/>
      <c r="D787" s="36"/>
      <c r="E787" s="36"/>
      <c r="F787" s="36"/>
      <c r="G787" s="36"/>
      <c r="H787" s="36"/>
      <c r="I787" s="36"/>
      <c r="J787" s="36"/>
      <c r="K787" s="36"/>
    </row>
    <row r="788" spans="2:11" ht="12.75">
      <c r="B788" s="36"/>
      <c r="C788" s="36"/>
      <c r="D788" s="36"/>
      <c r="E788" s="36"/>
      <c r="F788" s="36"/>
      <c r="G788" s="36"/>
      <c r="H788" s="36"/>
      <c r="I788" s="36"/>
      <c r="J788" s="36"/>
      <c r="K788" s="36"/>
    </row>
    <row r="789" spans="2:11" ht="12.75">
      <c r="B789" s="36"/>
      <c r="C789" s="36"/>
      <c r="D789" s="36"/>
      <c r="E789" s="36"/>
      <c r="F789" s="36"/>
      <c r="G789" s="36"/>
      <c r="H789" s="36"/>
      <c r="I789" s="36"/>
      <c r="J789" s="36"/>
      <c r="K789" s="36"/>
    </row>
    <row r="790" spans="2:11" ht="12.75">
      <c r="B790" s="36"/>
      <c r="C790" s="36"/>
      <c r="D790" s="36"/>
      <c r="E790" s="36"/>
      <c r="F790" s="36"/>
      <c r="G790" s="36"/>
      <c r="H790" s="36"/>
      <c r="I790" s="36"/>
      <c r="J790" s="36"/>
      <c r="K790" s="36"/>
    </row>
    <row r="791" spans="2:11" ht="12.75">
      <c r="B791" s="36"/>
      <c r="C791" s="36"/>
      <c r="D791" s="36"/>
      <c r="E791" s="36"/>
      <c r="F791" s="36"/>
      <c r="G791" s="36"/>
      <c r="H791" s="36"/>
      <c r="I791" s="36"/>
      <c r="J791" s="36"/>
      <c r="K791" s="36"/>
    </row>
    <row r="792" spans="2:11" ht="12.75">
      <c r="B792" s="36"/>
      <c r="C792" s="36"/>
      <c r="D792" s="36"/>
      <c r="E792" s="36"/>
      <c r="F792" s="36"/>
      <c r="G792" s="36"/>
      <c r="H792" s="36"/>
      <c r="I792" s="36"/>
      <c r="J792" s="36"/>
      <c r="K792" s="36"/>
    </row>
    <row r="793" spans="2:11" ht="12.75">
      <c r="B793" s="36"/>
      <c r="C793" s="36"/>
      <c r="D793" s="36"/>
      <c r="E793" s="36"/>
      <c r="F793" s="36"/>
      <c r="G793" s="36"/>
      <c r="H793" s="36"/>
      <c r="I793" s="36"/>
      <c r="J793" s="36"/>
      <c r="K793" s="36"/>
    </row>
    <row r="794" spans="2:11" ht="12.75">
      <c r="B794" s="36"/>
      <c r="C794" s="36"/>
      <c r="D794" s="36"/>
      <c r="E794" s="36"/>
      <c r="F794" s="36"/>
      <c r="G794" s="36"/>
      <c r="H794" s="36"/>
      <c r="I794" s="36"/>
      <c r="J794" s="36"/>
      <c r="K794" s="36"/>
    </row>
    <row r="795" spans="2:11" ht="12.75">
      <c r="B795" s="36"/>
      <c r="C795" s="36"/>
      <c r="D795" s="36"/>
      <c r="E795" s="36"/>
      <c r="F795" s="36"/>
      <c r="G795" s="36"/>
      <c r="H795" s="36"/>
      <c r="I795" s="36"/>
      <c r="J795" s="36"/>
      <c r="K795" s="36"/>
    </row>
    <row r="796" spans="2:11" ht="12.75">
      <c r="B796" s="36"/>
      <c r="C796" s="36"/>
      <c r="D796" s="36"/>
      <c r="E796" s="36"/>
      <c r="F796" s="36"/>
      <c r="G796" s="36"/>
      <c r="H796" s="36"/>
      <c r="I796" s="36"/>
      <c r="J796" s="36"/>
      <c r="K796" s="36"/>
    </row>
    <row r="797" spans="2:11" ht="12.75">
      <c r="B797" s="36"/>
      <c r="C797" s="36"/>
      <c r="D797" s="36"/>
      <c r="E797" s="36"/>
      <c r="F797" s="36"/>
      <c r="G797" s="36"/>
      <c r="H797" s="36"/>
      <c r="I797" s="36"/>
      <c r="J797" s="36"/>
      <c r="K797" s="36"/>
    </row>
    <row r="798" spans="2:11" ht="12.75">
      <c r="B798" s="36"/>
      <c r="C798" s="36"/>
      <c r="D798" s="36"/>
      <c r="E798" s="36"/>
      <c r="F798" s="36"/>
      <c r="G798" s="36"/>
      <c r="H798" s="36"/>
      <c r="I798" s="36"/>
      <c r="J798" s="36"/>
      <c r="K798" s="36"/>
    </row>
    <row r="799" spans="2:11" ht="12.75">
      <c r="B799" s="36"/>
      <c r="C799" s="36"/>
      <c r="D799" s="36"/>
      <c r="E799" s="36"/>
      <c r="F799" s="36"/>
      <c r="G799" s="36"/>
      <c r="H799" s="36"/>
      <c r="I799" s="36"/>
      <c r="J799" s="36"/>
      <c r="K799" s="36"/>
    </row>
    <row r="800" spans="2:11" ht="12.75">
      <c r="B800" s="36"/>
      <c r="C800" s="36"/>
      <c r="D800" s="36"/>
      <c r="E800" s="36"/>
      <c r="F800" s="36"/>
      <c r="G800" s="36"/>
      <c r="H800" s="36"/>
      <c r="I800" s="36"/>
      <c r="J800" s="36"/>
      <c r="K800" s="36"/>
    </row>
    <row r="801" spans="2:11" ht="12.75">
      <c r="B801" s="36"/>
      <c r="C801" s="36"/>
      <c r="D801" s="36"/>
      <c r="E801" s="36"/>
      <c r="F801" s="36"/>
      <c r="G801" s="36"/>
      <c r="H801" s="36"/>
      <c r="I801" s="36"/>
      <c r="J801" s="36"/>
      <c r="K801" s="36"/>
    </row>
    <row r="802" spans="2:11" ht="12.75">
      <c r="B802" s="36"/>
      <c r="C802" s="36"/>
      <c r="D802" s="36"/>
      <c r="E802" s="36"/>
      <c r="F802" s="36"/>
      <c r="G802" s="36"/>
      <c r="H802" s="36"/>
      <c r="I802" s="36"/>
      <c r="J802" s="36"/>
      <c r="K802" s="36"/>
    </row>
    <row r="803" spans="2:11" ht="12.75">
      <c r="B803" s="36"/>
      <c r="C803" s="36"/>
      <c r="D803" s="36"/>
      <c r="E803" s="36"/>
      <c r="F803" s="36"/>
      <c r="G803" s="36"/>
      <c r="H803" s="36"/>
      <c r="I803" s="36"/>
      <c r="J803" s="36"/>
      <c r="K803" s="36"/>
    </row>
    <row r="804" spans="2:11" ht="12.75">
      <c r="B804" s="36"/>
      <c r="C804" s="36"/>
      <c r="D804" s="36"/>
      <c r="E804" s="36"/>
      <c r="F804" s="36"/>
      <c r="G804" s="36"/>
      <c r="H804" s="36"/>
      <c r="I804" s="36"/>
      <c r="J804" s="36"/>
      <c r="K804" s="36"/>
    </row>
    <row r="805" spans="2:11" ht="12.75">
      <c r="B805" s="36"/>
      <c r="C805" s="36"/>
      <c r="D805" s="36"/>
      <c r="E805" s="36"/>
      <c r="F805" s="36"/>
      <c r="G805" s="36"/>
      <c r="H805" s="36"/>
      <c r="I805" s="36"/>
      <c r="J805" s="36"/>
      <c r="K805" s="36"/>
    </row>
    <row r="806" spans="2:11" ht="12.75">
      <c r="B806" s="36"/>
      <c r="C806" s="36"/>
      <c r="D806" s="36"/>
      <c r="E806" s="36"/>
      <c r="F806" s="36"/>
      <c r="G806" s="36"/>
      <c r="H806" s="36"/>
      <c r="I806" s="36"/>
      <c r="J806" s="36"/>
      <c r="K806" s="36"/>
    </row>
    <row r="807" spans="2:11" ht="12.75">
      <c r="B807" s="36"/>
      <c r="C807" s="36"/>
      <c r="D807" s="36"/>
      <c r="E807" s="36"/>
      <c r="F807" s="36"/>
      <c r="G807" s="36"/>
      <c r="H807" s="36"/>
      <c r="I807" s="36"/>
      <c r="J807" s="36"/>
      <c r="K807" s="36"/>
    </row>
    <row r="808" spans="2:11" ht="12.75">
      <c r="B808" s="36"/>
      <c r="C808" s="36"/>
      <c r="D808" s="36"/>
      <c r="E808" s="36"/>
      <c r="F808" s="36"/>
      <c r="G808" s="36"/>
      <c r="H808" s="36"/>
      <c r="I808" s="36"/>
      <c r="J808" s="36"/>
      <c r="K808" s="36"/>
    </row>
    <row r="809" spans="2:11" ht="12.75">
      <c r="B809" s="36"/>
      <c r="C809" s="36"/>
      <c r="D809" s="36"/>
      <c r="E809" s="36"/>
      <c r="F809" s="36"/>
      <c r="G809" s="36"/>
      <c r="H809" s="36"/>
      <c r="I809" s="36"/>
      <c r="J809" s="36"/>
      <c r="K809" s="36"/>
    </row>
    <row r="810" spans="2:11" ht="12.75">
      <c r="B810" s="36"/>
      <c r="C810" s="36"/>
      <c r="D810" s="36"/>
      <c r="E810" s="36"/>
      <c r="F810" s="36"/>
      <c r="G810" s="36"/>
      <c r="H810" s="36"/>
      <c r="I810" s="36"/>
      <c r="J810" s="36"/>
      <c r="K810" s="36"/>
    </row>
    <row r="811" spans="2:11" ht="12.75">
      <c r="B811" s="36"/>
      <c r="C811" s="36"/>
      <c r="D811" s="36"/>
      <c r="E811" s="36"/>
      <c r="F811" s="36"/>
      <c r="G811" s="36"/>
      <c r="H811" s="36"/>
      <c r="I811" s="36"/>
      <c r="J811" s="36"/>
      <c r="K811" s="36"/>
    </row>
    <row r="812" spans="2:11" ht="12.75">
      <c r="B812" s="36"/>
      <c r="C812" s="36"/>
      <c r="D812" s="36"/>
      <c r="E812" s="36"/>
      <c r="F812" s="36"/>
      <c r="G812" s="36"/>
      <c r="H812" s="36"/>
      <c r="I812" s="36"/>
      <c r="J812" s="36"/>
      <c r="K812" s="36"/>
    </row>
    <row r="813" spans="2:11" ht="12.75">
      <c r="B813" s="36"/>
      <c r="C813" s="36"/>
      <c r="D813" s="36"/>
      <c r="E813" s="36"/>
      <c r="F813" s="36"/>
      <c r="G813" s="36"/>
      <c r="H813" s="36"/>
      <c r="I813" s="36"/>
      <c r="J813" s="36"/>
      <c r="K813" s="36"/>
    </row>
    <row r="814" spans="2:11" ht="12.75">
      <c r="B814" s="36"/>
      <c r="C814" s="36"/>
      <c r="D814" s="36"/>
      <c r="E814" s="36"/>
      <c r="F814" s="36"/>
      <c r="G814" s="36"/>
      <c r="H814" s="36"/>
      <c r="I814" s="36"/>
      <c r="J814" s="36"/>
      <c r="K814" s="36"/>
    </row>
    <row r="815" spans="2:11" ht="12.75">
      <c r="B815" s="36"/>
      <c r="C815" s="36"/>
      <c r="D815" s="36"/>
      <c r="E815" s="36"/>
      <c r="F815" s="36"/>
      <c r="G815" s="36"/>
      <c r="H815" s="36"/>
      <c r="I815" s="36"/>
      <c r="J815" s="36"/>
      <c r="K815" s="36"/>
    </row>
    <row r="816" spans="2:11" ht="12.75">
      <c r="B816" s="36"/>
      <c r="C816" s="36"/>
      <c r="D816" s="36"/>
      <c r="E816" s="36"/>
      <c r="F816" s="36"/>
      <c r="G816" s="36"/>
      <c r="H816" s="36"/>
      <c r="I816" s="36"/>
      <c r="J816" s="36"/>
      <c r="K816" s="36"/>
    </row>
    <row r="817" spans="2:11" ht="12.75">
      <c r="B817" s="36"/>
      <c r="C817" s="36"/>
      <c r="D817" s="36"/>
      <c r="E817" s="36"/>
      <c r="F817" s="36"/>
      <c r="G817" s="36"/>
      <c r="H817" s="36"/>
      <c r="I817" s="36"/>
      <c r="J817" s="36"/>
      <c r="K817" s="36"/>
    </row>
    <row r="818" spans="2:11" ht="12.75">
      <c r="B818" s="36"/>
      <c r="C818" s="36"/>
      <c r="D818" s="36"/>
      <c r="E818" s="36"/>
      <c r="F818" s="36"/>
      <c r="G818" s="36"/>
      <c r="H818" s="36"/>
      <c r="I818" s="36"/>
      <c r="J818" s="36"/>
      <c r="K818" s="36"/>
    </row>
    <row r="819" spans="2:11" ht="12.75">
      <c r="B819" s="36"/>
      <c r="C819" s="36"/>
      <c r="D819" s="36"/>
      <c r="E819" s="36"/>
      <c r="F819" s="36"/>
      <c r="G819" s="36"/>
      <c r="H819" s="36"/>
      <c r="I819" s="36"/>
      <c r="J819" s="36"/>
      <c r="K819" s="36"/>
    </row>
    <row r="820" spans="2:11" ht="12.75">
      <c r="B820" s="36"/>
      <c r="C820" s="36"/>
      <c r="D820" s="36"/>
      <c r="E820" s="36"/>
      <c r="F820" s="36"/>
      <c r="G820" s="36"/>
      <c r="H820" s="36"/>
      <c r="I820" s="36"/>
      <c r="J820" s="36"/>
      <c r="K820" s="36"/>
    </row>
    <row r="821" spans="2:11" ht="12.75">
      <c r="B821" s="36"/>
      <c r="C821" s="36"/>
      <c r="D821" s="36"/>
      <c r="E821" s="36"/>
      <c r="F821" s="36"/>
      <c r="G821" s="36"/>
      <c r="H821" s="36"/>
      <c r="I821" s="36"/>
      <c r="J821" s="36"/>
      <c r="K821" s="36"/>
    </row>
    <row r="822" spans="2:11" ht="12.75">
      <c r="B822" s="36"/>
      <c r="C822" s="36"/>
      <c r="D822" s="36"/>
      <c r="E822" s="36"/>
      <c r="F822" s="36"/>
      <c r="G822" s="36"/>
      <c r="H822" s="36"/>
      <c r="I822" s="36"/>
      <c r="J822" s="36"/>
      <c r="K822" s="36"/>
    </row>
    <row r="823" spans="2:11" ht="12.75">
      <c r="B823" s="36"/>
      <c r="C823" s="36"/>
      <c r="D823" s="36"/>
      <c r="E823" s="36"/>
      <c r="F823" s="36"/>
      <c r="G823" s="36"/>
      <c r="H823" s="36"/>
      <c r="I823" s="36"/>
      <c r="J823" s="36"/>
      <c r="K823" s="36"/>
    </row>
    <row r="824" ht="12.75">
      <c r="J824" s="36"/>
    </row>
    <row r="825" ht="12.75">
      <c r="J825" s="36"/>
    </row>
    <row r="826" ht="12.75">
      <c r="J826" s="36"/>
    </row>
    <row r="827" ht="12.75">
      <c r="J827" s="36"/>
    </row>
    <row r="828" ht="12.75">
      <c r="J828" s="36"/>
    </row>
    <row r="829" ht="12.75">
      <c r="J829" s="36"/>
    </row>
    <row r="830" ht="12.75">
      <c r="J830" s="36"/>
    </row>
    <row r="831" ht="12.75">
      <c r="J831" s="36"/>
    </row>
    <row r="832" ht="12.75">
      <c r="J832" s="36"/>
    </row>
    <row r="833" ht="12.75">
      <c r="J833" s="36"/>
    </row>
    <row r="834" ht="12.75">
      <c r="J834" s="36"/>
    </row>
    <row r="835" ht="12.75">
      <c r="J835" s="36"/>
    </row>
    <row r="836" ht="12.75">
      <c r="J836" s="36"/>
    </row>
    <row r="837" ht="12.75">
      <c r="J837" s="36"/>
    </row>
    <row r="838" ht="12.75">
      <c r="J838" s="36"/>
    </row>
    <row r="839" ht="12.75">
      <c r="J839" s="36"/>
    </row>
    <row r="840" ht="12.75">
      <c r="J840" s="36"/>
    </row>
    <row r="841" ht="12.75">
      <c r="J841" s="36"/>
    </row>
    <row r="842" ht="12.75">
      <c r="J842" s="36"/>
    </row>
    <row r="843" ht="12.75">
      <c r="J843" s="36"/>
    </row>
    <row r="844" ht="12.75">
      <c r="J844" s="36"/>
    </row>
    <row r="845" ht="12.75">
      <c r="J845" s="36"/>
    </row>
    <row r="846" ht="12.75">
      <c r="J846" s="36"/>
    </row>
    <row r="847" ht="12.75">
      <c r="J847" s="36"/>
    </row>
    <row r="848" ht="12.75">
      <c r="J848" s="36"/>
    </row>
    <row r="849" ht="12.75">
      <c r="J849" s="36"/>
    </row>
    <row r="850" ht="12.75">
      <c r="J850" s="36"/>
    </row>
    <row r="851" ht="12.75">
      <c r="J851" s="36"/>
    </row>
    <row r="852" ht="12.75">
      <c r="J852" s="36"/>
    </row>
    <row r="853" ht="12.75">
      <c r="J853" s="36"/>
    </row>
    <row r="854" ht="12.75">
      <c r="J854" s="36"/>
    </row>
    <row r="855" ht="12.75">
      <c r="J855" s="36"/>
    </row>
    <row r="856" ht="12.75">
      <c r="J856" s="36"/>
    </row>
    <row r="857" ht="12.75">
      <c r="J857" s="36"/>
    </row>
    <row r="858" ht="12.75">
      <c r="J858" s="36"/>
    </row>
    <row r="859" ht="12.75">
      <c r="J859" s="36"/>
    </row>
    <row r="860" ht="12.75">
      <c r="J860" s="36"/>
    </row>
    <row r="861" ht="12.75">
      <c r="J861" s="36"/>
    </row>
    <row r="862" ht="12.75">
      <c r="J862" s="36"/>
    </row>
    <row r="863" ht="12.75">
      <c r="J863" s="36"/>
    </row>
    <row r="864" ht="12.75">
      <c r="J864" s="36"/>
    </row>
    <row r="865" ht="12.75">
      <c r="J865" s="36"/>
    </row>
    <row r="866" ht="12.75">
      <c r="J866" s="36"/>
    </row>
    <row r="867" ht="12.75">
      <c r="J867" s="36"/>
    </row>
    <row r="868" ht="12.75">
      <c r="J868" s="36"/>
    </row>
    <row r="869" ht="12.75">
      <c r="J869" s="36"/>
    </row>
    <row r="870" ht="12.75">
      <c r="J870" s="36"/>
    </row>
    <row r="871" ht="12.75">
      <c r="J871" s="36"/>
    </row>
    <row r="872" ht="12.75">
      <c r="J872" s="36"/>
    </row>
    <row r="873" ht="12.75">
      <c r="J873" s="36"/>
    </row>
    <row r="874" ht="12.75">
      <c r="J874" s="36"/>
    </row>
    <row r="875" ht="12.75">
      <c r="J875" s="36"/>
    </row>
    <row r="876" ht="12.75">
      <c r="J876" s="36"/>
    </row>
    <row r="877" ht="12.75">
      <c r="J877" s="36"/>
    </row>
    <row r="878" ht="12.75">
      <c r="J878" s="36"/>
    </row>
    <row r="879" ht="12.75">
      <c r="J879" s="36"/>
    </row>
    <row r="880" ht="12.75">
      <c r="J880" s="36"/>
    </row>
    <row r="881" ht="12.75">
      <c r="J881" s="36"/>
    </row>
    <row r="882" ht="12.75">
      <c r="J882" s="36"/>
    </row>
    <row r="883" ht="12.75">
      <c r="J883" s="36"/>
    </row>
    <row r="884" ht="12.75">
      <c r="J884" s="36"/>
    </row>
    <row r="885" ht="12.75">
      <c r="J885" s="36"/>
    </row>
  </sheetData>
  <sheetProtection sheet="1" objects="1" scenarios="1" formatCells="0" formatColumns="0" formatRows="0"/>
  <mergeCells count="31">
    <mergeCell ref="B17:G17"/>
    <mergeCell ref="AU65:AU68"/>
    <mergeCell ref="AU136:AU139"/>
    <mergeCell ref="AI65:AM65"/>
    <mergeCell ref="AI136:AM136"/>
    <mergeCell ref="AN66:AT66"/>
    <mergeCell ref="AN68:AT68"/>
    <mergeCell ref="AN137:AT137"/>
    <mergeCell ref="AN139:AT139"/>
    <mergeCell ref="B61:C61"/>
    <mergeCell ref="B62:C62"/>
    <mergeCell ref="L103:N103"/>
    <mergeCell ref="B55:C55"/>
    <mergeCell ref="L87:N87"/>
    <mergeCell ref="L94:N94"/>
    <mergeCell ref="L101:N101"/>
    <mergeCell ref="B209:B210"/>
    <mergeCell ref="C126:D126"/>
    <mergeCell ref="C127:D127"/>
    <mergeCell ref="C128:D128"/>
    <mergeCell ref="C184:D184"/>
    <mergeCell ref="L229:N229"/>
    <mergeCell ref="L126:N126"/>
    <mergeCell ref="L127:N127"/>
    <mergeCell ref="L128:N128"/>
    <mergeCell ref="L129:N129"/>
    <mergeCell ref="L204:N204"/>
    <mergeCell ref="L216:N216"/>
    <mergeCell ref="L228:N228"/>
    <mergeCell ref="L137:N137"/>
    <mergeCell ref="L168:N168"/>
  </mergeCells>
  <conditionalFormatting sqref="P274:Q287 R276 O238:AD250 P228:AD234 O150:AD223 O143:AD144 O76:AD141 O266:AD270 O252:AD264">
    <cfRule type="cellIs" priority="1" dxfId="0" operator="lessThan" stopIfTrue="1">
      <formula>0</formula>
    </cfRule>
  </conditionalFormatting>
  <printOptions horizontalCentered="1"/>
  <pageMargins left="0.4" right="0.4" top="0.333" bottom="0.333" header="0.36" footer="0.5"/>
  <pageSetup fitToHeight="1" fitToWidth="1" horizontalDpi="360" verticalDpi="36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B163"/>
  <sheetViews>
    <sheetView showGridLines="0" zoomScale="90" zoomScaleNormal="90" workbookViewId="0" topLeftCell="A1">
      <selection activeCell="B15" sqref="B15"/>
    </sheetView>
  </sheetViews>
  <sheetFormatPr defaultColWidth="9.140625" defaultRowHeight="12.75"/>
  <cols>
    <col min="2" max="2" width="5.00390625" style="0" customWidth="1"/>
    <col min="3" max="3" width="19.28125" style="0" customWidth="1"/>
    <col min="9" max="9" width="11.140625" style="0" customWidth="1"/>
    <col min="10" max="10" width="14.00390625" style="0" customWidth="1"/>
    <col min="11" max="11" width="10.140625" style="0" customWidth="1"/>
    <col min="12" max="26" width="9.7109375" style="0" customWidth="1"/>
    <col min="30" max="31" width="11.140625" style="0" customWidth="1"/>
  </cols>
  <sheetData>
    <row r="1" spans="1:28" ht="12.7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row>
    <row r="2" spans="1:28" ht="12.7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row>
    <row r="3" spans="1:28" ht="12.7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ht="12.7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row>
    <row r="5" spans="1:28" ht="12.75">
      <c r="A5" s="36"/>
      <c r="B5" s="36"/>
      <c r="C5" s="331" t="str">
        <f>CowCalf!L8</f>
        <v>Optimal herd size for this operation</v>
      </c>
      <c r="D5" s="36"/>
      <c r="E5" s="36"/>
      <c r="F5" s="36"/>
      <c r="G5" s="36"/>
      <c r="H5" s="36"/>
      <c r="I5" s="36"/>
      <c r="J5" s="463">
        <f>CowCalf!M8</f>
        <v>300</v>
      </c>
      <c r="K5" s="36"/>
      <c r="L5" s="36"/>
      <c r="M5" s="36"/>
      <c r="N5" s="36"/>
      <c r="O5" s="36"/>
      <c r="P5" s="36"/>
      <c r="Q5" s="36"/>
      <c r="R5" s="36"/>
      <c r="S5" s="36"/>
      <c r="T5" s="36"/>
      <c r="U5" s="36"/>
      <c r="V5" s="36"/>
      <c r="W5" s="36"/>
      <c r="X5" s="36"/>
      <c r="Y5" s="36"/>
      <c r="Z5" s="36"/>
      <c r="AA5" s="36"/>
      <c r="AB5" s="36"/>
    </row>
    <row r="6" spans="1:28" ht="12.75">
      <c r="A6" s="36"/>
      <c r="B6" s="36"/>
      <c r="C6" s="331" t="str">
        <f>CowCalf!L9</f>
        <v>Cost per ton to swath, bale and stack hay put up on the operation</v>
      </c>
      <c r="D6" s="36"/>
      <c r="E6" s="36"/>
      <c r="F6" s="36"/>
      <c r="G6" s="36"/>
      <c r="H6" s="36"/>
      <c r="I6" s="36"/>
      <c r="J6" s="464">
        <f>CowCalf!M9</f>
        <v>45</v>
      </c>
      <c r="K6" s="36"/>
      <c r="L6" s="36"/>
      <c r="M6" s="36"/>
      <c r="N6" s="36"/>
      <c r="O6" s="36"/>
      <c r="P6" s="36"/>
      <c r="Q6" s="36"/>
      <c r="R6" s="36"/>
      <c r="S6" s="36"/>
      <c r="T6" s="36"/>
      <c r="U6" s="36"/>
      <c r="V6" s="36"/>
      <c r="W6" s="36"/>
      <c r="X6" s="36"/>
      <c r="Y6" s="36"/>
      <c r="Z6" s="36"/>
      <c r="AA6" s="36"/>
      <c r="AB6" s="36"/>
    </row>
    <row r="7" spans="1:28" ht="12.75">
      <c r="A7" s="36"/>
      <c r="B7" s="36"/>
      <c r="C7" s="331" t="str">
        <f>CowCalf!L10</f>
        <v>Percent of Hay Production Sold if Herd Reduced and Operation Leased</v>
      </c>
      <c r="D7" s="36"/>
      <c r="E7" s="36"/>
      <c r="F7" s="36"/>
      <c r="G7" s="36"/>
      <c r="H7" s="36"/>
      <c r="I7" s="36"/>
      <c r="J7" s="465">
        <f>CowCalf!M10</f>
        <v>0</v>
      </c>
      <c r="K7" s="36"/>
      <c r="L7" s="36"/>
      <c r="M7" s="36"/>
      <c r="N7" s="36"/>
      <c r="O7" s="36"/>
      <c r="P7" s="36"/>
      <c r="Q7" s="36"/>
      <c r="R7" s="36"/>
      <c r="S7" s="36"/>
      <c r="T7" s="36"/>
      <c r="U7" s="36"/>
      <c r="V7" s="36"/>
      <c r="W7" s="36"/>
      <c r="X7" s="36"/>
      <c r="Y7" s="36"/>
      <c r="Z7" s="36"/>
      <c r="AA7" s="36"/>
      <c r="AB7" s="36"/>
    </row>
    <row r="8" spans="1:28" ht="12.75">
      <c r="A8" s="36"/>
      <c r="B8" s="36"/>
      <c r="C8" s="331" t="str">
        <f>CowCalf!L11</f>
        <v>Dollars per AUM of leased grazing</v>
      </c>
      <c r="D8" s="36"/>
      <c r="E8" s="36"/>
      <c r="F8" s="36"/>
      <c r="G8" s="36"/>
      <c r="H8" s="36"/>
      <c r="I8" s="36"/>
      <c r="J8" s="466">
        <f>CowCalf!M11</f>
        <v>15</v>
      </c>
      <c r="K8" s="36"/>
      <c r="L8" s="36"/>
      <c r="M8" s="36"/>
      <c r="N8" s="36"/>
      <c r="O8" s="36"/>
      <c r="P8" s="36"/>
      <c r="Q8" s="36"/>
      <c r="R8" s="36"/>
      <c r="S8" s="36"/>
      <c r="T8" s="36"/>
      <c r="U8" s="36"/>
      <c r="V8" s="36"/>
      <c r="W8" s="36"/>
      <c r="X8" s="36"/>
      <c r="Y8" s="36"/>
      <c r="Z8" s="36"/>
      <c r="AA8" s="36"/>
      <c r="AB8" s="36"/>
    </row>
    <row r="9" spans="1:28" ht="12.75">
      <c r="A9" s="36"/>
      <c r="B9" s="36"/>
      <c r="C9" s="331" t="str">
        <f>CowCalf!L12</f>
        <v>Percent of AUMs used in the current operation leased</v>
      </c>
      <c r="D9" s="36"/>
      <c r="E9" s="36"/>
      <c r="F9" s="36"/>
      <c r="G9" s="36"/>
      <c r="H9" s="36"/>
      <c r="I9" s="36"/>
      <c r="J9" s="465">
        <f>CowCalf!M12</f>
        <v>0</v>
      </c>
      <c r="K9" s="36"/>
      <c r="L9" s="36"/>
      <c r="M9" s="36"/>
      <c r="N9" s="36"/>
      <c r="O9" s="36"/>
      <c r="P9" s="36"/>
      <c r="Q9" s="36"/>
      <c r="R9" s="36"/>
      <c r="S9" s="36"/>
      <c r="T9" s="36"/>
      <c r="U9" s="36"/>
      <c r="V9" s="36"/>
      <c r="W9" s="36"/>
      <c r="X9" s="36"/>
      <c r="Y9" s="36"/>
      <c r="Z9" s="36"/>
      <c r="AA9" s="36"/>
      <c r="AB9" s="36"/>
    </row>
    <row r="10" spans="1:28" ht="12.75">
      <c r="A10" s="36"/>
      <c r="B10" s="36"/>
      <c r="C10" s="331" t="str">
        <f>CowCalf!L13</f>
        <v>Income generated from alternative activities if some or all of the livestock are sold</v>
      </c>
      <c r="D10" s="36"/>
      <c r="E10" s="36"/>
      <c r="F10" s="36"/>
      <c r="G10" s="36"/>
      <c r="H10" s="36"/>
      <c r="I10" s="36"/>
      <c r="J10" s="467">
        <f>CowCalf!M13</f>
        <v>0</v>
      </c>
      <c r="K10" s="36"/>
      <c r="L10" s="36"/>
      <c r="M10" s="36"/>
      <c r="N10" s="36"/>
      <c r="O10" s="36"/>
      <c r="P10" s="36"/>
      <c r="Q10" s="36"/>
      <c r="R10" s="36"/>
      <c r="S10" s="36"/>
      <c r="T10" s="36"/>
      <c r="U10" s="36"/>
      <c r="V10" s="36"/>
      <c r="W10" s="36"/>
      <c r="X10" s="36"/>
      <c r="Y10" s="36"/>
      <c r="Z10" s="36"/>
      <c r="AA10" s="36"/>
      <c r="AB10" s="36"/>
    </row>
    <row r="11" spans="1:28" ht="12.75">
      <c r="A11" s="36"/>
      <c r="B11" s="36"/>
      <c r="C11" s="331" t="str">
        <f>CowCalf!L14</f>
        <v>Discount Rate Used to adjust to Net Present Value (NPV)</v>
      </c>
      <c r="D11" s="36"/>
      <c r="E11" s="36"/>
      <c r="F11" s="36"/>
      <c r="G11" s="36"/>
      <c r="H11" s="36"/>
      <c r="I11" s="36"/>
      <c r="J11" s="468">
        <f>CowCalf!M14</f>
        <v>0.05</v>
      </c>
      <c r="K11" s="36"/>
      <c r="L11" s="36"/>
      <c r="M11" s="36"/>
      <c r="N11" s="36"/>
      <c r="O11" s="36"/>
      <c r="P11" s="36"/>
      <c r="Q11" s="36"/>
      <c r="R11" s="36"/>
      <c r="S11" s="36"/>
      <c r="T11" s="36"/>
      <c r="U11" s="36"/>
      <c r="V11" s="36"/>
      <c r="W11" s="36"/>
      <c r="X11" s="36"/>
      <c r="Y11" s="36"/>
      <c r="Z11" s="36"/>
      <c r="AA11" s="36"/>
      <c r="AB11" s="36"/>
    </row>
    <row r="12" spans="1:28" ht="12.75">
      <c r="A12" s="36"/>
      <c r="B12" s="36"/>
      <c r="C12" s="331" t="str">
        <f>CowCalf!L15</f>
        <v>Your combined State and Federal Marginal Tax Rate</v>
      </c>
      <c r="D12" s="36"/>
      <c r="E12" s="36"/>
      <c r="F12" s="36"/>
      <c r="G12" s="36"/>
      <c r="H12" s="36"/>
      <c r="I12" s="36"/>
      <c r="J12" s="469">
        <f>CowCalf!M15</f>
        <v>0</v>
      </c>
      <c r="K12" s="36"/>
      <c r="L12" s="36"/>
      <c r="M12" s="36"/>
      <c r="N12" s="36"/>
      <c r="O12" s="36"/>
      <c r="P12" s="36"/>
      <c r="Q12" s="36"/>
      <c r="R12" s="36"/>
      <c r="S12" s="36"/>
      <c r="T12" s="36"/>
      <c r="U12" s="36"/>
      <c r="V12" s="36"/>
      <c r="W12" s="36"/>
      <c r="X12" s="36"/>
      <c r="Y12" s="36"/>
      <c r="Z12" s="36"/>
      <c r="AA12" s="36"/>
      <c r="AB12" s="36"/>
    </row>
    <row r="13" spans="1:28" ht="12.75">
      <c r="A13" s="36"/>
      <c r="B13" s="36"/>
      <c r="C13" s="331" t="str">
        <f>CowCalf!L16</f>
        <v>Tax Adjusted Discount Factor</v>
      </c>
      <c r="D13" s="36"/>
      <c r="E13" s="36"/>
      <c r="F13" s="36"/>
      <c r="G13" s="36"/>
      <c r="H13" s="36"/>
      <c r="I13" s="36"/>
      <c r="J13" s="347">
        <f>CowCalf!M16</f>
        <v>0.05</v>
      </c>
      <c r="K13" s="36"/>
      <c r="L13" s="36"/>
      <c r="M13" s="36"/>
      <c r="N13" s="36"/>
      <c r="O13" s="36"/>
      <c r="P13" s="36"/>
      <c r="Q13" s="36"/>
      <c r="R13" s="36"/>
      <c r="S13" s="36"/>
      <c r="T13" s="36"/>
      <c r="U13" s="36"/>
      <c r="V13" s="36"/>
      <c r="W13" s="36"/>
      <c r="X13" s="36"/>
      <c r="Y13" s="36"/>
      <c r="Z13" s="36"/>
      <c r="AA13" s="36"/>
      <c r="AB13" s="36"/>
    </row>
    <row r="14" spans="1:28" ht="12.75">
      <c r="A14" s="36"/>
      <c r="B14" s="36"/>
      <c r="C14" s="331" t="str">
        <f>CowCalf!L17</f>
        <v>Base Year</v>
      </c>
      <c r="D14" s="36"/>
      <c r="E14" s="36"/>
      <c r="F14" s="36"/>
      <c r="G14" s="36"/>
      <c r="H14" s="36"/>
      <c r="I14" s="36"/>
      <c r="J14" s="470">
        <f>CowCalf!M17</f>
        <v>2005</v>
      </c>
      <c r="K14" s="36"/>
      <c r="L14" s="36"/>
      <c r="M14" s="36"/>
      <c r="N14" s="36"/>
      <c r="O14" s="36"/>
      <c r="P14" s="36"/>
      <c r="Q14" s="36"/>
      <c r="R14" s="36"/>
      <c r="S14" s="36"/>
      <c r="T14" s="36"/>
      <c r="U14" s="36"/>
      <c r="V14" s="36"/>
      <c r="W14" s="36"/>
      <c r="X14" s="36"/>
      <c r="Y14" s="36"/>
      <c r="Z14" s="36"/>
      <c r="AA14" s="36"/>
      <c r="AB14" s="36"/>
    </row>
    <row r="15" spans="1:28" ht="12.7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1:28" ht="12.75">
      <c r="A16" s="36"/>
      <c r="B16" s="36"/>
      <c r="C16" s="36"/>
      <c r="D16" s="36"/>
      <c r="E16" s="36"/>
      <c r="F16" s="36"/>
      <c r="G16" s="36"/>
      <c r="H16" s="36"/>
      <c r="I16" s="39"/>
      <c r="J16" s="60">
        <f>CowCalf!O19</f>
        <v>2005</v>
      </c>
      <c r="K16" s="60">
        <f>CowCalf!P19</f>
        <v>2006</v>
      </c>
      <c r="L16" s="60">
        <f>CowCalf!Q19</f>
        <v>2007</v>
      </c>
      <c r="M16" s="60">
        <f>CowCalf!R19</f>
        <v>2008</v>
      </c>
      <c r="N16" s="60">
        <f>CowCalf!S19</f>
        <v>2009</v>
      </c>
      <c r="O16" s="60">
        <f>CowCalf!T19</f>
        <v>2010</v>
      </c>
      <c r="P16" s="60">
        <f>CowCalf!U19</f>
        <v>2011</v>
      </c>
      <c r="Q16" s="60">
        <f>CowCalf!V19</f>
        <v>2012</v>
      </c>
      <c r="R16" s="60">
        <f>CowCalf!W19</f>
        <v>2013</v>
      </c>
      <c r="S16" s="60">
        <f>CowCalf!X19</f>
        <v>2014</v>
      </c>
      <c r="T16" s="60">
        <f>CowCalf!Y19</f>
        <v>2015</v>
      </c>
      <c r="U16" s="60">
        <f>CowCalf!Z19</f>
        <v>2016</v>
      </c>
      <c r="V16" s="60">
        <f>CowCalf!AA19</f>
        <v>2017</v>
      </c>
      <c r="W16" s="60">
        <f>CowCalf!AB19</f>
        <v>2018</v>
      </c>
      <c r="X16" s="60">
        <f>CowCalf!AC19</f>
        <v>2019</v>
      </c>
      <c r="Y16" s="60">
        <f>CowCalf!AD19</f>
        <v>2020</v>
      </c>
      <c r="Z16" s="36"/>
      <c r="AA16" s="36"/>
      <c r="AB16" s="36"/>
    </row>
    <row r="17" spans="1:28" ht="12.75">
      <c r="A17" s="36"/>
      <c r="B17" s="36"/>
      <c r="C17" s="36"/>
      <c r="D17" s="36"/>
      <c r="E17" s="36"/>
      <c r="F17" s="36"/>
      <c r="G17" s="36"/>
      <c r="H17" s="36"/>
      <c r="I17" s="422" t="str">
        <f>CowCalf!N20</f>
        <v>% Financed</v>
      </c>
      <c r="J17" s="461" t="str">
        <f>CowCalf!O20</f>
        <v>Base Year = Yr 0</v>
      </c>
      <c r="K17" s="62" t="str">
        <f>CowCalf!P20</f>
        <v>Year 1</v>
      </c>
      <c r="L17" s="62" t="str">
        <f>CowCalf!Q20</f>
        <v>Year 2</v>
      </c>
      <c r="M17" s="62" t="str">
        <f>CowCalf!R20</f>
        <v>Year 3</v>
      </c>
      <c r="N17" s="62" t="str">
        <f>CowCalf!S20</f>
        <v>Year 4</v>
      </c>
      <c r="O17" s="62" t="str">
        <f>CowCalf!T20</f>
        <v>Year 5</v>
      </c>
      <c r="P17" s="62" t="str">
        <f>CowCalf!U20</f>
        <v>Year 6</v>
      </c>
      <c r="Q17" s="62" t="str">
        <f>CowCalf!V20</f>
        <v>Year 7</v>
      </c>
      <c r="R17" s="62" t="str">
        <f>CowCalf!W20</f>
        <v>Year 8</v>
      </c>
      <c r="S17" s="62" t="str">
        <f>CowCalf!X20</f>
        <v>Year 9</v>
      </c>
      <c r="T17" s="62" t="str">
        <f>CowCalf!Y20</f>
        <v>Year 10</v>
      </c>
      <c r="U17" s="62" t="str">
        <f>CowCalf!Z20</f>
        <v>Year 11</v>
      </c>
      <c r="V17" s="62" t="str">
        <f>CowCalf!AA20</f>
        <v>Year 12</v>
      </c>
      <c r="W17" s="62" t="str">
        <f>CowCalf!AB20</f>
        <v>Year 13</v>
      </c>
      <c r="X17" s="62" t="str">
        <f>CowCalf!AC20</f>
        <v>Year 14</v>
      </c>
      <c r="Y17" s="62" t="str">
        <f>CowCalf!AD20</f>
        <v>Year 15</v>
      </c>
      <c r="Z17" s="36"/>
      <c r="AA17" s="36"/>
      <c r="AB17" s="36"/>
    </row>
    <row r="18" spans="1:28" ht="12.75">
      <c r="A18" s="36"/>
      <c r="B18" s="36"/>
      <c r="C18" s="36" t="str">
        <f>CowCalf!L21</f>
        <v>Estimated avg. purchase price per head for purchased replacements</v>
      </c>
      <c r="D18" s="36"/>
      <c r="E18" s="36"/>
      <c r="F18" s="36"/>
      <c r="G18" s="36"/>
      <c r="H18" s="471">
        <f>CowCalf!M21</f>
        <v>1200</v>
      </c>
      <c r="I18" s="472">
        <f>CowCalf!N21</f>
        <v>0.8</v>
      </c>
      <c r="J18" s="36"/>
      <c r="K18" s="36"/>
      <c r="L18" s="36"/>
      <c r="M18" s="36"/>
      <c r="N18" s="36"/>
      <c r="O18" s="36"/>
      <c r="P18" s="36"/>
      <c r="Q18" s="36"/>
      <c r="R18" s="36"/>
      <c r="S18" s="36"/>
      <c r="T18" s="36"/>
      <c r="U18" s="36"/>
      <c r="V18" s="36"/>
      <c r="W18" s="36"/>
      <c r="X18" s="36"/>
      <c r="Y18" s="36"/>
      <c r="Z18" s="36"/>
      <c r="AA18" s="36"/>
      <c r="AB18" s="36"/>
    </row>
    <row r="19" spans="1:28" ht="12.75">
      <c r="A19" s="36"/>
      <c r="B19" s="36"/>
      <c r="C19" s="36" t="str">
        <f>CowCalf!L22</f>
        <v>Estimated average purchase price per head for Bulls</v>
      </c>
      <c r="D19" s="36"/>
      <c r="E19" s="36"/>
      <c r="F19" s="36"/>
      <c r="G19" s="36"/>
      <c r="H19" s="371">
        <f>CowCalf!M22</f>
        <v>2500</v>
      </c>
      <c r="I19" s="465">
        <f>CowCalf!N22</f>
        <v>0.75</v>
      </c>
      <c r="J19" s="36"/>
      <c r="K19" s="36"/>
      <c r="L19" s="36"/>
      <c r="M19" s="36"/>
      <c r="N19" s="36"/>
      <c r="O19" s="36"/>
      <c r="P19" s="36"/>
      <c r="Q19" s="36"/>
      <c r="R19" s="36"/>
      <c r="S19" s="36"/>
      <c r="T19" s="36"/>
      <c r="U19" s="36"/>
      <c r="V19" s="36"/>
      <c r="W19" s="36"/>
      <c r="X19" s="36"/>
      <c r="Y19" s="36"/>
      <c r="Z19" s="36"/>
      <c r="AA19" s="36"/>
      <c r="AB19" s="36"/>
    </row>
    <row r="20" spans="1:28" ht="12.75">
      <c r="A20" s="36"/>
      <c r="B20" s="36"/>
      <c r="C20" s="36" t="str">
        <f>CowCalf!L23</f>
        <v>Expected Interest Rate for Short Term Breeding Livestock Loans</v>
      </c>
      <c r="D20" s="36"/>
      <c r="E20" s="36"/>
      <c r="F20" s="36"/>
      <c r="G20" s="36"/>
      <c r="H20" s="473">
        <f>CowCalf!M23</f>
        <v>0.07</v>
      </c>
      <c r="I20" s="39"/>
      <c r="J20" s="36"/>
      <c r="K20" s="36"/>
      <c r="L20" s="36"/>
      <c r="M20" s="36"/>
      <c r="N20" s="36"/>
      <c r="O20" s="36"/>
      <c r="P20" s="36"/>
      <c r="Q20" s="36"/>
      <c r="R20" s="36"/>
      <c r="S20" s="36"/>
      <c r="T20" s="36"/>
      <c r="U20" s="36"/>
      <c r="V20" s="36"/>
      <c r="W20" s="36"/>
      <c r="X20" s="36"/>
      <c r="Y20" s="36"/>
      <c r="Z20" s="36"/>
      <c r="AA20" s="36"/>
      <c r="AB20" s="36"/>
    </row>
    <row r="21" spans="1:28" ht="12.7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row>
    <row r="22" spans="1:28" ht="12.7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row>
    <row r="23" spans="1:28" ht="15.75">
      <c r="A23" s="36"/>
      <c r="B23" s="36"/>
      <c r="C23" s="452" t="str">
        <f>CowCalf!N25</f>
        <v>Inventory-Beginning Breeding Season:Cows &amp; 1st Calf Hfrs</v>
      </c>
      <c r="D23" s="36"/>
      <c r="E23" s="36"/>
      <c r="F23" s="36"/>
      <c r="G23" s="36"/>
      <c r="H23" s="36"/>
      <c r="I23" s="36"/>
      <c r="J23" s="64">
        <f>CowCalf!O25</f>
        <v>200</v>
      </c>
      <c r="K23" s="66">
        <f>CowCalf!P25</f>
        <v>199</v>
      </c>
      <c r="L23" s="66">
        <f>CowCalf!Q25</f>
        <v>200</v>
      </c>
      <c r="M23" s="66">
        <f>CowCalf!R25</f>
        <v>200</v>
      </c>
      <c r="N23" s="66">
        <f>CowCalf!S25</f>
        <v>200</v>
      </c>
      <c r="O23" s="66">
        <f>CowCalf!T25</f>
        <v>200</v>
      </c>
      <c r="P23" s="66">
        <f>CowCalf!U25</f>
        <v>200</v>
      </c>
      <c r="Q23" s="66">
        <f>CowCalf!V25</f>
        <v>200</v>
      </c>
      <c r="R23" s="66">
        <f>CowCalf!W25</f>
        <v>200</v>
      </c>
      <c r="S23" s="66">
        <f>CowCalf!X25</f>
        <v>200</v>
      </c>
      <c r="T23" s="66">
        <f>CowCalf!Y25</f>
        <v>200</v>
      </c>
      <c r="U23" s="66">
        <f>CowCalf!Z25</f>
        <v>200</v>
      </c>
      <c r="V23" s="66">
        <f>CowCalf!AA25</f>
        <v>200</v>
      </c>
      <c r="W23" s="66">
        <f>CowCalf!AB25</f>
        <v>200</v>
      </c>
      <c r="X23" s="66">
        <f>CowCalf!AC25</f>
        <v>200</v>
      </c>
      <c r="Y23" s="66">
        <f>CowCalf!AD25</f>
        <v>200</v>
      </c>
      <c r="Z23" s="36"/>
      <c r="AA23" s="36"/>
      <c r="AB23" s="36"/>
    </row>
    <row r="24" spans="1:28" ht="12.75">
      <c r="A24" s="36"/>
      <c r="B24" s="36"/>
      <c r="C24" s="457" t="str">
        <f>CowCalf!N26</f>
        <v>Number of NonCull Breeding Animals Sold, If Any, Sales Assumed as Bred But Not With Calf</v>
      </c>
      <c r="D24" s="36"/>
      <c r="E24" s="36"/>
      <c r="F24" s="36"/>
      <c r="G24" s="36"/>
      <c r="H24" s="36"/>
      <c r="I24" s="36"/>
      <c r="J24" s="138"/>
      <c r="K24" s="474">
        <f>CowCalf!P26</f>
        <v>0</v>
      </c>
      <c r="L24" s="475">
        <f>CowCalf!Q26</f>
        <v>0</v>
      </c>
      <c r="M24" s="475">
        <f>CowCalf!R26</f>
        <v>0</v>
      </c>
      <c r="N24" s="475">
        <f>CowCalf!S26</f>
        <v>0</v>
      </c>
      <c r="O24" s="475">
        <f>CowCalf!T26</f>
        <v>0</v>
      </c>
      <c r="P24" s="475">
        <f>CowCalf!U26</f>
        <v>0</v>
      </c>
      <c r="Q24" s="475">
        <f>CowCalf!V26</f>
        <v>0</v>
      </c>
      <c r="R24" s="475">
        <f>CowCalf!W26</f>
        <v>0</v>
      </c>
      <c r="S24" s="475">
        <f>CowCalf!X26</f>
        <v>0</v>
      </c>
      <c r="T24" s="475">
        <f>CowCalf!Y26</f>
        <v>0</v>
      </c>
      <c r="U24" s="475">
        <f>CowCalf!Z26</f>
        <v>0</v>
      </c>
      <c r="V24" s="475">
        <f>CowCalf!AA26</f>
        <v>0</v>
      </c>
      <c r="W24" s="475">
        <f>CowCalf!AB26</f>
        <v>0</v>
      </c>
      <c r="X24" s="475">
        <f>CowCalf!AC26</f>
        <v>0</v>
      </c>
      <c r="Y24" s="476">
        <f>CowCalf!AD26</f>
        <v>0</v>
      </c>
      <c r="Z24" s="36"/>
      <c r="AA24" s="36"/>
      <c r="AB24" s="36"/>
    </row>
    <row r="25" spans="1:28" ht="15.75">
      <c r="A25" s="36"/>
      <c r="B25" s="36"/>
      <c r="C25" s="24" t="str">
        <f>CowCalf!N27</f>
        <v>Expected Cull Rate Based on Breeding Stock @ Beginning of Breeding Season</v>
      </c>
      <c r="D25" s="36"/>
      <c r="E25" s="36"/>
      <c r="F25" s="36"/>
      <c r="G25" s="36"/>
      <c r="H25" s="36"/>
      <c r="I25" s="36"/>
      <c r="J25" s="336">
        <f>CowCalf!O27</f>
        <v>0.12600000000000008</v>
      </c>
      <c r="K25" s="477">
        <f>CowCalf!P27</f>
        <v>0.13</v>
      </c>
      <c r="L25" s="478">
        <f>CowCalf!Q27</f>
        <v>0.13</v>
      </c>
      <c r="M25" s="478">
        <f>CowCalf!R27</f>
        <v>0.13</v>
      </c>
      <c r="N25" s="478">
        <f>CowCalf!S27</f>
        <v>0.13</v>
      </c>
      <c r="O25" s="478">
        <f>CowCalf!T27</f>
        <v>0.13</v>
      </c>
      <c r="P25" s="478">
        <f>CowCalf!U27</f>
        <v>0.13</v>
      </c>
      <c r="Q25" s="478">
        <f>CowCalf!V27</f>
        <v>0.13</v>
      </c>
      <c r="R25" s="478">
        <f>CowCalf!W27</f>
        <v>0.13</v>
      </c>
      <c r="S25" s="478">
        <f>CowCalf!X27</f>
        <v>0.13</v>
      </c>
      <c r="T25" s="478">
        <f>CowCalf!Y27</f>
        <v>0.13</v>
      </c>
      <c r="U25" s="478">
        <f>CowCalf!Z27</f>
        <v>0.13</v>
      </c>
      <c r="V25" s="478">
        <f>CowCalf!AA27</f>
        <v>0.13</v>
      </c>
      <c r="W25" s="478">
        <f>CowCalf!AB27</f>
        <v>0.13</v>
      </c>
      <c r="X25" s="478">
        <f>CowCalf!AC27</f>
        <v>0.13</v>
      </c>
      <c r="Y25" s="478">
        <f>CowCalf!AD27</f>
        <v>0.13</v>
      </c>
      <c r="Z25" s="36"/>
      <c r="AA25" s="36"/>
      <c r="AB25" s="36"/>
    </row>
    <row r="26" spans="1:28" ht="15.75">
      <c r="A26" s="36"/>
      <c r="B26" s="36"/>
      <c r="C26" s="24" t="str">
        <f>CowCalf!N28</f>
        <v>Replacement Heifers Needed At Expected Cull Rate</v>
      </c>
      <c r="D26" s="36"/>
      <c r="E26" s="36"/>
      <c r="F26" s="36"/>
      <c r="G26" s="36"/>
      <c r="H26" s="36"/>
      <c r="I26" s="36"/>
      <c r="J26" s="64">
        <f>CowCalf!O28</f>
        <v>26</v>
      </c>
      <c r="K26" s="66">
        <f>CowCalf!P28</f>
        <v>26</v>
      </c>
      <c r="L26" s="66">
        <f>CowCalf!Q28</f>
        <v>26</v>
      </c>
      <c r="M26" s="66">
        <f>CowCalf!R28</f>
        <v>26</v>
      </c>
      <c r="N26" s="66">
        <f>CowCalf!S28</f>
        <v>26</v>
      </c>
      <c r="O26" s="66">
        <f>CowCalf!T28</f>
        <v>26</v>
      </c>
      <c r="P26" s="66">
        <f>CowCalf!U28</f>
        <v>26</v>
      </c>
      <c r="Q26" s="66">
        <f>CowCalf!V28</f>
        <v>26</v>
      </c>
      <c r="R26" s="66">
        <f>CowCalf!W28</f>
        <v>26</v>
      </c>
      <c r="S26" s="66">
        <f>CowCalf!X28</f>
        <v>26</v>
      </c>
      <c r="T26" s="66">
        <f>CowCalf!Y28</f>
        <v>26</v>
      </c>
      <c r="U26" s="66">
        <f>CowCalf!Z28</f>
        <v>26</v>
      </c>
      <c r="V26" s="66">
        <f>CowCalf!AA28</f>
        <v>26</v>
      </c>
      <c r="W26" s="66">
        <f>CowCalf!AB28</f>
        <v>26</v>
      </c>
      <c r="X26" s="66">
        <f>CowCalf!AC28</f>
        <v>26</v>
      </c>
      <c r="Y26" s="66">
        <f>CowCalf!AD28</f>
        <v>26</v>
      </c>
      <c r="Z26" s="36"/>
      <c r="AA26" s="36"/>
      <c r="AB26" s="36"/>
    </row>
    <row r="27" spans="1:28" ht="15.75">
      <c r="A27" s="36"/>
      <c r="B27" s="454" t="s">
        <v>46</v>
      </c>
      <c r="C27" s="24" t="str">
        <f>CowCalf!N29</f>
        <v>Raised Weaned Heifers Kept for Replacements/Expansion</v>
      </c>
      <c r="D27" s="36"/>
      <c r="E27" s="36"/>
      <c r="F27" s="36"/>
      <c r="G27" s="36"/>
      <c r="H27" s="36"/>
      <c r="I27" s="36"/>
      <c r="J27" s="64">
        <f>CowCalf!O29</f>
        <v>30</v>
      </c>
      <c r="K27" s="479">
        <f>CowCalf!P29</f>
        <v>30</v>
      </c>
      <c r="L27" s="480">
        <f>CowCalf!Q29</f>
        <v>30</v>
      </c>
      <c r="M27" s="480">
        <f>CowCalf!R29</f>
        <v>30</v>
      </c>
      <c r="N27" s="480">
        <f>CowCalf!S29</f>
        <v>30</v>
      </c>
      <c r="O27" s="480">
        <f>CowCalf!T29</f>
        <v>30</v>
      </c>
      <c r="P27" s="480">
        <f>CowCalf!U29</f>
        <v>30</v>
      </c>
      <c r="Q27" s="480">
        <f>CowCalf!V29</f>
        <v>30</v>
      </c>
      <c r="R27" s="480">
        <f>CowCalf!W29</f>
        <v>30</v>
      </c>
      <c r="S27" s="480">
        <f>CowCalf!X29</f>
        <v>30</v>
      </c>
      <c r="T27" s="480">
        <f>CowCalf!Y29</f>
        <v>30</v>
      </c>
      <c r="U27" s="480">
        <f>CowCalf!Z29</f>
        <v>30</v>
      </c>
      <c r="V27" s="480">
        <f>CowCalf!AA29</f>
        <v>30</v>
      </c>
      <c r="W27" s="480">
        <f>CowCalf!AB29</f>
        <v>30</v>
      </c>
      <c r="X27" s="480">
        <f>CowCalf!AC29</f>
        <v>30</v>
      </c>
      <c r="Y27" s="480">
        <f>CowCalf!AD29</f>
        <v>30</v>
      </c>
      <c r="Z27" s="36"/>
      <c r="AA27" s="36"/>
      <c r="AB27" s="36"/>
    </row>
    <row r="28" spans="1:28" ht="15.75">
      <c r="A28" s="36"/>
      <c r="B28" s="455" t="s">
        <v>48</v>
      </c>
      <c r="C28" s="24" t="str">
        <f>CowCalf!N30</f>
        <v>Purchased Bred Hfrs for Replacement/Expansion</v>
      </c>
      <c r="D28" s="36"/>
      <c r="E28" s="36"/>
      <c r="F28" s="36"/>
      <c r="G28" s="36"/>
      <c r="H28" s="36"/>
      <c r="I28" s="36"/>
      <c r="J28" s="64">
        <f>CowCalf!O30</f>
        <v>0</v>
      </c>
      <c r="K28" s="481">
        <f>CowCalf!P30</f>
        <v>0</v>
      </c>
      <c r="L28" s="482">
        <f>CowCalf!Q30</f>
        <v>0</v>
      </c>
      <c r="M28" s="482">
        <f>CowCalf!R30</f>
        <v>0</v>
      </c>
      <c r="N28" s="482">
        <f>CowCalf!S30</f>
        <v>0</v>
      </c>
      <c r="O28" s="482">
        <f>CowCalf!T30</f>
        <v>0</v>
      </c>
      <c r="P28" s="482">
        <f>CowCalf!U30</f>
        <v>0</v>
      </c>
      <c r="Q28" s="482">
        <f>CowCalf!V30</f>
        <v>0</v>
      </c>
      <c r="R28" s="482">
        <f>CowCalf!W30</f>
        <v>0</v>
      </c>
      <c r="S28" s="482">
        <f>CowCalf!X30</f>
        <v>0</v>
      </c>
      <c r="T28" s="482">
        <f>CowCalf!Y30</f>
        <v>0</v>
      </c>
      <c r="U28" s="482">
        <f>CowCalf!Z30</f>
        <v>0</v>
      </c>
      <c r="V28" s="482">
        <f>CowCalf!AA30</f>
        <v>0</v>
      </c>
      <c r="W28" s="482">
        <f>CowCalf!AB30</f>
        <v>0</v>
      </c>
      <c r="X28" s="482">
        <f>CowCalf!AC30</f>
        <v>0</v>
      </c>
      <c r="Y28" s="483">
        <f>CowCalf!AD30</f>
        <v>0</v>
      </c>
      <c r="Z28" s="36"/>
      <c r="AA28" s="36"/>
      <c r="AB28" s="36"/>
    </row>
    <row r="29" spans="1:28" ht="15.75">
      <c r="A29" s="36"/>
      <c r="B29" s="454" t="s">
        <v>47</v>
      </c>
      <c r="C29" s="24" t="str">
        <f>CowCalf!N31</f>
        <v>Death Loss Replacement Heifers</v>
      </c>
      <c r="D29" s="36"/>
      <c r="E29" s="36"/>
      <c r="F29" s="36"/>
      <c r="G29" s="36"/>
      <c r="H29" s="36"/>
      <c r="I29" s="36"/>
      <c r="J29" s="64">
        <f>CowCalf!O31</f>
        <v>0</v>
      </c>
      <c r="K29" s="60">
        <f>CowCalf!P31</f>
        <v>1</v>
      </c>
      <c r="L29" s="60">
        <f>CowCalf!Q31</f>
        <v>1</v>
      </c>
      <c r="M29" s="60">
        <f>CowCalf!R31</f>
        <v>1</v>
      </c>
      <c r="N29" s="60">
        <f>CowCalf!S31</f>
        <v>1</v>
      </c>
      <c r="O29" s="60">
        <f>CowCalf!T31</f>
        <v>1</v>
      </c>
      <c r="P29" s="60">
        <f>CowCalf!U31</f>
        <v>1</v>
      </c>
      <c r="Q29" s="60">
        <f>CowCalf!V31</f>
        <v>1</v>
      </c>
      <c r="R29" s="60">
        <f>CowCalf!W31</f>
        <v>1</v>
      </c>
      <c r="S29" s="60">
        <f>CowCalf!X31</f>
        <v>1</v>
      </c>
      <c r="T29" s="60">
        <f>CowCalf!Y31</f>
        <v>1</v>
      </c>
      <c r="U29" s="60">
        <f>CowCalf!Z31</f>
        <v>1</v>
      </c>
      <c r="V29" s="60">
        <f>CowCalf!AA31</f>
        <v>1</v>
      </c>
      <c r="W29" s="60">
        <f>CowCalf!AB31</f>
        <v>1</v>
      </c>
      <c r="X29" s="60">
        <f>CowCalf!AC31</f>
        <v>1</v>
      </c>
      <c r="Y29" s="60">
        <f>CowCalf!AD31</f>
        <v>1</v>
      </c>
      <c r="Z29" s="36"/>
      <c r="AA29" s="36"/>
      <c r="AB29" s="36"/>
    </row>
    <row r="30" spans="1:28" ht="15.75">
      <c r="A30" s="36"/>
      <c r="B30" s="454" t="s">
        <v>47</v>
      </c>
      <c r="C30" s="24" t="str">
        <f>CowCalf!N32</f>
        <v>Excess Rep. Hfrs That will be sold</v>
      </c>
      <c r="D30" s="36"/>
      <c r="E30" s="36"/>
      <c r="F30" s="36"/>
      <c r="G30" s="36"/>
      <c r="H30" s="36"/>
      <c r="I30" s="36"/>
      <c r="J30" s="328">
        <f>CowCalf!O32</f>
        <v>4</v>
      </c>
      <c r="K30" s="484">
        <f>CowCalf!P32</f>
        <v>2</v>
      </c>
      <c r="L30" s="485">
        <f>CowCalf!Q32</f>
        <v>3</v>
      </c>
      <c r="M30" s="485">
        <f>CowCalf!R32</f>
        <v>3</v>
      </c>
      <c r="N30" s="485">
        <f>CowCalf!S32</f>
        <v>3</v>
      </c>
      <c r="O30" s="485">
        <f>CowCalf!T32</f>
        <v>3</v>
      </c>
      <c r="P30" s="485">
        <f>CowCalf!U32</f>
        <v>3</v>
      </c>
      <c r="Q30" s="485">
        <f>CowCalf!V32</f>
        <v>3</v>
      </c>
      <c r="R30" s="485">
        <f>CowCalf!W32</f>
        <v>3</v>
      </c>
      <c r="S30" s="485">
        <f>CowCalf!X32</f>
        <v>3</v>
      </c>
      <c r="T30" s="485">
        <f>CowCalf!Y32</f>
        <v>3</v>
      </c>
      <c r="U30" s="485">
        <f>CowCalf!Z32</f>
        <v>3</v>
      </c>
      <c r="V30" s="485">
        <f>CowCalf!AA32</f>
        <v>3</v>
      </c>
      <c r="W30" s="485">
        <f>CowCalf!AB32</f>
        <v>3</v>
      </c>
      <c r="X30" s="485">
        <f>CowCalf!AC32</f>
        <v>3</v>
      </c>
      <c r="Y30" s="485">
        <f>CowCalf!AD32</f>
        <v>3</v>
      </c>
      <c r="Z30" s="36"/>
      <c r="AA30" s="36"/>
      <c r="AB30" s="36"/>
    </row>
    <row r="31" spans="1:28" ht="15.75">
      <c r="A31" s="36"/>
      <c r="B31" s="454" t="s">
        <v>47</v>
      </c>
      <c r="C31" s="24" t="str">
        <f>CowCalf!N33</f>
        <v>Death Loss Breeding Cows</v>
      </c>
      <c r="D31" s="36"/>
      <c r="E31" s="36"/>
      <c r="F31" s="36"/>
      <c r="G31" s="36"/>
      <c r="H31" s="36"/>
      <c r="I31" s="36"/>
      <c r="J31" s="64">
        <f>CowCalf!O33</f>
        <v>1</v>
      </c>
      <c r="K31" s="328">
        <f>CowCalf!P33</f>
        <v>1</v>
      </c>
      <c r="L31" s="328">
        <f>CowCalf!Q33</f>
        <v>1</v>
      </c>
      <c r="M31" s="328">
        <f>CowCalf!R33</f>
        <v>1</v>
      </c>
      <c r="N31" s="328">
        <f>CowCalf!S33</f>
        <v>1</v>
      </c>
      <c r="O31" s="328">
        <f>CowCalf!T33</f>
        <v>1</v>
      </c>
      <c r="P31" s="328">
        <f>CowCalf!U33</f>
        <v>1</v>
      </c>
      <c r="Q31" s="328">
        <f>CowCalf!V33</f>
        <v>1</v>
      </c>
      <c r="R31" s="328">
        <f>CowCalf!W33</f>
        <v>1</v>
      </c>
      <c r="S31" s="328">
        <f>CowCalf!X33</f>
        <v>1</v>
      </c>
      <c r="T31" s="328">
        <f>CowCalf!Y33</f>
        <v>1</v>
      </c>
      <c r="U31" s="328">
        <f>CowCalf!Z33</f>
        <v>1</v>
      </c>
      <c r="V31" s="328">
        <f>CowCalf!AA33</f>
        <v>1</v>
      </c>
      <c r="W31" s="328">
        <f>CowCalf!AB33</f>
        <v>1</v>
      </c>
      <c r="X31" s="328">
        <f>CowCalf!AC33</f>
        <v>1</v>
      </c>
      <c r="Y31" s="328">
        <f>CowCalf!AD33</f>
        <v>1</v>
      </c>
      <c r="Z31" s="36"/>
      <c r="AA31" s="36"/>
      <c r="AB31" s="36"/>
    </row>
    <row r="32" spans="1:28" ht="15.75">
      <c r="A32" s="36"/>
      <c r="B32" s="454" t="s">
        <v>47</v>
      </c>
      <c r="C32" s="24" t="str">
        <f>CowCalf!N34</f>
        <v>Cull Cow Sales, After Death Loss</v>
      </c>
      <c r="D32" s="36"/>
      <c r="E32" s="36"/>
      <c r="F32" s="36"/>
      <c r="G32" s="36"/>
      <c r="H32" s="36"/>
      <c r="I32" s="36"/>
      <c r="J32" s="328">
        <f>CowCalf!O34</f>
        <v>25.074000000000016</v>
      </c>
      <c r="K32" s="137">
        <f>CowCalf!P34</f>
        <v>25</v>
      </c>
      <c r="L32" s="137">
        <f>CowCalf!Q34</f>
        <v>25</v>
      </c>
      <c r="M32" s="137">
        <f>CowCalf!R34</f>
        <v>25</v>
      </c>
      <c r="N32" s="137">
        <f>CowCalf!S34</f>
        <v>25</v>
      </c>
      <c r="O32" s="137">
        <f>CowCalf!T34</f>
        <v>25</v>
      </c>
      <c r="P32" s="137">
        <f>CowCalf!U34</f>
        <v>25</v>
      </c>
      <c r="Q32" s="137">
        <f>CowCalf!V34</f>
        <v>25</v>
      </c>
      <c r="R32" s="137">
        <f>CowCalf!W34</f>
        <v>25</v>
      </c>
      <c r="S32" s="137">
        <f>CowCalf!X34</f>
        <v>25</v>
      </c>
      <c r="T32" s="137">
        <f>CowCalf!Y34</f>
        <v>25</v>
      </c>
      <c r="U32" s="137">
        <f>CowCalf!Z34</f>
        <v>25</v>
      </c>
      <c r="V32" s="137">
        <f>CowCalf!AA34</f>
        <v>25</v>
      </c>
      <c r="W32" s="137">
        <f>CowCalf!AB34</f>
        <v>25</v>
      </c>
      <c r="X32" s="137">
        <f>CowCalf!AC34</f>
        <v>25</v>
      </c>
      <c r="Y32" s="137">
        <f>CowCalf!AD34</f>
        <v>25</v>
      </c>
      <c r="Z32" s="36"/>
      <c r="AA32" s="36"/>
      <c r="AB32" s="36"/>
    </row>
    <row r="33" spans="1:28" ht="15.75">
      <c r="A33" s="36"/>
      <c r="B33" s="456" t="s">
        <v>49</v>
      </c>
      <c r="C33" s="453" t="str">
        <f>CowCalf!N35</f>
        <v>Inventory - Beginning of Next Breeding Season</v>
      </c>
      <c r="D33" s="36"/>
      <c r="E33" s="36"/>
      <c r="F33" s="36"/>
      <c r="G33" s="36"/>
      <c r="H33" s="36"/>
      <c r="I33" s="36"/>
      <c r="J33" s="344">
        <f>CowCalf!O35</f>
        <v>199</v>
      </c>
      <c r="K33" s="80">
        <f>CowCalf!P35</f>
        <v>200</v>
      </c>
      <c r="L33" s="80">
        <f>CowCalf!Q35</f>
        <v>200</v>
      </c>
      <c r="M33" s="80">
        <f>CowCalf!R35</f>
        <v>200</v>
      </c>
      <c r="N33" s="80">
        <f>CowCalf!S35</f>
        <v>200</v>
      </c>
      <c r="O33" s="80">
        <f>CowCalf!T35</f>
        <v>200</v>
      </c>
      <c r="P33" s="80">
        <f>CowCalf!U35</f>
        <v>200</v>
      </c>
      <c r="Q33" s="80">
        <f>CowCalf!V35</f>
        <v>200</v>
      </c>
      <c r="R33" s="80">
        <f>CowCalf!W35</f>
        <v>200</v>
      </c>
      <c r="S33" s="80">
        <f>CowCalf!X35</f>
        <v>200</v>
      </c>
      <c r="T33" s="80">
        <f>CowCalf!Y35</f>
        <v>200</v>
      </c>
      <c r="U33" s="80">
        <f>CowCalf!Z35</f>
        <v>200</v>
      </c>
      <c r="V33" s="80">
        <f>CowCalf!AA35</f>
        <v>200</v>
      </c>
      <c r="W33" s="80">
        <f>CowCalf!AB35</f>
        <v>200</v>
      </c>
      <c r="X33" s="80">
        <f>CowCalf!AC35</f>
        <v>200</v>
      </c>
      <c r="Y33" s="80">
        <f>CowCalf!AD35</f>
        <v>200</v>
      </c>
      <c r="Z33" s="36"/>
      <c r="AA33" s="36"/>
      <c r="AB33" s="36"/>
    </row>
    <row r="34" spans="1:28" ht="12.7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row>
    <row r="35" spans="1:28" ht="15.75">
      <c r="A35" s="36"/>
      <c r="B35" s="36"/>
      <c r="C35" s="24" t="str">
        <f>CowCalf!N37</f>
        <v>Bulls on hand January 1st</v>
      </c>
      <c r="D35" s="36"/>
      <c r="E35" s="36"/>
      <c r="F35" s="36"/>
      <c r="G35" s="36"/>
      <c r="H35" s="36"/>
      <c r="I35" s="36"/>
      <c r="J35" s="337">
        <f>CowCalf!O37</f>
        <v>6</v>
      </c>
      <c r="K35" s="345">
        <f>CowCalf!P37</f>
        <v>5</v>
      </c>
      <c r="L35" s="345">
        <f>CowCalf!Q37</f>
        <v>5</v>
      </c>
      <c r="M35" s="345">
        <f>CowCalf!R37</f>
        <v>5</v>
      </c>
      <c r="N35" s="345">
        <f>CowCalf!S37</f>
        <v>5</v>
      </c>
      <c r="O35" s="345">
        <f>CowCalf!T37</f>
        <v>5</v>
      </c>
      <c r="P35" s="345">
        <f>CowCalf!U37</f>
        <v>5</v>
      </c>
      <c r="Q35" s="345">
        <f>CowCalf!V37</f>
        <v>5</v>
      </c>
      <c r="R35" s="345">
        <f>CowCalf!W37</f>
        <v>5</v>
      </c>
      <c r="S35" s="345">
        <f>CowCalf!X37</f>
        <v>5</v>
      </c>
      <c r="T35" s="345">
        <f>CowCalf!Y37</f>
        <v>5</v>
      </c>
      <c r="U35" s="345">
        <f>CowCalf!Z37</f>
        <v>5</v>
      </c>
      <c r="V35" s="345">
        <f>CowCalf!AA37</f>
        <v>5</v>
      </c>
      <c r="W35" s="345">
        <f>CowCalf!AB37</f>
        <v>5</v>
      </c>
      <c r="X35" s="345">
        <f>CowCalf!AC37</f>
        <v>5</v>
      </c>
      <c r="Y35" s="345">
        <f>CowCalf!AD37</f>
        <v>5</v>
      </c>
      <c r="Z35" s="36"/>
      <c r="AA35" s="36"/>
      <c r="AB35" s="36"/>
    </row>
    <row r="36" spans="1:28" ht="12.75">
      <c r="A36" s="36"/>
      <c r="B36" s="36"/>
      <c r="C36" s="457" t="str">
        <f>CowCalf!N38</f>
        <v>Bulls Purchased During the year</v>
      </c>
      <c r="D36" s="36"/>
      <c r="E36" s="36"/>
      <c r="F36" s="36"/>
      <c r="G36" s="36"/>
      <c r="H36" s="36"/>
      <c r="I36" s="36"/>
      <c r="J36" s="60">
        <f>CowCalf!O38</f>
        <v>2</v>
      </c>
      <c r="K36" s="345">
        <f>CowCalf!P38</f>
        <v>3</v>
      </c>
      <c r="L36" s="345">
        <f>CowCalf!Q38</f>
        <v>3</v>
      </c>
      <c r="M36" s="345">
        <f>CowCalf!R38</f>
        <v>3</v>
      </c>
      <c r="N36" s="345">
        <f>CowCalf!S38</f>
        <v>3</v>
      </c>
      <c r="O36" s="345">
        <f>CowCalf!T38</f>
        <v>3</v>
      </c>
      <c r="P36" s="345">
        <f>CowCalf!U38</f>
        <v>3</v>
      </c>
      <c r="Q36" s="345">
        <f>CowCalf!V38</f>
        <v>3</v>
      </c>
      <c r="R36" s="345">
        <f>CowCalf!W38</f>
        <v>3</v>
      </c>
      <c r="S36" s="345">
        <f>CowCalf!X38</f>
        <v>3</v>
      </c>
      <c r="T36" s="345">
        <f>CowCalf!Y38</f>
        <v>3</v>
      </c>
      <c r="U36" s="345">
        <f>CowCalf!Z38</f>
        <v>3</v>
      </c>
      <c r="V36" s="345">
        <f>CowCalf!AA38</f>
        <v>3</v>
      </c>
      <c r="W36" s="345">
        <f>CowCalf!AB38</f>
        <v>3</v>
      </c>
      <c r="X36" s="345">
        <f>CowCalf!AC38</f>
        <v>3</v>
      </c>
      <c r="Y36" s="345">
        <f>CowCalf!AD38</f>
        <v>3</v>
      </c>
      <c r="Z36" s="36"/>
      <c r="AA36" s="36"/>
      <c r="AB36" s="36"/>
    </row>
    <row r="37" spans="1:28" ht="12.75">
      <c r="A37" s="36"/>
      <c r="B37" s="36"/>
      <c r="C37" s="457" t="str">
        <f>CowCalf!N39</f>
        <v>Change in Number of Bulls Relative to the Base Year</v>
      </c>
      <c r="D37" s="36"/>
      <c r="E37" s="36"/>
      <c r="F37" s="36"/>
      <c r="G37" s="36"/>
      <c r="H37" s="36"/>
      <c r="I37" s="36"/>
      <c r="J37" s="60">
        <f>CowCalf!O39</f>
        <v>0</v>
      </c>
      <c r="K37" s="81">
        <f>CowCalf!P39</f>
        <v>0</v>
      </c>
      <c r="L37" s="81">
        <f>CowCalf!Q39</f>
        <v>0</v>
      </c>
      <c r="M37" s="81">
        <f>CowCalf!R39</f>
        <v>0</v>
      </c>
      <c r="N37" s="81">
        <f>CowCalf!S39</f>
        <v>0</v>
      </c>
      <c r="O37" s="81">
        <f>CowCalf!T39</f>
        <v>0</v>
      </c>
      <c r="P37" s="81">
        <f>CowCalf!U39</f>
        <v>0</v>
      </c>
      <c r="Q37" s="81">
        <f>CowCalf!V39</f>
        <v>0</v>
      </c>
      <c r="R37" s="81">
        <f>CowCalf!W39</f>
        <v>0</v>
      </c>
      <c r="S37" s="81">
        <f>CowCalf!X39</f>
        <v>0</v>
      </c>
      <c r="T37" s="81">
        <f>CowCalf!Y39</f>
        <v>0</v>
      </c>
      <c r="U37" s="81">
        <f>CowCalf!Z39</f>
        <v>0</v>
      </c>
      <c r="V37" s="81">
        <f>CowCalf!AA39</f>
        <v>0</v>
      </c>
      <c r="W37" s="81">
        <f>CowCalf!AB39</f>
        <v>0</v>
      </c>
      <c r="X37" s="81">
        <f>CowCalf!AC39</f>
        <v>0</v>
      </c>
      <c r="Y37" s="81">
        <f>CowCalf!AD39</f>
        <v>0</v>
      </c>
      <c r="Z37" s="36"/>
      <c r="AA37" s="36"/>
      <c r="AB37" s="36"/>
    </row>
    <row r="38" spans="1:28" ht="12.75">
      <c r="A38" s="36"/>
      <c r="B38" s="36"/>
      <c r="C38" s="1" t="str">
        <f>CowCalf!N40</f>
        <v>Steer Calves Available to Sell</v>
      </c>
      <c r="D38" s="36"/>
      <c r="E38" s="36"/>
      <c r="F38" s="36"/>
      <c r="G38" s="36"/>
      <c r="H38" s="36"/>
      <c r="I38" s="36"/>
      <c r="J38" s="343">
        <f>CowCalf!O40</f>
        <v>85</v>
      </c>
      <c r="K38" s="343">
        <f>CowCalf!P40</f>
        <v>84.3715026</v>
      </c>
      <c r="L38" s="343">
        <f>CowCalf!Q40</f>
        <v>84.79547999999998</v>
      </c>
      <c r="M38" s="343">
        <f>CowCalf!R40</f>
        <v>84.79547999999998</v>
      </c>
      <c r="N38" s="343">
        <f>CowCalf!S40</f>
        <v>84.79547999999998</v>
      </c>
      <c r="O38" s="343">
        <f>CowCalf!T40</f>
        <v>84.79547999999998</v>
      </c>
      <c r="P38" s="343">
        <f>CowCalf!U40</f>
        <v>84.79547999999998</v>
      </c>
      <c r="Q38" s="343">
        <f>CowCalf!V40</f>
        <v>84.79547999999998</v>
      </c>
      <c r="R38" s="343">
        <f>CowCalf!W40</f>
        <v>84.79547999999998</v>
      </c>
      <c r="S38" s="343">
        <f>CowCalf!X40</f>
        <v>84.79547999999998</v>
      </c>
      <c r="T38" s="343">
        <f>CowCalf!Y40</f>
        <v>84.79547999999998</v>
      </c>
      <c r="U38" s="343">
        <f>CowCalf!Z40</f>
        <v>84.79547999999998</v>
      </c>
      <c r="V38" s="343">
        <f>CowCalf!AA40</f>
        <v>84.79547999999998</v>
      </c>
      <c r="W38" s="343">
        <f>CowCalf!AB40</f>
        <v>84.79547999999998</v>
      </c>
      <c r="X38" s="343">
        <f>CowCalf!AC40</f>
        <v>84.79547999999998</v>
      </c>
      <c r="Y38" s="343">
        <f>CowCalf!AD40</f>
        <v>84.79547999999998</v>
      </c>
      <c r="Z38" s="36"/>
      <c r="AA38" s="36"/>
      <c r="AB38" s="36"/>
    </row>
    <row r="39" spans="1:28" ht="12.75">
      <c r="A39" s="36"/>
      <c r="B39" s="36"/>
      <c r="C39" s="1" t="str">
        <f>CowCalf!N41</f>
        <v>Heifer Calves Available to Sell</v>
      </c>
      <c r="D39" s="36"/>
      <c r="E39" s="36"/>
      <c r="F39" s="36"/>
      <c r="G39" s="36"/>
      <c r="H39" s="36"/>
      <c r="I39" s="36"/>
      <c r="J39" s="343">
        <f>CowCalf!O41</f>
        <v>55</v>
      </c>
      <c r="K39" s="343">
        <f>CowCalf!P41</f>
        <v>54.3715026</v>
      </c>
      <c r="L39" s="343">
        <f>CowCalf!Q41</f>
        <v>54.79547999999998</v>
      </c>
      <c r="M39" s="343">
        <f>CowCalf!R41</f>
        <v>54.79547999999998</v>
      </c>
      <c r="N39" s="343">
        <f>CowCalf!S41</f>
        <v>54.79547999999998</v>
      </c>
      <c r="O39" s="343">
        <f>CowCalf!T41</f>
        <v>54.79547999999998</v>
      </c>
      <c r="P39" s="343">
        <f>CowCalf!U41</f>
        <v>54.79547999999998</v>
      </c>
      <c r="Q39" s="343">
        <f>CowCalf!V41</f>
        <v>54.79547999999998</v>
      </c>
      <c r="R39" s="343">
        <f>CowCalf!W41</f>
        <v>54.79547999999998</v>
      </c>
      <c r="S39" s="343">
        <f>CowCalf!X41</f>
        <v>54.79547999999998</v>
      </c>
      <c r="T39" s="343">
        <f>CowCalf!Y41</f>
        <v>54.79547999999998</v>
      </c>
      <c r="U39" s="343">
        <f>CowCalf!Z41</f>
        <v>54.79547999999998</v>
      </c>
      <c r="V39" s="343">
        <f>CowCalf!AA41</f>
        <v>54.79547999999998</v>
      </c>
      <c r="W39" s="343">
        <f>CowCalf!AB41</f>
        <v>54.79547999999998</v>
      </c>
      <c r="X39" s="343">
        <f>CowCalf!AC41</f>
        <v>54.79547999999998</v>
      </c>
      <c r="Y39" s="343">
        <f>CowCalf!AD41</f>
        <v>54.79547999999998</v>
      </c>
      <c r="Z39" s="36"/>
      <c r="AA39" s="36"/>
      <c r="AB39" s="36"/>
    </row>
    <row r="40" spans="1:28" ht="12.75">
      <c r="A40" s="36"/>
      <c r="B40" s="36"/>
      <c r="C40" s="458" t="str">
        <f>CowCalf!N42</f>
        <v>Price Adjustment Pattern (Enter as a Percent of Base Year Prices)</v>
      </c>
      <c r="D40" s="36"/>
      <c r="E40" s="36"/>
      <c r="F40" s="36"/>
      <c r="G40" s="36"/>
      <c r="H40" s="36"/>
      <c r="I40" s="36"/>
      <c r="J40" s="89"/>
      <c r="K40" s="486">
        <f>CowCalf!P42</f>
        <v>0.9459346884371875</v>
      </c>
      <c r="L40" s="486">
        <f>CowCalf!Q42</f>
        <v>0.8781239586804398</v>
      </c>
      <c r="M40" s="486">
        <f>CowCalf!R42</f>
        <v>0.8366377874041986</v>
      </c>
      <c r="N40" s="486">
        <f>CowCalf!S42</f>
        <v>0.7960679773408863</v>
      </c>
      <c r="O40" s="486">
        <f>CowCalf!T42</f>
        <v>0.7522492502499166</v>
      </c>
      <c r="P40" s="486">
        <f>CowCalf!U42</f>
        <v>0.7120959680106631</v>
      </c>
      <c r="Q40" s="486">
        <f>CowCalf!V42</f>
        <v>0.6956014661779406</v>
      </c>
      <c r="R40" s="486">
        <f>CowCalf!W42</f>
        <v>0.7035988003998667</v>
      </c>
      <c r="S40" s="486">
        <f>CowCalf!X42</f>
        <v>0.7234255248250583</v>
      </c>
      <c r="T40" s="487">
        <f>CowCalf!Y42</f>
        <v>0.750583138953682</v>
      </c>
      <c r="U40" s="487">
        <f>CowCalf!Z42</f>
        <v>0.77</v>
      </c>
      <c r="V40" s="487">
        <f>CowCalf!AA42</f>
        <v>0.8</v>
      </c>
      <c r="W40" s="487">
        <f>CowCalf!AB42</f>
        <v>0.85</v>
      </c>
      <c r="X40" s="487">
        <f>CowCalf!AC42</f>
        <v>0.88</v>
      </c>
      <c r="Y40" s="488">
        <f>CowCalf!AD42</f>
        <v>0.95</v>
      </c>
      <c r="Z40" s="36"/>
      <c r="AA40" s="36"/>
      <c r="AB40" s="36"/>
    </row>
    <row r="41" spans="1:28" ht="12.7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row>
    <row r="42" spans="1:28" ht="12.75">
      <c r="A42" s="36"/>
      <c r="B42" s="36"/>
      <c r="C42" s="188" t="str">
        <f>CowCalf!N51</f>
        <v>Total Steer Revenue</v>
      </c>
      <c r="D42" s="36"/>
      <c r="E42" s="36"/>
      <c r="F42" s="36"/>
      <c r="G42" s="36"/>
      <c r="H42" s="36"/>
      <c r="I42" s="36"/>
      <c r="J42" s="182">
        <f>CowCalf!O51</f>
        <v>69062.5</v>
      </c>
      <c r="K42" s="182">
        <f>CowCalf!P51</f>
        <v>64845.56895773805</v>
      </c>
      <c r="L42" s="182">
        <f>CowCalf!Q51</f>
        <v>60499.51584284403</v>
      </c>
      <c r="M42" s="182">
        <f>CowCalf!R51</f>
        <v>57641.27099987503</v>
      </c>
      <c r="N42" s="182">
        <f>CowCalf!S51</f>
        <v>54846.16007914027</v>
      </c>
      <c r="O42" s="182">
        <f>CowCalf!T51</f>
        <v>51827.2107068477</v>
      </c>
      <c r="P42" s="182">
        <f>CowCalf!U51</f>
        <v>49060.79702349216</v>
      </c>
      <c r="Q42" s="182">
        <f>CowCalf!V51</f>
        <v>47924.38642327556</v>
      </c>
      <c r="R42" s="182">
        <f>CowCalf!W51</f>
        <v>48475.373380956335</v>
      </c>
      <c r="S42" s="182">
        <f>CowCalf!X51</f>
        <v>49841.36188020658</v>
      </c>
      <c r="T42" s="182">
        <f>CowCalf!Y51</f>
        <v>51712.42175733087</v>
      </c>
      <c r="U42" s="182">
        <f>CowCalf!Z51</f>
        <v>53050.17217499999</v>
      </c>
      <c r="V42" s="182">
        <f>CowCalf!AA51</f>
        <v>55117.06199999999</v>
      </c>
      <c r="W42" s="182">
        <f>CowCalf!AB51</f>
        <v>58561.878374999986</v>
      </c>
      <c r="X42" s="182">
        <f>CowCalf!AC51</f>
        <v>60628.768199999984</v>
      </c>
      <c r="Y42" s="182">
        <f>CowCalf!AD51</f>
        <v>65451.51112499998</v>
      </c>
      <c r="Z42" s="36"/>
      <c r="AA42" s="36"/>
      <c r="AB42" s="36"/>
    </row>
    <row r="43" spans="1:28" ht="12.75">
      <c r="A43" s="36"/>
      <c r="B43" s="36"/>
      <c r="C43" s="188" t="str">
        <f>CowCalf!N52</f>
        <v>Total Heifer Revenue</v>
      </c>
      <c r="D43" s="36"/>
      <c r="E43" s="36"/>
      <c r="F43" s="36"/>
      <c r="G43" s="36"/>
      <c r="H43" s="36"/>
      <c r="I43" s="36"/>
      <c r="J43" s="182">
        <f>CowCalf!O52</f>
        <v>39531.25</v>
      </c>
      <c r="K43" s="182">
        <f>CowCalf!P52</f>
        <v>36966.67120472602</v>
      </c>
      <c r="L43" s="182">
        <f>CowCalf!Q52</f>
        <v>34584.25461731505</v>
      </c>
      <c r="M43" s="182">
        <f>CowCalf!R52</f>
        <v>32950.35282437103</v>
      </c>
      <c r="N43" s="182">
        <f>CowCalf!S52</f>
        <v>31352.541231672763</v>
      </c>
      <c r="O43" s="182">
        <f>CowCalf!T52</f>
        <v>29626.77347446683</v>
      </c>
      <c r="P43" s="182">
        <f>CowCalf!U52</f>
        <v>28045.366518243907</v>
      </c>
      <c r="Q43" s="182">
        <f>CowCalf!V52</f>
        <v>27395.74291382038</v>
      </c>
      <c r="R43" s="182">
        <f>CowCalf!W52</f>
        <v>27710.71193414694</v>
      </c>
      <c r="S43" s="182">
        <f>CowCalf!X52</f>
        <v>28491.572630373197</v>
      </c>
      <c r="T43" s="182">
        <f>CowCalf!Y52</f>
        <v>29561.154928565466</v>
      </c>
      <c r="U43" s="182">
        <f>CowCalf!Z52</f>
        <v>30325.87346249999</v>
      </c>
      <c r="V43" s="182">
        <f>CowCalf!AA52</f>
        <v>31507.40099999999</v>
      </c>
      <c r="W43" s="182">
        <f>CowCalf!AB52</f>
        <v>33476.61356249999</v>
      </c>
      <c r="X43" s="182">
        <f>CowCalf!AC52</f>
        <v>34658.141099999986</v>
      </c>
      <c r="Y43" s="182">
        <f>CowCalf!AD52</f>
        <v>37415.03868749998</v>
      </c>
      <c r="Z43" s="36"/>
      <c r="AA43" s="36"/>
      <c r="AB43" s="36"/>
    </row>
    <row r="44" spans="1:28" ht="12.75">
      <c r="A44" s="36"/>
      <c r="B44" s="36"/>
      <c r="C44" s="188" t="str">
        <f>CowCalf!N53</f>
        <v>Total Cull Cow Revenue</v>
      </c>
      <c r="D44" s="36"/>
      <c r="E44" s="36"/>
      <c r="F44" s="36"/>
      <c r="G44" s="36"/>
      <c r="H44" s="36"/>
      <c r="I44" s="36"/>
      <c r="J44" s="182">
        <f>CowCalf!O53</f>
        <v>17927.91000000001</v>
      </c>
      <c r="K44" s="182">
        <f>CowCalf!P53</f>
        <v>16908.582555814726</v>
      </c>
      <c r="L44" s="182">
        <f>CowCalf!Q53</f>
        <v>15696.465761412861</v>
      </c>
      <c r="M44" s="182">
        <f>CowCalf!R53</f>
        <v>14954.900449850049</v>
      </c>
      <c r="N44" s="182">
        <f>CowCalf!S53</f>
        <v>14229.715094968342</v>
      </c>
      <c r="O44" s="182">
        <f>CowCalf!T53</f>
        <v>13446.45534821726</v>
      </c>
      <c r="P44" s="182">
        <f>CowCalf!U53</f>
        <v>12728.715428190602</v>
      </c>
      <c r="Q44" s="182">
        <f>CowCalf!V53</f>
        <v>12433.876207930689</v>
      </c>
      <c r="R44" s="182">
        <f>CowCalf!W53</f>
        <v>12576.828557147617</v>
      </c>
      <c r="S44" s="182">
        <f>CowCalf!X53</f>
        <v>12931.231256247916</v>
      </c>
      <c r="T44" s="182">
        <f>CowCalf!Y53</f>
        <v>13416.673608797066</v>
      </c>
      <c r="U44" s="182">
        <f>CowCalf!Z53</f>
        <v>13763.75</v>
      </c>
      <c r="V44" s="182">
        <f>CowCalf!AA53</f>
        <v>14300</v>
      </c>
      <c r="W44" s="182">
        <f>CowCalf!AB53</f>
        <v>15193.75</v>
      </c>
      <c r="X44" s="182">
        <f>CowCalf!AC53</f>
        <v>15730</v>
      </c>
      <c r="Y44" s="182">
        <f>CowCalf!AD53</f>
        <v>16981.25</v>
      </c>
      <c r="Z44" s="36"/>
      <c r="AA44" s="36"/>
      <c r="AB44" s="36"/>
    </row>
    <row r="45" spans="1:28" ht="12.75">
      <c r="A45" s="36"/>
      <c r="B45" s="36"/>
      <c r="C45" s="188" t="str">
        <f>CowCalf!N54</f>
        <v>Total Cull Replacement Revenue</v>
      </c>
      <c r="D45" s="36"/>
      <c r="E45" s="36"/>
      <c r="F45" s="36"/>
      <c r="G45" s="36"/>
      <c r="H45" s="36"/>
      <c r="I45" s="36"/>
      <c r="J45" s="182">
        <f>CowCalf!O54</f>
        <v>3600</v>
      </c>
      <c r="K45" s="182">
        <f>CowCalf!P54</f>
        <v>1702.6824391869375</v>
      </c>
      <c r="L45" s="182">
        <f>CowCalf!Q54</f>
        <v>2370.9346884371876</v>
      </c>
      <c r="M45" s="182">
        <f>CowCalf!R54</f>
        <v>2258.9220259913363</v>
      </c>
      <c r="N45" s="182">
        <f>CowCalf!S54</f>
        <v>2149.383538820393</v>
      </c>
      <c r="O45" s="182">
        <f>CowCalf!T54</f>
        <v>2031.0729756747749</v>
      </c>
      <c r="P45" s="182">
        <f>CowCalf!U54</f>
        <v>1922.6591136287905</v>
      </c>
      <c r="Q45" s="182">
        <f>CowCalf!V54</f>
        <v>1878.1239586804397</v>
      </c>
      <c r="R45" s="182">
        <f>CowCalf!W54</f>
        <v>1899.71676107964</v>
      </c>
      <c r="S45" s="182">
        <f>CowCalf!X54</f>
        <v>1953.2489170276574</v>
      </c>
      <c r="T45" s="182">
        <f>CowCalf!Y54</f>
        <v>2026.5744751749414</v>
      </c>
      <c r="U45" s="182">
        <f>CowCalf!Z54</f>
        <v>2079</v>
      </c>
      <c r="V45" s="182">
        <f>CowCalf!AA54</f>
        <v>2160</v>
      </c>
      <c r="W45" s="182">
        <f>CowCalf!AB54</f>
        <v>2295</v>
      </c>
      <c r="X45" s="182">
        <f>CowCalf!AC54</f>
        <v>2376</v>
      </c>
      <c r="Y45" s="182">
        <f>CowCalf!AD54</f>
        <v>2565</v>
      </c>
      <c r="Z45" s="36"/>
      <c r="AA45" s="36"/>
      <c r="AB45" s="36"/>
    </row>
    <row r="46" spans="1:28" ht="12.75">
      <c r="A46" s="36"/>
      <c r="B46" s="36"/>
      <c r="C46" s="188" t="str">
        <f>CowCalf!N55</f>
        <v>Total Cull Bull Revenue</v>
      </c>
      <c r="D46" s="36"/>
      <c r="E46" s="36"/>
      <c r="F46" s="36"/>
      <c r="G46" s="36"/>
      <c r="H46" s="36"/>
      <c r="I46" s="36"/>
      <c r="J46" s="182">
        <f>CowCalf!O55</f>
        <v>1980.0000000000002</v>
      </c>
      <c r="K46" s="182">
        <f>CowCalf!P55</f>
        <v>2809.426024658447</v>
      </c>
      <c r="L46" s="182">
        <f>CowCalf!Q55</f>
        <v>2608.0281572809067</v>
      </c>
      <c r="M46" s="182">
        <f>CowCalf!R55</f>
        <v>2484.81422859047</v>
      </c>
      <c r="N46" s="182">
        <f>CowCalf!S55</f>
        <v>2364.3218927024327</v>
      </c>
      <c r="O46" s="182">
        <f>CowCalf!T55</f>
        <v>2234.1802732422525</v>
      </c>
      <c r="P46" s="182">
        <f>CowCalf!U55</f>
        <v>2114.92502499167</v>
      </c>
      <c r="Q46" s="182">
        <f>CowCalf!V55</f>
        <v>2065.936354548484</v>
      </c>
      <c r="R46" s="182">
        <f>CowCalf!W55</f>
        <v>2089.6884371876044</v>
      </c>
      <c r="S46" s="182">
        <f>CowCalf!X55</f>
        <v>2148.5738087304235</v>
      </c>
      <c r="T46" s="182">
        <f>CowCalf!Y55</f>
        <v>2229.231922692436</v>
      </c>
      <c r="U46" s="182">
        <f>CowCalf!Z55</f>
        <v>2286.9000000000005</v>
      </c>
      <c r="V46" s="182">
        <f>CowCalf!AA55</f>
        <v>2376.0000000000005</v>
      </c>
      <c r="W46" s="182">
        <f>CowCalf!AB55</f>
        <v>2524.5000000000005</v>
      </c>
      <c r="X46" s="182">
        <f>CowCalf!AC55</f>
        <v>2613.6000000000004</v>
      </c>
      <c r="Y46" s="182">
        <f>CowCalf!AD55</f>
        <v>2821.5000000000005</v>
      </c>
      <c r="Z46" s="36"/>
      <c r="AA46" s="36"/>
      <c r="AB46" s="36"/>
    </row>
    <row r="47" spans="1:28" ht="12.75">
      <c r="A47" s="36"/>
      <c r="B47" s="36"/>
      <c r="C47" s="459" t="str">
        <f>CowCalf!N56</f>
        <v>Total Other Income</v>
      </c>
      <c r="D47" s="36"/>
      <c r="E47" s="36"/>
      <c r="F47" s="36"/>
      <c r="G47" s="36"/>
      <c r="H47" s="36"/>
      <c r="I47" s="36"/>
      <c r="J47" s="182">
        <f>CowCalf!O56</f>
        <v>0</v>
      </c>
      <c r="K47" s="403">
        <f>CowCalf!P56</f>
        <v>0</v>
      </c>
      <c r="L47" s="403">
        <f>CowCalf!Q56</f>
        <v>0</v>
      </c>
      <c r="M47" s="403">
        <f>CowCalf!R56</f>
        <v>0</v>
      </c>
      <c r="N47" s="403">
        <f>CowCalf!S56</f>
        <v>0</v>
      </c>
      <c r="O47" s="403">
        <f>CowCalf!T56</f>
        <v>0</v>
      </c>
      <c r="P47" s="403">
        <f>CowCalf!U56</f>
        <v>0</v>
      </c>
      <c r="Q47" s="403">
        <f>CowCalf!V56</f>
        <v>0</v>
      </c>
      <c r="R47" s="403">
        <f>CowCalf!W56</f>
        <v>0</v>
      </c>
      <c r="S47" s="403">
        <f>CowCalf!X56</f>
        <v>0</v>
      </c>
      <c r="T47" s="403">
        <f>CowCalf!Y56</f>
        <v>0</v>
      </c>
      <c r="U47" s="403">
        <f>CowCalf!Z56</f>
        <v>0</v>
      </c>
      <c r="V47" s="403">
        <f>CowCalf!AA56</f>
        <v>0</v>
      </c>
      <c r="W47" s="403">
        <f>CowCalf!AB56</f>
        <v>0</v>
      </c>
      <c r="X47" s="403">
        <f>CowCalf!AC56</f>
        <v>0</v>
      </c>
      <c r="Y47" s="403">
        <f>CowCalf!AD56</f>
        <v>0</v>
      </c>
      <c r="Z47" s="36"/>
      <c r="AA47" s="36"/>
      <c r="AB47" s="36"/>
    </row>
    <row r="48" spans="1:28" ht="13.5" thickBot="1">
      <c r="A48" s="36"/>
      <c r="B48" s="36"/>
      <c r="C48" s="489" t="str">
        <f>CowCalf!N57</f>
        <v>Total Interest Income From Current year Liquidations</v>
      </c>
      <c r="D48" s="36"/>
      <c r="E48" s="36"/>
      <c r="F48" s="36"/>
      <c r="G48" s="36"/>
      <c r="H48" s="36"/>
      <c r="I48" s="36"/>
      <c r="J48" s="490"/>
      <c r="K48" s="183">
        <f>CowCalf!P57</f>
        <v>0</v>
      </c>
      <c r="L48" s="183">
        <f>CowCalf!Q57</f>
        <v>0</v>
      </c>
      <c r="M48" s="183">
        <f>CowCalf!R57</f>
        <v>0</v>
      </c>
      <c r="N48" s="183">
        <f>CowCalf!S57</f>
        <v>0</v>
      </c>
      <c r="O48" s="183">
        <f>CowCalf!T57</f>
        <v>0</v>
      </c>
      <c r="P48" s="183">
        <f>CowCalf!U57</f>
        <v>0</v>
      </c>
      <c r="Q48" s="183">
        <f>CowCalf!V57</f>
        <v>0</v>
      </c>
      <c r="R48" s="183">
        <f>CowCalf!W57</f>
        <v>0</v>
      </c>
      <c r="S48" s="183">
        <f>CowCalf!X57</f>
        <v>0</v>
      </c>
      <c r="T48" s="183">
        <f>CowCalf!Y57</f>
        <v>0</v>
      </c>
      <c r="U48" s="183">
        <f>CowCalf!Z57</f>
        <v>0</v>
      </c>
      <c r="V48" s="183">
        <f>CowCalf!AA57</f>
        <v>0</v>
      </c>
      <c r="W48" s="183">
        <f>CowCalf!AB57</f>
        <v>0</v>
      </c>
      <c r="X48" s="183">
        <f>CowCalf!AC57</f>
        <v>0</v>
      </c>
      <c r="Y48" s="183">
        <f>CowCalf!AD57</f>
        <v>0</v>
      </c>
      <c r="Z48" s="36"/>
      <c r="AA48" s="36"/>
      <c r="AB48" s="36"/>
    </row>
    <row r="49" spans="1:28" ht="13.5" thickTop="1">
      <c r="A49" s="36"/>
      <c r="B49" s="36"/>
      <c r="C49" s="460" t="str">
        <f>CowCalf!N58</f>
        <v>Total All Inflation Adjusted Revenue</v>
      </c>
      <c r="D49" s="36"/>
      <c r="E49" s="36"/>
      <c r="F49" s="36"/>
      <c r="G49" s="36"/>
      <c r="H49" s="36"/>
      <c r="I49" s="36"/>
      <c r="J49" s="257">
        <f>CowCalf!O58</f>
        <v>132101.66</v>
      </c>
      <c r="K49" s="257">
        <f>CowCalf!P58</f>
        <v>123232.93118212417</v>
      </c>
      <c r="L49" s="257">
        <f>CowCalf!Q58</f>
        <v>115759.19906729004</v>
      </c>
      <c r="M49" s="257">
        <f>CowCalf!R58</f>
        <v>110290.26052867791</v>
      </c>
      <c r="N49" s="257">
        <f>CowCalf!S58</f>
        <v>104942.12183730419</v>
      </c>
      <c r="O49" s="257">
        <f>CowCalf!T58</f>
        <v>99165.69277844882</v>
      </c>
      <c r="P49" s="257">
        <f>CowCalf!U58</f>
        <v>93872.46310854712</v>
      </c>
      <c r="Q49" s="257">
        <f>CowCalf!V58</f>
        <v>91698.06585825556</v>
      </c>
      <c r="R49" s="257">
        <f>CowCalf!W58</f>
        <v>92752.31907051815</v>
      </c>
      <c r="S49" s="257">
        <f>CowCalf!X58</f>
        <v>95365.98849258578</v>
      </c>
      <c r="T49" s="257">
        <f>CowCalf!Y58</f>
        <v>98946.05669256077</v>
      </c>
      <c r="U49" s="257">
        <f>CowCalf!Z58</f>
        <v>101505.69563749997</v>
      </c>
      <c r="V49" s="257">
        <f>CowCalf!AA58</f>
        <v>105460.46299999999</v>
      </c>
      <c r="W49" s="257">
        <f>CowCalf!AB58</f>
        <v>112051.74193749997</v>
      </c>
      <c r="X49" s="257">
        <f>CowCalf!AC58</f>
        <v>116006.50929999998</v>
      </c>
      <c r="Y49" s="257">
        <f>CowCalf!AD58</f>
        <v>125234.29981249996</v>
      </c>
      <c r="Z49" s="36"/>
      <c r="AA49" s="36"/>
      <c r="AB49" s="36"/>
    </row>
    <row r="50" spans="1:28" ht="12.75">
      <c r="A50" s="36"/>
      <c r="B50" s="36"/>
      <c r="C50" s="188" t="str">
        <f>CowCalf!N59</f>
        <v>Total Revenue From Calf Sales</v>
      </c>
      <c r="D50" s="36"/>
      <c r="E50" s="36"/>
      <c r="F50" s="36"/>
      <c r="G50" s="36"/>
      <c r="H50" s="36"/>
      <c r="I50" s="36"/>
      <c r="J50" s="88">
        <f>CowCalf!O59</f>
        <v>108593.75</v>
      </c>
      <c r="K50" s="88">
        <f>CowCalf!P59</f>
        <v>101812.24016246406</v>
      </c>
      <c r="L50" s="88">
        <f>CowCalf!Q59</f>
        <v>95083.77046015908</v>
      </c>
      <c r="M50" s="88">
        <f>CowCalf!R59</f>
        <v>90591.62382424605</v>
      </c>
      <c r="N50" s="88">
        <f>CowCalf!S59</f>
        <v>86198.70131081303</v>
      </c>
      <c r="O50" s="88">
        <f>CowCalf!T59</f>
        <v>81453.98418131453</v>
      </c>
      <c r="P50" s="88">
        <f>CowCalf!U59</f>
        <v>77106.16354173607</v>
      </c>
      <c r="Q50" s="88">
        <f>CowCalf!V59</f>
        <v>75320.12933709595</v>
      </c>
      <c r="R50" s="88">
        <f>CowCalf!W59</f>
        <v>76186.08531510328</v>
      </c>
      <c r="S50" s="88">
        <f>CowCalf!X59</f>
        <v>78332.93451057978</v>
      </c>
      <c r="T50" s="88">
        <f>CowCalf!Y59</f>
        <v>81273.57668589633</v>
      </c>
      <c r="U50" s="88">
        <f>CowCalf!Z59</f>
        <v>83376.04563749998</v>
      </c>
      <c r="V50" s="88">
        <f>CowCalf!AA59</f>
        <v>86624.46299999999</v>
      </c>
      <c r="W50" s="88">
        <f>CowCalf!AB59</f>
        <v>92038.49193749997</v>
      </c>
      <c r="X50" s="88">
        <f>CowCalf!AC59</f>
        <v>95286.90929999997</v>
      </c>
      <c r="Y50" s="88">
        <f>CowCalf!AD59</f>
        <v>102866.54981249996</v>
      </c>
      <c r="Z50" s="36"/>
      <c r="AA50" s="36"/>
      <c r="AB50" s="36"/>
    </row>
    <row r="51" spans="1:28" ht="12.75">
      <c r="A51" s="36"/>
      <c r="B51" s="36"/>
      <c r="C51" s="460" t="str">
        <f>CowCalf!N60</f>
        <v>Total Returns Per Head</v>
      </c>
      <c r="D51" s="36"/>
      <c r="E51" s="36"/>
      <c r="F51" s="36"/>
      <c r="G51" s="36"/>
      <c r="H51" s="36"/>
      <c r="I51" s="36"/>
      <c r="J51" s="257">
        <f>CowCalf!O60</f>
        <v>660.5083</v>
      </c>
      <c r="K51" s="257">
        <f>CowCalf!P60</f>
        <v>619.2609607141918</v>
      </c>
      <c r="L51" s="257">
        <f>CowCalf!Q60</f>
        <v>578.7959953364502</v>
      </c>
      <c r="M51" s="257">
        <f>CowCalf!R60</f>
        <v>551.4513026433896</v>
      </c>
      <c r="N51" s="257">
        <f>CowCalf!S60</f>
        <v>524.710609186521</v>
      </c>
      <c r="O51" s="257">
        <f>CowCalf!T60</f>
        <v>495.8284638922441</v>
      </c>
      <c r="P51" s="257">
        <f>CowCalf!U60</f>
        <v>469.3623155427356</v>
      </c>
      <c r="Q51" s="257">
        <f>CowCalf!V60</f>
        <v>458.4903292912778</v>
      </c>
      <c r="R51" s="257">
        <f>CowCalf!W60</f>
        <v>463.76159535259075</v>
      </c>
      <c r="S51" s="257">
        <f>CowCalf!X60</f>
        <v>476.8299424629289</v>
      </c>
      <c r="T51" s="257">
        <f>CowCalf!Y60</f>
        <v>494.73028346280387</v>
      </c>
      <c r="U51" s="257">
        <f>CowCalf!Z60</f>
        <v>507.52847818749984</v>
      </c>
      <c r="V51" s="257">
        <f>CowCalf!AA60</f>
        <v>527.3023149999999</v>
      </c>
      <c r="W51" s="257">
        <f>CowCalf!AB60</f>
        <v>560.2587096874998</v>
      </c>
      <c r="X51" s="257">
        <f>CowCalf!AC60</f>
        <v>580.0325464999999</v>
      </c>
      <c r="Y51" s="257">
        <f>CowCalf!AD60</f>
        <v>626.1714990624998</v>
      </c>
      <c r="Z51" s="36"/>
      <c r="AA51" s="36"/>
      <c r="AB51" s="36"/>
    </row>
    <row r="52" spans="1:28" ht="12.75">
      <c r="A52" s="36"/>
      <c r="B52" s="36"/>
      <c r="C52" s="188" t="str">
        <f>CowCalf!N61</f>
        <v>Current Year Principal From Breeding Livestock Sales</v>
      </c>
      <c r="D52" s="36"/>
      <c r="E52" s="36"/>
      <c r="F52" s="36"/>
      <c r="G52" s="36"/>
      <c r="H52" s="36"/>
      <c r="I52" s="36"/>
      <c r="J52" s="138"/>
      <c r="K52" s="88">
        <f>CowCalf!P61</f>
        <v>0</v>
      </c>
      <c r="L52" s="88">
        <f>CowCalf!Q61</f>
        <v>0</v>
      </c>
      <c r="M52" s="88">
        <f>CowCalf!R61</f>
        <v>0</v>
      </c>
      <c r="N52" s="88">
        <f>CowCalf!S61</f>
        <v>0</v>
      </c>
      <c r="O52" s="88">
        <f>CowCalf!T61</f>
        <v>0</v>
      </c>
      <c r="P52" s="88">
        <f>CowCalf!U61</f>
        <v>0</v>
      </c>
      <c r="Q52" s="88">
        <f>CowCalf!V61</f>
        <v>0</v>
      </c>
      <c r="R52" s="88">
        <f>CowCalf!W61</f>
        <v>0</v>
      </c>
      <c r="S52" s="88">
        <f>CowCalf!X61</f>
        <v>0</v>
      </c>
      <c r="T52" s="88">
        <f>CowCalf!Y61</f>
        <v>0</v>
      </c>
      <c r="U52" s="88">
        <f>CowCalf!Z61</f>
        <v>0</v>
      </c>
      <c r="V52" s="88">
        <f>CowCalf!AA61</f>
        <v>0</v>
      </c>
      <c r="W52" s="88">
        <f>CowCalf!AB61</f>
        <v>0</v>
      </c>
      <c r="X52" s="88">
        <f>CowCalf!AC61</f>
        <v>0</v>
      </c>
      <c r="Y52" s="88">
        <f>CowCalf!AD61</f>
        <v>0</v>
      </c>
      <c r="Z52" s="36"/>
      <c r="AA52" s="36"/>
      <c r="AB52" s="36"/>
    </row>
    <row r="53" spans="1:28" ht="12.75">
      <c r="A53" s="36"/>
      <c r="B53" s="36"/>
      <c r="C53" s="188"/>
      <c r="D53" s="36"/>
      <c r="E53" s="36"/>
      <c r="F53" s="36"/>
      <c r="G53" s="36"/>
      <c r="H53" s="36"/>
      <c r="I53" s="36"/>
      <c r="J53" s="72" t="str">
        <f>CowCalf!O62</f>
        <v>Accumulated principal from breeding livestock sales, adjusted for purchases</v>
      </c>
      <c r="K53" s="138"/>
      <c r="L53" s="88">
        <f>CowCalf!Q62</f>
        <v>0</v>
      </c>
      <c r="M53" s="88">
        <f>CowCalf!R62</f>
        <v>0</v>
      </c>
      <c r="N53" s="88">
        <f>CowCalf!S62</f>
        <v>0</v>
      </c>
      <c r="O53" s="88">
        <f>CowCalf!T62</f>
        <v>0</v>
      </c>
      <c r="P53" s="88">
        <f>CowCalf!U62</f>
        <v>0</v>
      </c>
      <c r="Q53" s="88">
        <f>CowCalf!V62</f>
        <v>0</v>
      </c>
      <c r="R53" s="88">
        <f>CowCalf!W62</f>
        <v>0</v>
      </c>
      <c r="S53" s="88">
        <f>CowCalf!X62</f>
        <v>0</v>
      </c>
      <c r="T53" s="88">
        <f>CowCalf!Y62</f>
        <v>0</v>
      </c>
      <c r="U53" s="88">
        <f>CowCalf!Z62</f>
        <v>0</v>
      </c>
      <c r="V53" s="88">
        <f>CowCalf!AA62</f>
        <v>0</v>
      </c>
      <c r="W53" s="88">
        <f>CowCalf!AB62</f>
        <v>0</v>
      </c>
      <c r="X53" s="88">
        <f>CowCalf!AC62</f>
        <v>0</v>
      </c>
      <c r="Y53" s="88">
        <f>CowCalf!AD62</f>
        <v>0</v>
      </c>
      <c r="Z53" s="36"/>
      <c r="AA53" s="36"/>
      <c r="AB53" s="36"/>
    </row>
    <row r="54" spans="1:28" ht="12.75">
      <c r="A54" s="36"/>
      <c r="B54" s="36"/>
      <c r="C54" s="188"/>
      <c r="D54" s="36"/>
      <c r="E54" s="36"/>
      <c r="F54" s="36"/>
      <c r="G54" s="36"/>
      <c r="H54" s="36"/>
      <c r="I54" s="36"/>
      <c r="J54" s="39"/>
      <c r="K54" s="72" t="str">
        <f>CowCalf!P63</f>
        <v>Sales Principal Used for Breeding Herd Rebuilding/replacements (excludes bulls)</v>
      </c>
      <c r="L54" s="88">
        <f>CowCalf!Q63</f>
        <v>0</v>
      </c>
      <c r="M54" s="88">
        <f>CowCalf!R63</f>
        <v>0</v>
      </c>
      <c r="N54" s="88">
        <f>CowCalf!S63</f>
        <v>0</v>
      </c>
      <c r="O54" s="88">
        <f>CowCalf!T63</f>
        <v>0</v>
      </c>
      <c r="P54" s="88">
        <f>CowCalf!U63</f>
        <v>0</v>
      </c>
      <c r="Q54" s="88">
        <f>CowCalf!V63</f>
        <v>0</v>
      </c>
      <c r="R54" s="88">
        <f>CowCalf!W63</f>
        <v>0</v>
      </c>
      <c r="S54" s="88">
        <f>CowCalf!X63</f>
        <v>0</v>
      </c>
      <c r="T54" s="88">
        <f>CowCalf!Y63</f>
        <v>0</v>
      </c>
      <c r="U54" s="88">
        <f>CowCalf!Z63</f>
        <v>0</v>
      </c>
      <c r="V54" s="88">
        <f>CowCalf!AA63</f>
        <v>0</v>
      </c>
      <c r="W54" s="88">
        <f>CowCalf!AB63</f>
        <v>0</v>
      </c>
      <c r="X54" s="88">
        <f>CowCalf!AC63</f>
        <v>0</v>
      </c>
      <c r="Y54" s="88">
        <f>CowCalf!AD63</f>
        <v>0</v>
      </c>
      <c r="Z54" s="36"/>
      <c r="AA54" s="36"/>
      <c r="AB54" s="36"/>
    </row>
    <row r="55" spans="1:28" ht="12.7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row>
    <row r="56" spans="1:28" ht="12.7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row>
    <row r="57" spans="1:28" ht="12.7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row>
    <row r="58" spans="1:28" ht="12.75">
      <c r="A58" s="36"/>
      <c r="B58" s="36"/>
      <c r="C58" s="36"/>
      <c r="D58" s="36"/>
      <c r="E58" s="36"/>
      <c r="F58" s="36"/>
      <c r="G58" s="36"/>
      <c r="H58" s="36"/>
      <c r="I58" s="36"/>
      <c r="J58" s="60">
        <f>CowCalf!O74</f>
        <v>2005</v>
      </c>
      <c r="K58" s="60">
        <f>CowCalf!P74</f>
        <v>2006</v>
      </c>
      <c r="L58" s="60">
        <f>CowCalf!Q74</f>
        <v>2007</v>
      </c>
      <c r="M58" s="60">
        <f>CowCalf!R74</f>
        <v>2008</v>
      </c>
      <c r="N58" s="60">
        <f>CowCalf!S74</f>
        <v>2009</v>
      </c>
      <c r="O58" s="60">
        <f>CowCalf!T74</f>
        <v>2010</v>
      </c>
      <c r="P58" s="60">
        <f>CowCalf!U74</f>
        <v>2011</v>
      </c>
      <c r="Q58" s="60">
        <f>CowCalf!V74</f>
        <v>2012</v>
      </c>
      <c r="R58" s="60">
        <f>CowCalf!W74</f>
        <v>2013</v>
      </c>
      <c r="S58" s="60">
        <f>CowCalf!X74</f>
        <v>2014</v>
      </c>
      <c r="T58" s="60">
        <f>CowCalf!Y74</f>
        <v>2015</v>
      </c>
      <c r="U58" s="60">
        <f>CowCalf!Z74</f>
        <v>2016</v>
      </c>
      <c r="V58" s="60">
        <f>CowCalf!AA74</f>
        <v>2017</v>
      </c>
      <c r="W58" s="60">
        <f>CowCalf!AB74</f>
        <v>2018</v>
      </c>
      <c r="X58" s="60">
        <f>CowCalf!AC74</f>
        <v>2019</v>
      </c>
      <c r="Y58" s="60">
        <f>CowCalf!AD74</f>
        <v>2020</v>
      </c>
      <c r="Z58" s="36"/>
      <c r="AA58" s="36"/>
      <c r="AB58" s="36"/>
    </row>
    <row r="59" spans="1:28" ht="12.75">
      <c r="A59" s="36"/>
      <c r="B59" s="36"/>
      <c r="C59" s="36"/>
      <c r="D59" s="36"/>
      <c r="E59" s="36"/>
      <c r="F59" s="36"/>
      <c r="G59" s="36"/>
      <c r="H59" s="36"/>
      <c r="I59" s="36"/>
      <c r="J59" s="62" t="str">
        <f>CowCalf!O75</f>
        <v>Base Year = Yr 0</v>
      </c>
      <c r="K59" s="62" t="str">
        <f>CowCalf!P75</f>
        <v>Year 1</v>
      </c>
      <c r="L59" s="62" t="str">
        <f>CowCalf!Q75</f>
        <v>Year 2</v>
      </c>
      <c r="M59" s="62" t="str">
        <f>CowCalf!R75</f>
        <v>Year 3</v>
      </c>
      <c r="N59" s="62" t="str">
        <f>CowCalf!S75</f>
        <v>Year 4</v>
      </c>
      <c r="O59" s="62" t="str">
        <f>CowCalf!T75</f>
        <v>Year 5</v>
      </c>
      <c r="P59" s="62" t="str">
        <f>CowCalf!U75</f>
        <v>Year 6</v>
      </c>
      <c r="Q59" s="62" t="str">
        <f>CowCalf!V75</f>
        <v>Year 7</v>
      </c>
      <c r="R59" s="62" t="str">
        <f>CowCalf!W75</f>
        <v>Year 8</v>
      </c>
      <c r="S59" s="62" t="str">
        <f>CowCalf!X75</f>
        <v>Year 9</v>
      </c>
      <c r="T59" s="62" t="str">
        <f>CowCalf!Y75</f>
        <v>Year 10</v>
      </c>
      <c r="U59" s="62" t="str">
        <f>CowCalf!Z75</f>
        <v>Year 11</v>
      </c>
      <c r="V59" s="62" t="str">
        <f>CowCalf!AA75</f>
        <v>Year 12</v>
      </c>
      <c r="W59" s="62" t="str">
        <f>CowCalf!AB75</f>
        <v>Year 13</v>
      </c>
      <c r="X59" s="62" t="str">
        <f>CowCalf!AC75</f>
        <v>Year 14</v>
      </c>
      <c r="Y59" s="62" t="str">
        <f>CowCalf!AD75</f>
        <v>Year 15</v>
      </c>
      <c r="Z59" s="36"/>
      <c r="AA59" s="36"/>
      <c r="AB59" s="36"/>
    </row>
    <row r="60" spans="1:28" ht="12.75">
      <c r="A60" s="36"/>
      <c r="B60" s="36"/>
      <c r="C60" s="36" t="str">
        <f>CowCalf!L87</f>
        <v>Total Feed Cost for Breeding Cows</v>
      </c>
      <c r="D60" s="36"/>
      <c r="E60" s="36"/>
      <c r="F60" s="36"/>
      <c r="G60" s="36"/>
      <c r="H60" s="36"/>
      <c r="I60" s="36"/>
      <c r="J60" s="88">
        <f>CowCalf!O87</f>
        <v>30780</v>
      </c>
      <c r="K60" s="88">
        <f>CowCalf!P87</f>
        <v>31544.883</v>
      </c>
      <c r="L60" s="88">
        <f>CowCalf!Q87</f>
        <v>32654.502</v>
      </c>
      <c r="M60" s="88">
        <f>CowCalf!R87</f>
        <v>33634.13706</v>
      </c>
      <c r="N60" s="88">
        <f>CowCalf!S87</f>
        <v>34643.1611718</v>
      </c>
      <c r="O60" s="88">
        <f>CowCalf!T87</f>
        <v>35682.456006953995</v>
      </c>
      <c r="P60" s="88">
        <f>CowCalf!U87</f>
        <v>36752.929687162614</v>
      </c>
      <c r="Q60" s="88">
        <f>CowCalf!V87</f>
        <v>37855.5175777775</v>
      </c>
      <c r="R60" s="88">
        <f>CowCalf!W87</f>
        <v>38991.183105110824</v>
      </c>
      <c r="S60" s="88">
        <f>CowCalf!X87</f>
        <v>40160.91859826415</v>
      </c>
      <c r="T60" s="88">
        <f>CowCalf!Y87</f>
        <v>41365.74615621207</v>
      </c>
      <c r="U60" s="88">
        <f>CowCalf!Z87</f>
        <v>42606.71854089844</v>
      </c>
      <c r="V60" s="88">
        <f>CowCalf!AA87</f>
        <v>43884.92009712539</v>
      </c>
      <c r="W60" s="88">
        <f>CowCalf!AB87</f>
        <v>45201.46770003915</v>
      </c>
      <c r="X60" s="88">
        <f>CowCalf!AC87</f>
        <v>46557.51173104032</v>
      </c>
      <c r="Y60" s="88">
        <f>CowCalf!AD87</f>
        <v>47954.23708297154</v>
      </c>
      <c r="Z60" s="36"/>
      <c r="AA60" s="36"/>
      <c r="AB60" s="36"/>
    </row>
    <row r="61" spans="1:28" ht="12.75">
      <c r="A61" s="36"/>
      <c r="B61" s="36"/>
      <c r="C61" s="569" t="str">
        <f>CowCalf!L94</f>
        <v>Total Feed Cost for Replacement Heifers</v>
      </c>
      <c r="D61" s="569">
        <f>CowCalf!M94</f>
        <v>0</v>
      </c>
      <c r="E61" s="569">
        <f>CowCalf!N94</f>
        <v>0</v>
      </c>
      <c r="F61" s="188"/>
      <c r="G61" s="188"/>
      <c r="H61" s="188"/>
      <c r="I61" s="188"/>
      <c r="J61" s="88">
        <f>CowCalf!O94</f>
        <v>3492</v>
      </c>
      <c r="K61" s="179">
        <f>CowCalf!P94</f>
        <v>3596.76</v>
      </c>
      <c r="L61" s="179">
        <f>CowCalf!Q94</f>
        <v>3704.6628</v>
      </c>
      <c r="M61" s="179">
        <f>CowCalf!R94</f>
        <v>3815.802684</v>
      </c>
      <c r="N61" s="179">
        <f>CowCalf!S94</f>
        <v>3930.2767645199997</v>
      </c>
      <c r="O61" s="179">
        <f>CowCalf!T94</f>
        <v>4048.1850674555994</v>
      </c>
      <c r="P61" s="179">
        <f>CowCalf!U94</f>
        <v>4169.630619479268</v>
      </c>
      <c r="Q61" s="179">
        <f>CowCalf!V94</f>
        <v>4294.719538063646</v>
      </c>
      <c r="R61" s="179">
        <f>CowCalf!W94</f>
        <v>4423.561124205556</v>
      </c>
      <c r="S61" s="179">
        <f>CowCalf!X94</f>
        <v>4556.267957931723</v>
      </c>
      <c r="T61" s="179">
        <f>CowCalf!Y94</f>
        <v>4692.955996669674</v>
      </c>
      <c r="U61" s="179">
        <f>CowCalf!Z94</f>
        <v>4833.744676569764</v>
      </c>
      <c r="V61" s="179">
        <f>CowCalf!AA94</f>
        <v>4978.757016866857</v>
      </c>
      <c r="W61" s="179">
        <f>CowCalf!AB94</f>
        <v>5128.119727372863</v>
      </c>
      <c r="X61" s="179">
        <f>CowCalf!AC94</f>
        <v>5281.963319194048</v>
      </c>
      <c r="Y61" s="179">
        <f>CowCalf!AD94</f>
        <v>5440.422218769871</v>
      </c>
      <c r="Z61" s="36"/>
      <c r="AA61" s="36"/>
      <c r="AB61" s="36"/>
    </row>
    <row r="62" spans="1:28" ht="12.75">
      <c r="A62" s="36"/>
      <c r="B62" s="36"/>
      <c r="C62" s="569" t="str">
        <f>CowCalf!L101</f>
        <v>Total Feed Cost for Bulls</v>
      </c>
      <c r="D62" s="569">
        <f>CowCalf!M101</f>
        <v>0</v>
      </c>
      <c r="E62" s="569">
        <f>CowCalf!N101</f>
        <v>0</v>
      </c>
      <c r="F62" s="188"/>
      <c r="G62" s="188"/>
      <c r="H62" s="188"/>
      <c r="I62" s="188"/>
      <c r="J62" s="88">
        <f>CowCalf!O101</f>
        <v>1148.4</v>
      </c>
      <c r="K62" s="179">
        <f>CowCalf!P101</f>
        <v>985.71</v>
      </c>
      <c r="L62" s="179">
        <f>CowCalf!Q101</f>
        <v>1015.2813</v>
      </c>
      <c r="M62" s="179">
        <f>CowCalf!R101</f>
        <v>1045.739739</v>
      </c>
      <c r="N62" s="179">
        <f>CowCalf!S101</f>
        <v>1077.11193117</v>
      </c>
      <c r="O62" s="179">
        <f>CowCalf!T101</f>
        <v>1109.4252891050999</v>
      </c>
      <c r="P62" s="179">
        <f>CowCalf!U101</f>
        <v>1142.7080477782529</v>
      </c>
      <c r="Q62" s="179">
        <f>CowCalf!V101</f>
        <v>1176.9892892116006</v>
      </c>
      <c r="R62" s="179">
        <f>CowCalf!W101</f>
        <v>1212.2989678879487</v>
      </c>
      <c r="S62" s="179">
        <f>CowCalf!X101</f>
        <v>1248.6679369245871</v>
      </c>
      <c r="T62" s="179">
        <f>CowCalf!Y101</f>
        <v>1286.1279750323247</v>
      </c>
      <c r="U62" s="179">
        <f>CowCalf!Z101</f>
        <v>1324.7118142832946</v>
      </c>
      <c r="V62" s="179">
        <f>CowCalf!AA101</f>
        <v>1364.4531687117933</v>
      </c>
      <c r="W62" s="179">
        <f>CowCalf!AB101</f>
        <v>1405.386763773147</v>
      </c>
      <c r="X62" s="179">
        <f>CowCalf!AC101</f>
        <v>1447.5483666863415</v>
      </c>
      <c r="Y62" s="179">
        <f>CowCalf!AD101</f>
        <v>1490.9748176869318</v>
      </c>
      <c r="Z62" s="36"/>
      <c r="AA62" s="36"/>
      <c r="AB62" s="36"/>
    </row>
    <row r="63" spans="1:28" ht="12.75">
      <c r="A63" s="36"/>
      <c r="B63" s="36"/>
      <c r="C63" s="554" t="str">
        <f>CowCalf!L103</f>
        <v>Subtotal: Feed Costs, Cows + Hfrs in Development</v>
      </c>
      <c r="D63" s="554">
        <f>CowCalf!M103</f>
        <v>0</v>
      </c>
      <c r="E63" s="554">
        <f>CowCalf!N103</f>
        <v>0</v>
      </c>
      <c r="F63" s="189"/>
      <c r="G63" s="189"/>
      <c r="H63" s="189"/>
      <c r="I63" s="189"/>
      <c r="J63" s="88">
        <f>CowCalf!O103</f>
        <v>35420.4</v>
      </c>
      <c r="K63" s="88">
        <f>CowCalf!P103</f>
        <v>36127.353</v>
      </c>
      <c r="L63" s="88">
        <f>CowCalf!Q103</f>
        <v>37374.4461</v>
      </c>
      <c r="M63" s="88">
        <f>CowCalf!R103</f>
        <v>38495.679483</v>
      </c>
      <c r="N63" s="88">
        <f>CowCalf!S103</f>
        <v>39650.54986749</v>
      </c>
      <c r="O63" s="88">
        <f>CowCalf!T103</f>
        <v>40840.06636351469</v>
      </c>
      <c r="P63" s="88">
        <f>CowCalf!U103</f>
        <v>42065.268354420135</v>
      </c>
      <c r="Q63" s="88">
        <f>CowCalf!V103</f>
        <v>43327.22640505275</v>
      </c>
      <c r="R63" s="88">
        <f>CowCalf!W103</f>
        <v>44627.04319720432</v>
      </c>
      <c r="S63" s="88">
        <f>CowCalf!X103</f>
        <v>45965.85449312046</v>
      </c>
      <c r="T63" s="88">
        <f>CowCalf!Y103</f>
        <v>47344.83012791407</v>
      </c>
      <c r="U63" s="88">
        <f>CowCalf!Z103</f>
        <v>48765.175031751496</v>
      </c>
      <c r="V63" s="88">
        <f>CowCalf!AA103</f>
        <v>50228.13028270404</v>
      </c>
      <c r="W63" s="88">
        <f>CowCalf!AB103</f>
        <v>51734.97419118516</v>
      </c>
      <c r="X63" s="88">
        <f>CowCalf!AC103</f>
        <v>53287.02341692071</v>
      </c>
      <c r="Y63" s="88">
        <f>CowCalf!AD103</f>
        <v>54885.63411942834</v>
      </c>
      <c r="Z63" s="36"/>
      <c r="AA63" s="36"/>
      <c r="AB63" s="36"/>
    </row>
    <row r="64" spans="1:28" ht="12.75">
      <c r="A64" s="36"/>
      <c r="B64" s="36"/>
      <c r="C64" s="189" t="str">
        <f>CowCalf!L108</f>
        <v>Vet and Medicine:</v>
      </c>
      <c r="D64" s="189" t="str">
        <f>CowCalf!M108</f>
        <v>Cows &amp; 1st Calf Heifers</v>
      </c>
      <c r="E64" s="39"/>
      <c r="F64" s="39"/>
      <c r="G64" s="39"/>
      <c r="H64" s="39"/>
      <c r="I64" s="39"/>
      <c r="J64" s="88">
        <f>CowCalf!O108</f>
        <v>1000</v>
      </c>
      <c r="K64" s="88">
        <f>CowCalf!P108</f>
        <v>1024.8500000000001</v>
      </c>
      <c r="L64" s="88">
        <f>CowCalf!Q108</f>
        <v>1060.8999999999999</v>
      </c>
      <c r="M64" s="88">
        <f>CowCalf!R108</f>
        <v>1092.727</v>
      </c>
      <c r="N64" s="88">
        <f>CowCalf!S108</f>
        <v>1125.5088099999998</v>
      </c>
      <c r="O64" s="88">
        <f>CowCalf!T108</f>
        <v>1159.2740743</v>
      </c>
      <c r="P64" s="88">
        <f>CowCalf!U108</f>
        <v>1194.052296529</v>
      </c>
      <c r="Q64" s="88">
        <f>CowCalf!V108</f>
        <v>1229.87386542487</v>
      </c>
      <c r="R64" s="88">
        <f>CowCalf!W108</f>
        <v>1266.770081387616</v>
      </c>
      <c r="S64" s="88">
        <f>CowCalf!X108</f>
        <v>1304.7731838292448</v>
      </c>
      <c r="T64" s="88">
        <f>CowCalf!Y108</f>
        <v>1343.916379344122</v>
      </c>
      <c r="U64" s="88">
        <f>CowCalf!Z108</f>
        <v>1384.2338707244458</v>
      </c>
      <c r="V64" s="88">
        <f>CowCalf!AA108</f>
        <v>1425.7608868461791</v>
      </c>
      <c r="W64" s="88">
        <f>CowCalf!AB108</f>
        <v>1468.5337134515644</v>
      </c>
      <c r="X64" s="88">
        <f>CowCalf!AC108</f>
        <v>1512.5897248551112</v>
      </c>
      <c r="Y64" s="88">
        <f>CowCalf!AD108</f>
        <v>1557.9674166007646</v>
      </c>
      <c r="Z64" s="36"/>
      <c r="AA64" s="36"/>
      <c r="AB64" s="36"/>
    </row>
    <row r="65" spans="1:28" ht="12.75">
      <c r="A65" s="36"/>
      <c r="B65" s="36"/>
      <c r="C65" s="189"/>
      <c r="D65" s="189" t="str">
        <f>CowCalf!M109</f>
        <v>Replacements Heifers</v>
      </c>
      <c r="E65" s="39"/>
      <c r="F65" s="39"/>
      <c r="G65" s="39"/>
      <c r="H65" s="39"/>
      <c r="I65" s="39"/>
      <c r="J65" s="88">
        <f>CowCalf!O109</f>
        <v>240</v>
      </c>
      <c r="K65" s="88">
        <f>CowCalf!P109</f>
        <v>247.20000000000002</v>
      </c>
      <c r="L65" s="88">
        <f>CowCalf!Q109</f>
        <v>254.61599999999999</v>
      </c>
      <c r="M65" s="88">
        <f>CowCalf!R109</f>
        <v>262.25448</v>
      </c>
      <c r="N65" s="88">
        <f>CowCalf!S109</f>
        <v>270.1221144</v>
      </c>
      <c r="O65" s="88">
        <f>CowCalf!T109</f>
        <v>278.22577783199995</v>
      </c>
      <c r="P65" s="88">
        <f>CowCalf!U109</f>
        <v>286.57255116695995</v>
      </c>
      <c r="Q65" s="88">
        <f>CowCalf!V109</f>
        <v>295.1697277019688</v>
      </c>
      <c r="R65" s="88">
        <f>CowCalf!W109</f>
        <v>304.0248195330279</v>
      </c>
      <c r="S65" s="88">
        <f>CowCalf!X109</f>
        <v>313.14556411901873</v>
      </c>
      <c r="T65" s="88">
        <f>CowCalf!Y109</f>
        <v>322.5399310425893</v>
      </c>
      <c r="U65" s="88">
        <f>CowCalf!Z109</f>
        <v>332.21612897386694</v>
      </c>
      <c r="V65" s="88">
        <f>CowCalf!AA109</f>
        <v>342.182612843083</v>
      </c>
      <c r="W65" s="88">
        <f>CowCalf!AB109</f>
        <v>352.44809122837546</v>
      </c>
      <c r="X65" s="88">
        <f>CowCalf!AC109</f>
        <v>363.0215339652267</v>
      </c>
      <c r="Y65" s="88">
        <f>CowCalf!AD109</f>
        <v>373.9121799841835</v>
      </c>
      <c r="Z65" s="36"/>
      <c r="AA65" s="36"/>
      <c r="AB65" s="36"/>
    </row>
    <row r="66" spans="1:28" ht="12.75">
      <c r="A66" s="36"/>
      <c r="B66" s="36"/>
      <c r="C66" s="189"/>
      <c r="D66" s="189" t="str">
        <f>CowCalf!M110</f>
        <v>Bulls</v>
      </c>
      <c r="E66" s="39"/>
      <c r="F66" s="39"/>
      <c r="G66" s="39"/>
      <c r="H66" s="39"/>
      <c r="I66" s="39"/>
      <c r="J66" s="88">
        <f>CowCalf!O110</f>
        <v>0</v>
      </c>
      <c r="K66" s="88">
        <f>CowCalf!P110</f>
        <v>0</v>
      </c>
      <c r="L66" s="88">
        <f>CowCalf!Q110</f>
        <v>0</v>
      </c>
      <c r="M66" s="88">
        <f>CowCalf!R110</f>
        <v>0</v>
      </c>
      <c r="N66" s="88">
        <f>CowCalf!S110</f>
        <v>0</v>
      </c>
      <c r="O66" s="88">
        <f>CowCalf!T110</f>
        <v>0</v>
      </c>
      <c r="P66" s="88">
        <f>CowCalf!U110</f>
        <v>0</v>
      </c>
      <c r="Q66" s="88">
        <f>CowCalf!V110</f>
        <v>0</v>
      </c>
      <c r="R66" s="88">
        <f>CowCalf!W110</f>
        <v>0</v>
      </c>
      <c r="S66" s="88">
        <f>CowCalf!X110</f>
        <v>0</v>
      </c>
      <c r="T66" s="88">
        <f>CowCalf!Y110</f>
        <v>0</v>
      </c>
      <c r="U66" s="88">
        <f>CowCalf!Z110</f>
        <v>0</v>
      </c>
      <c r="V66" s="88">
        <f>CowCalf!AA110</f>
        <v>0</v>
      </c>
      <c r="W66" s="88">
        <f>CowCalf!AB110</f>
        <v>0</v>
      </c>
      <c r="X66" s="88">
        <f>CowCalf!AC110</f>
        <v>0</v>
      </c>
      <c r="Y66" s="88">
        <f>CowCalf!AD110</f>
        <v>0</v>
      </c>
      <c r="Z66" s="36"/>
      <c r="AA66" s="36"/>
      <c r="AB66" s="36"/>
    </row>
    <row r="67" spans="1:28" ht="12.75">
      <c r="A67" s="36"/>
      <c r="B67" s="36"/>
      <c r="C67" s="189" t="str">
        <f>CowCalf!L111</f>
        <v>Marketing Costs:</v>
      </c>
      <c r="D67" s="189" t="str">
        <f>CowCalf!M111</f>
        <v>Cows &amp; 1st Calf Heifers</v>
      </c>
      <c r="E67" s="39"/>
      <c r="F67" s="39"/>
      <c r="G67" s="39"/>
      <c r="H67" s="39"/>
      <c r="I67" s="39"/>
      <c r="J67" s="88">
        <f>CowCalf!O111</f>
        <v>2400</v>
      </c>
      <c r="K67" s="88">
        <f>CowCalf!P111</f>
        <v>2459.64</v>
      </c>
      <c r="L67" s="88">
        <f>CowCalf!Q111</f>
        <v>2546.16</v>
      </c>
      <c r="M67" s="88">
        <f>CowCalf!R111</f>
        <v>2622.5448</v>
      </c>
      <c r="N67" s="88">
        <f>CowCalf!S111</f>
        <v>2701.2211439999996</v>
      </c>
      <c r="O67" s="88">
        <f>CowCalf!T111</f>
        <v>2782.2577783199995</v>
      </c>
      <c r="P67" s="88">
        <f>CowCalf!U111</f>
        <v>2865.7255116695997</v>
      </c>
      <c r="Q67" s="88">
        <f>CowCalf!V111</f>
        <v>2951.697277019688</v>
      </c>
      <c r="R67" s="88">
        <f>CowCalf!W111</f>
        <v>3040.2481953302786</v>
      </c>
      <c r="S67" s="88">
        <f>CowCalf!X111</f>
        <v>3131.455641190187</v>
      </c>
      <c r="T67" s="88">
        <f>CowCalf!Y111</f>
        <v>3225.399310425893</v>
      </c>
      <c r="U67" s="88">
        <f>CowCalf!Z111</f>
        <v>3322.16128973867</v>
      </c>
      <c r="V67" s="88">
        <f>CowCalf!AA111</f>
        <v>3421.8261284308296</v>
      </c>
      <c r="W67" s="88">
        <f>CowCalf!AB111</f>
        <v>3524.4809122837546</v>
      </c>
      <c r="X67" s="88">
        <f>CowCalf!AC111</f>
        <v>3630.215339652267</v>
      </c>
      <c r="Y67" s="88">
        <f>CowCalf!AD111</f>
        <v>3739.121799841835</v>
      </c>
      <c r="Z67" s="36"/>
      <c r="AA67" s="36"/>
      <c r="AB67" s="36"/>
    </row>
    <row r="68" spans="1:28" ht="12.75">
      <c r="A68" s="36"/>
      <c r="B68" s="36"/>
      <c r="C68" s="190"/>
      <c r="D68" s="189" t="str">
        <f>CowCalf!M112</f>
        <v>Replacements Heifers</v>
      </c>
      <c r="E68" s="39"/>
      <c r="F68" s="39"/>
      <c r="G68" s="39"/>
      <c r="H68" s="39"/>
      <c r="I68" s="39"/>
      <c r="J68" s="88">
        <f>CowCalf!O112</f>
        <v>300</v>
      </c>
      <c r="K68" s="88">
        <f>CowCalf!P112</f>
        <v>309</v>
      </c>
      <c r="L68" s="88">
        <f>CowCalf!Q112</f>
        <v>318.27</v>
      </c>
      <c r="M68" s="88">
        <f>CowCalf!R112</f>
        <v>327.8181</v>
      </c>
      <c r="N68" s="88">
        <f>CowCalf!S112</f>
        <v>337.65264299999996</v>
      </c>
      <c r="O68" s="88">
        <f>CowCalf!T112</f>
        <v>347.78222228999994</v>
      </c>
      <c r="P68" s="88">
        <f>CowCalf!U112</f>
        <v>358.21568895869996</v>
      </c>
      <c r="Q68" s="88">
        <f>CowCalf!V112</f>
        <v>368.962159627461</v>
      </c>
      <c r="R68" s="88">
        <f>CowCalf!W112</f>
        <v>380.0310244162848</v>
      </c>
      <c r="S68" s="88">
        <f>CowCalf!X112</f>
        <v>391.4319551487734</v>
      </c>
      <c r="T68" s="88">
        <f>CowCalf!Y112</f>
        <v>403.1749138032366</v>
      </c>
      <c r="U68" s="88">
        <f>CowCalf!Z112</f>
        <v>415.27016121733374</v>
      </c>
      <c r="V68" s="88">
        <f>CowCalf!AA112</f>
        <v>427.7282660538537</v>
      </c>
      <c r="W68" s="88">
        <f>CowCalf!AB112</f>
        <v>440.5601140354693</v>
      </c>
      <c r="X68" s="88">
        <f>CowCalf!AC112</f>
        <v>453.7769174565334</v>
      </c>
      <c r="Y68" s="88">
        <f>CowCalf!AD112</f>
        <v>467.3902249802294</v>
      </c>
      <c r="Z68" s="36"/>
      <c r="AA68" s="36"/>
      <c r="AB68" s="36"/>
    </row>
    <row r="69" spans="1:28" ht="12.75">
      <c r="A69" s="36"/>
      <c r="B69" s="36"/>
      <c r="C69" s="190"/>
      <c r="D69" s="189" t="str">
        <f>CowCalf!M113</f>
        <v>Bulls</v>
      </c>
      <c r="E69" s="39"/>
      <c r="F69" s="39"/>
      <c r="G69" s="39"/>
      <c r="H69" s="39"/>
      <c r="I69" s="39"/>
      <c r="J69" s="88">
        <f>CowCalf!O113</f>
        <v>120</v>
      </c>
      <c r="K69" s="88">
        <f>CowCalf!P113</f>
        <v>123.60000000000001</v>
      </c>
      <c r="L69" s="88">
        <f>CowCalf!Q113</f>
        <v>127.30799999999999</v>
      </c>
      <c r="M69" s="88">
        <f>CowCalf!R113</f>
        <v>131.12724</v>
      </c>
      <c r="N69" s="88">
        <f>CowCalf!S113</f>
        <v>135.0610572</v>
      </c>
      <c r="O69" s="88">
        <f>CowCalf!T113</f>
        <v>139.11288891599997</v>
      </c>
      <c r="P69" s="88">
        <f>CowCalf!U113</f>
        <v>143.28627558347998</v>
      </c>
      <c r="Q69" s="88">
        <f>CowCalf!V113</f>
        <v>147.5848638509844</v>
      </c>
      <c r="R69" s="88">
        <f>CowCalf!W113</f>
        <v>152.01240976651394</v>
      </c>
      <c r="S69" s="88">
        <f>CowCalf!X113</f>
        <v>156.57278205950936</v>
      </c>
      <c r="T69" s="88">
        <f>CowCalf!Y113</f>
        <v>161.26996552129464</v>
      </c>
      <c r="U69" s="88">
        <f>CowCalf!Z113</f>
        <v>166.10806448693347</v>
      </c>
      <c r="V69" s="88">
        <f>CowCalf!AA113</f>
        <v>171.0913064215415</v>
      </c>
      <c r="W69" s="88">
        <f>CowCalf!AB113</f>
        <v>176.22404561418773</v>
      </c>
      <c r="X69" s="88">
        <f>CowCalf!AC113</f>
        <v>181.51076698261335</v>
      </c>
      <c r="Y69" s="88">
        <f>CowCalf!AD113</f>
        <v>186.95608999209176</v>
      </c>
      <c r="Z69" s="36"/>
      <c r="AA69" s="36"/>
      <c r="AB69" s="36"/>
    </row>
    <row r="70" spans="1:28" ht="12.75">
      <c r="A70" s="36"/>
      <c r="B70" s="36"/>
      <c r="C70" s="189" t="str">
        <f>CowCalf!L115</f>
        <v>Machinery &amp; Vehicles:</v>
      </c>
      <c r="D70" s="191" t="str">
        <f>CowCalf!M115</f>
        <v>Fuel, Oil, Lub</v>
      </c>
      <c r="E70" s="39"/>
      <c r="F70" s="39"/>
      <c r="G70" s="39"/>
      <c r="H70" s="39"/>
      <c r="I70" s="39"/>
      <c r="J70" s="88">
        <f>CowCalf!O115</f>
        <v>2250</v>
      </c>
      <c r="K70" s="88">
        <f>CowCalf!P115</f>
        <v>2305.9125</v>
      </c>
      <c r="L70" s="88">
        <f>CowCalf!Q115</f>
        <v>2387.025</v>
      </c>
      <c r="M70" s="88">
        <f>CowCalf!R115</f>
        <v>2458.63575</v>
      </c>
      <c r="N70" s="88">
        <f>CowCalf!S115</f>
        <v>2532.3948225</v>
      </c>
      <c r="O70" s="88">
        <f>CowCalf!T115</f>
        <v>2608.3666671749997</v>
      </c>
      <c r="P70" s="88">
        <f>CowCalf!U115</f>
        <v>2686.61766719025</v>
      </c>
      <c r="Q70" s="88">
        <f>CowCalf!V115</f>
        <v>2767.2161972059575</v>
      </c>
      <c r="R70" s="88">
        <f>CowCalf!W115</f>
        <v>2850.232683122136</v>
      </c>
      <c r="S70" s="88">
        <f>CowCalf!X115</f>
        <v>2935.7396636158005</v>
      </c>
      <c r="T70" s="88">
        <f>CowCalf!Y115</f>
        <v>3023.8118535242743</v>
      </c>
      <c r="U70" s="88">
        <f>CowCalf!Z115</f>
        <v>3114.526209130003</v>
      </c>
      <c r="V70" s="88">
        <f>CowCalf!AA115</f>
        <v>3207.961995403903</v>
      </c>
      <c r="W70" s="88">
        <f>CowCalf!AB115</f>
        <v>3304.20085526602</v>
      </c>
      <c r="X70" s="88">
        <f>CowCalf!AC115</f>
        <v>3403.3268809240003</v>
      </c>
      <c r="Y70" s="88">
        <f>CowCalf!AD115</f>
        <v>3505.4266873517204</v>
      </c>
      <c r="Z70" s="36"/>
      <c r="AA70" s="36"/>
      <c r="AB70" s="36"/>
    </row>
    <row r="71" spans="1:28" ht="12.75">
      <c r="A71" s="36"/>
      <c r="B71" s="36"/>
      <c r="C71" s="190"/>
      <c r="D71" s="191" t="str">
        <f>CowCalf!M116</f>
        <v>Repairs</v>
      </c>
      <c r="E71" s="39"/>
      <c r="F71" s="39"/>
      <c r="G71" s="39"/>
      <c r="H71" s="39"/>
      <c r="I71" s="39"/>
      <c r="J71" s="88">
        <f>CowCalf!O116</f>
        <v>2000</v>
      </c>
      <c r="K71" s="88">
        <f>CowCalf!P116</f>
        <v>2049.7000000000003</v>
      </c>
      <c r="L71" s="88">
        <f>CowCalf!Q116</f>
        <v>2121.7999999999997</v>
      </c>
      <c r="M71" s="88">
        <f>CowCalf!R116</f>
        <v>2185.454</v>
      </c>
      <c r="N71" s="88">
        <f>CowCalf!S116</f>
        <v>2251.0176199999996</v>
      </c>
      <c r="O71" s="88">
        <f>CowCalf!T116</f>
        <v>2318.5481486</v>
      </c>
      <c r="P71" s="88">
        <f>CowCalf!U116</f>
        <v>2388.104593058</v>
      </c>
      <c r="Q71" s="88">
        <f>CowCalf!V116</f>
        <v>2459.74773084974</v>
      </c>
      <c r="R71" s="88">
        <f>CowCalf!W116</f>
        <v>2533.540162775232</v>
      </c>
      <c r="S71" s="88">
        <f>CowCalf!X116</f>
        <v>2609.5463676584895</v>
      </c>
      <c r="T71" s="88">
        <f>CowCalf!Y116</f>
        <v>2687.832758688244</v>
      </c>
      <c r="U71" s="88">
        <f>CowCalf!Z116</f>
        <v>2768.4677414488915</v>
      </c>
      <c r="V71" s="88">
        <f>CowCalf!AA116</f>
        <v>2851.5217736923582</v>
      </c>
      <c r="W71" s="88">
        <f>CowCalf!AB116</f>
        <v>2937.0674269031288</v>
      </c>
      <c r="X71" s="88">
        <f>CowCalf!AC116</f>
        <v>3025.1794497102223</v>
      </c>
      <c r="Y71" s="88">
        <f>CowCalf!AD116</f>
        <v>3115.9348332015293</v>
      </c>
      <c r="Z71" s="36"/>
      <c r="AA71" s="36"/>
      <c r="AB71" s="36"/>
    </row>
    <row r="72" spans="1:28" ht="12.75">
      <c r="A72" s="36"/>
      <c r="B72" s="36"/>
      <c r="C72" s="189" t="str">
        <f>CowCalf!L117</f>
        <v>Repairs and Maintenance:</v>
      </c>
      <c r="D72" s="191" t="str">
        <f>CowCalf!M117</f>
        <v>Fences</v>
      </c>
      <c r="E72" s="39"/>
      <c r="F72" s="39"/>
      <c r="G72" s="39"/>
      <c r="H72" s="39"/>
      <c r="I72" s="39"/>
      <c r="J72" s="88">
        <f>CowCalf!O117</f>
        <v>1000</v>
      </c>
      <c r="K72" s="88">
        <f>CowCalf!P117</f>
        <v>1024.8500000000001</v>
      </c>
      <c r="L72" s="88">
        <f>CowCalf!Q117</f>
        <v>1060.8999999999999</v>
      </c>
      <c r="M72" s="88">
        <f>CowCalf!R117</f>
        <v>1092.727</v>
      </c>
      <c r="N72" s="88">
        <f>CowCalf!S117</f>
        <v>1125.5088099999998</v>
      </c>
      <c r="O72" s="88">
        <f>CowCalf!T117</f>
        <v>1159.2740743</v>
      </c>
      <c r="P72" s="88">
        <f>CowCalf!U117</f>
        <v>1194.052296529</v>
      </c>
      <c r="Q72" s="88">
        <f>CowCalf!V117</f>
        <v>1229.87386542487</v>
      </c>
      <c r="R72" s="88">
        <f>CowCalf!W117</f>
        <v>1266.770081387616</v>
      </c>
      <c r="S72" s="88">
        <f>CowCalf!X117</f>
        <v>1304.7731838292448</v>
      </c>
      <c r="T72" s="88">
        <f>CowCalf!Y117</f>
        <v>1343.916379344122</v>
      </c>
      <c r="U72" s="88">
        <f>CowCalf!Z117</f>
        <v>1384.2338707244458</v>
      </c>
      <c r="V72" s="88">
        <f>CowCalf!AA117</f>
        <v>1425.7608868461791</v>
      </c>
      <c r="W72" s="88">
        <f>CowCalf!AB117</f>
        <v>1468.5337134515644</v>
      </c>
      <c r="X72" s="88">
        <f>CowCalf!AC117</f>
        <v>1512.5897248551112</v>
      </c>
      <c r="Y72" s="88">
        <f>CowCalf!AD117</f>
        <v>1557.9674166007646</v>
      </c>
      <c r="Z72" s="36"/>
      <c r="AA72" s="36"/>
      <c r="AB72" s="36"/>
    </row>
    <row r="73" spans="1:28" ht="12.75">
      <c r="A73" s="36"/>
      <c r="B73" s="36"/>
      <c r="C73" s="186"/>
      <c r="D73" s="191" t="str">
        <f>CowCalf!M118</f>
        <v>Corrals</v>
      </c>
      <c r="E73" s="39"/>
      <c r="F73" s="39"/>
      <c r="G73" s="39"/>
      <c r="H73" s="39"/>
      <c r="I73" s="39"/>
      <c r="J73" s="88">
        <f>CowCalf!O118</f>
        <v>500</v>
      </c>
      <c r="K73" s="88">
        <f>CowCalf!P118</f>
        <v>512.4250000000001</v>
      </c>
      <c r="L73" s="88">
        <f>CowCalf!Q118</f>
        <v>530.4499999999999</v>
      </c>
      <c r="M73" s="88">
        <f>CowCalf!R118</f>
        <v>546.3635</v>
      </c>
      <c r="N73" s="88">
        <f>CowCalf!S118</f>
        <v>562.7544049999999</v>
      </c>
      <c r="O73" s="88">
        <f>CowCalf!T118</f>
        <v>579.63703715</v>
      </c>
      <c r="P73" s="88">
        <f>CowCalf!U118</f>
        <v>597.0261482645</v>
      </c>
      <c r="Q73" s="88">
        <f>CowCalf!V118</f>
        <v>614.936932712435</v>
      </c>
      <c r="R73" s="88">
        <f>CowCalf!W118</f>
        <v>633.385040693808</v>
      </c>
      <c r="S73" s="88">
        <f>CowCalf!X118</f>
        <v>652.3865919146224</v>
      </c>
      <c r="T73" s="88">
        <f>CowCalf!Y118</f>
        <v>671.958189672061</v>
      </c>
      <c r="U73" s="88">
        <f>CowCalf!Z118</f>
        <v>692.1169353622229</v>
      </c>
      <c r="V73" s="88">
        <f>CowCalf!AA118</f>
        <v>712.8804434230896</v>
      </c>
      <c r="W73" s="88">
        <f>CowCalf!AB118</f>
        <v>734.2668567257822</v>
      </c>
      <c r="X73" s="88">
        <f>CowCalf!AC118</f>
        <v>756.2948624275556</v>
      </c>
      <c r="Y73" s="88">
        <f>CowCalf!AD118</f>
        <v>778.9837083003823</v>
      </c>
      <c r="Z73" s="36"/>
      <c r="AA73" s="36"/>
      <c r="AB73" s="36"/>
    </row>
    <row r="74" spans="1:28" ht="12.75">
      <c r="A74" s="36"/>
      <c r="B74" s="36"/>
      <c r="C74" s="186"/>
      <c r="D74" s="191" t="str">
        <f>CowCalf!M119</f>
        <v>Buildings</v>
      </c>
      <c r="E74" s="39"/>
      <c r="F74" s="39"/>
      <c r="G74" s="39"/>
      <c r="H74" s="39"/>
      <c r="I74" s="39"/>
      <c r="J74" s="88">
        <f>CowCalf!O119</f>
        <v>300</v>
      </c>
      <c r="K74" s="88">
        <f>CowCalf!P119</f>
        <v>307.455</v>
      </c>
      <c r="L74" s="88">
        <f>CowCalf!Q119</f>
        <v>318.27</v>
      </c>
      <c r="M74" s="88">
        <f>CowCalf!R119</f>
        <v>327.8181</v>
      </c>
      <c r="N74" s="88">
        <f>CowCalf!S119</f>
        <v>337.65264299999996</v>
      </c>
      <c r="O74" s="88">
        <f>CowCalf!T119</f>
        <v>347.78222228999994</v>
      </c>
      <c r="P74" s="88">
        <f>CowCalf!U119</f>
        <v>358.21568895869996</v>
      </c>
      <c r="Q74" s="88">
        <f>CowCalf!V119</f>
        <v>368.962159627461</v>
      </c>
      <c r="R74" s="88">
        <f>CowCalf!W119</f>
        <v>380.0310244162848</v>
      </c>
      <c r="S74" s="88">
        <f>CowCalf!X119</f>
        <v>391.4319551487734</v>
      </c>
      <c r="T74" s="88">
        <f>CowCalf!Y119</f>
        <v>403.1749138032366</v>
      </c>
      <c r="U74" s="88">
        <f>CowCalf!Z119</f>
        <v>415.27016121733374</v>
      </c>
      <c r="V74" s="88">
        <f>CowCalf!AA119</f>
        <v>427.7282660538537</v>
      </c>
      <c r="W74" s="88">
        <f>CowCalf!AB119</f>
        <v>440.5601140354693</v>
      </c>
      <c r="X74" s="88">
        <f>CowCalf!AC119</f>
        <v>453.7769174565334</v>
      </c>
      <c r="Y74" s="88">
        <f>CowCalf!AD119</f>
        <v>467.3902249802294</v>
      </c>
      <c r="Z74" s="36"/>
      <c r="AA74" s="36"/>
      <c r="AB74" s="36"/>
    </row>
    <row r="75" spans="1:28" ht="12.75">
      <c r="A75" s="36"/>
      <c r="B75" s="36"/>
      <c r="C75" s="188"/>
      <c r="D75" s="191" t="str">
        <f>CowCalf!M120</f>
        <v>Water Facilities</v>
      </c>
      <c r="E75" s="39"/>
      <c r="F75" s="39"/>
      <c r="G75" s="39"/>
      <c r="H75" s="39"/>
      <c r="I75" s="39"/>
      <c r="J75" s="88">
        <f>CowCalf!O120</f>
        <v>700</v>
      </c>
      <c r="K75" s="88">
        <f>CowCalf!P120</f>
        <v>717.395</v>
      </c>
      <c r="L75" s="88">
        <f>CowCalf!Q120</f>
        <v>742.63</v>
      </c>
      <c r="M75" s="88">
        <f>CowCalf!R120</f>
        <v>764.9089</v>
      </c>
      <c r="N75" s="88">
        <f>CowCalf!S120</f>
        <v>787.8561669999999</v>
      </c>
      <c r="O75" s="88">
        <f>CowCalf!T120</f>
        <v>811.4918520099999</v>
      </c>
      <c r="P75" s="88">
        <f>CowCalf!U120</f>
        <v>835.8366075703</v>
      </c>
      <c r="Q75" s="88">
        <f>CowCalf!V120</f>
        <v>860.911705797409</v>
      </c>
      <c r="R75" s="88">
        <f>CowCalf!W120</f>
        <v>886.7390569713313</v>
      </c>
      <c r="S75" s="88">
        <f>CowCalf!X120</f>
        <v>913.3412286804713</v>
      </c>
      <c r="T75" s="88">
        <f>CowCalf!Y120</f>
        <v>940.7414655408854</v>
      </c>
      <c r="U75" s="88">
        <f>CowCalf!Z120</f>
        <v>968.963709507112</v>
      </c>
      <c r="V75" s="88">
        <f>CowCalf!AA120</f>
        <v>998.0326207923254</v>
      </c>
      <c r="W75" s="88">
        <f>CowCalf!AB120</f>
        <v>1027.973599416095</v>
      </c>
      <c r="X75" s="88">
        <f>CowCalf!AC120</f>
        <v>1058.812807398578</v>
      </c>
      <c r="Y75" s="88">
        <f>CowCalf!AD120</f>
        <v>1090.5771916205354</v>
      </c>
      <c r="Z75" s="36"/>
      <c r="AA75" s="36"/>
      <c r="AB75" s="36"/>
    </row>
    <row r="76" spans="1:28" ht="12.75">
      <c r="A76" s="36"/>
      <c r="B76" s="36"/>
      <c r="C76" s="189" t="str">
        <f>CowCalf!L121</f>
        <v>Livestock Hauling (Not Related to Marketing)</v>
      </c>
      <c r="D76" s="40"/>
      <c r="E76" s="40"/>
      <c r="F76" s="40"/>
      <c r="G76" s="40"/>
      <c r="H76" s="40"/>
      <c r="I76" s="40"/>
      <c r="J76" s="88">
        <f>CowCalf!O121</f>
        <v>0</v>
      </c>
      <c r="K76" s="88">
        <f>CowCalf!P121</f>
        <v>0</v>
      </c>
      <c r="L76" s="88">
        <f>CowCalf!Q121</f>
        <v>0</v>
      </c>
      <c r="M76" s="88">
        <f>CowCalf!R121</f>
        <v>0</v>
      </c>
      <c r="N76" s="88">
        <f>CowCalf!S121</f>
        <v>0</v>
      </c>
      <c r="O76" s="88">
        <f>CowCalf!T121</f>
        <v>0</v>
      </c>
      <c r="P76" s="88">
        <f>CowCalf!U121</f>
        <v>0</v>
      </c>
      <c r="Q76" s="88">
        <f>CowCalf!V121</f>
        <v>0</v>
      </c>
      <c r="R76" s="88">
        <f>CowCalf!W121</f>
        <v>0</v>
      </c>
      <c r="S76" s="88">
        <f>CowCalf!X121</f>
        <v>0</v>
      </c>
      <c r="T76" s="88">
        <f>CowCalf!Y121</f>
        <v>0</v>
      </c>
      <c r="U76" s="88">
        <f>CowCalf!Z121</f>
        <v>0</v>
      </c>
      <c r="V76" s="88">
        <f>CowCalf!AA121</f>
        <v>0</v>
      </c>
      <c r="W76" s="88">
        <f>CowCalf!AB121</f>
        <v>0</v>
      </c>
      <c r="X76" s="88">
        <f>CowCalf!AC121</f>
        <v>0</v>
      </c>
      <c r="Y76" s="88">
        <f>CowCalf!AD121</f>
        <v>0</v>
      </c>
      <c r="Z76" s="36"/>
      <c r="AA76" s="36"/>
      <c r="AB76" s="36"/>
    </row>
    <row r="77" spans="1:28" ht="12.75">
      <c r="A77" s="36"/>
      <c r="B77" s="36"/>
      <c r="C77" s="189" t="str">
        <f>CowCalf!L122</f>
        <v>Dues, Subscriptions, Legal, Check Off, etc.</v>
      </c>
      <c r="D77" s="40"/>
      <c r="E77" s="40"/>
      <c r="F77" s="40"/>
      <c r="G77" s="40"/>
      <c r="H77" s="40"/>
      <c r="I77" s="40"/>
      <c r="J77" s="88">
        <f>CowCalf!O122</f>
        <v>450</v>
      </c>
      <c r="K77" s="88">
        <f>CowCalf!P122</f>
        <v>461.1825</v>
      </c>
      <c r="L77" s="88">
        <f>CowCalf!Q122</f>
        <v>477.405</v>
      </c>
      <c r="M77" s="88">
        <f>CowCalf!R122</f>
        <v>491.72715</v>
      </c>
      <c r="N77" s="88">
        <f>CowCalf!S122</f>
        <v>506.47896449999996</v>
      </c>
      <c r="O77" s="88">
        <f>CowCalf!T122</f>
        <v>521.6733334349999</v>
      </c>
      <c r="P77" s="88">
        <f>CowCalf!U122</f>
        <v>537.3235334380499</v>
      </c>
      <c r="Q77" s="88">
        <f>CowCalf!V122</f>
        <v>553.4432394411915</v>
      </c>
      <c r="R77" s="88">
        <f>CowCalf!W122</f>
        <v>570.0465366244273</v>
      </c>
      <c r="S77" s="88">
        <f>CowCalf!X122</f>
        <v>587.1479327231601</v>
      </c>
      <c r="T77" s="88">
        <f>CowCalf!Y122</f>
        <v>604.7623707048549</v>
      </c>
      <c r="U77" s="88">
        <f>CowCalf!Z122</f>
        <v>622.9052418260005</v>
      </c>
      <c r="V77" s="88">
        <f>CowCalf!AA122</f>
        <v>641.5923990807806</v>
      </c>
      <c r="W77" s="88">
        <f>CowCalf!AB122</f>
        <v>660.840171053204</v>
      </c>
      <c r="X77" s="88">
        <f>CowCalf!AC122</f>
        <v>680.6653761848</v>
      </c>
      <c r="Y77" s="88">
        <f>CowCalf!AD122</f>
        <v>701.0853374703441</v>
      </c>
      <c r="Z77" s="36"/>
      <c r="AA77" s="36"/>
      <c r="AB77" s="36"/>
    </row>
    <row r="78" spans="1:28" ht="12.75">
      <c r="A78" s="36"/>
      <c r="B78" s="36"/>
      <c r="C78" s="189" t="str">
        <f>CowCalf!L123</f>
        <v>Hired Labor</v>
      </c>
      <c r="D78" s="40"/>
      <c r="E78" s="40"/>
      <c r="F78" s="40"/>
      <c r="G78" s="40"/>
      <c r="H78" s="40"/>
      <c r="I78" s="40"/>
      <c r="J78" s="88">
        <f>CowCalf!O123</f>
        <v>0</v>
      </c>
      <c r="K78" s="88">
        <f>CowCalf!P123</f>
        <v>0</v>
      </c>
      <c r="L78" s="88">
        <f>CowCalf!Q123</f>
        <v>0</v>
      </c>
      <c r="M78" s="88">
        <f>CowCalf!R123</f>
        <v>0</v>
      </c>
      <c r="N78" s="88">
        <f>CowCalf!S123</f>
        <v>0</v>
      </c>
      <c r="O78" s="88">
        <f>CowCalf!T123</f>
        <v>0</v>
      </c>
      <c r="P78" s="88">
        <f>CowCalf!U123</f>
        <v>0</v>
      </c>
      <c r="Q78" s="88">
        <f>CowCalf!V123</f>
        <v>0</v>
      </c>
      <c r="R78" s="88">
        <f>CowCalf!W123</f>
        <v>0</v>
      </c>
      <c r="S78" s="88">
        <f>CowCalf!X123</f>
        <v>0</v>
      </c>
      <c r="T78" s="88">
        <f>CowCalf!Y123</f>
        <v>0</v>
      </c>
      <c r="U78" s="88">
        <f>CowCalf!Z123</f>
        <v>0</v>
      </c>
      <c r="V78" s="88">
        <f>CowCalf!AA123</f>
        <v>0</v>
      </c>
      <c r="W78" s="88">
        <f>CowCalf!AB123</f>
        <v>0</v>
      </c>
      <c r="X78" s="88">
        <f>CowCalf!AC123</f>
        <v>0</v>
      </c>
      <c r="Y78" s="88">
        <f>CowCalf!AD123</f>
        <v>0</v>
      </c>
      <c r="Z78" s="36"/>
      <c r="AA78" s="36"/>
      <c r="AB78" s="36"/>
    </row>
    <row r="79" spans="1:28" ht="12.75">
      <c r="A79" s="36"/>
      <c r="B79" s="36"/>
      <c r="C79" s="189" t="str">
        <f>CowCalf!L124</f>
        <v>Utilities</v>
      </c>
      <c r="D79" s="191"/>
      <c r="E79" s="191"/>
      <c r="F79" s="191"/>
      <c r="G79" s="191"/>
      <c r="H79" s="191"/>
      <c r="I79" s="191"/>
      <c r="J79" s="88">
        <f>CowCalf!O124</f>
        <v>1450</v>
      </c>
      <c r="K79" s="88">
        <f>CowCalf!P124</f>
        <v>1486.0325</v>
      </c>
      <c r="L79" s="88">
        <f>CowCalf!Q124</f>
        <v>1538.3049999999998</v>
      </c>
      <c r="M79" s="88">
        <f>CowCalf!R124</f>
        <v>1584.45415</v>
      </c>
      <c r="N79" s="88">
        <f>CowCalf!S124</f>
        <v>1631.9877745</v>
      </c>
      <c r="O79" s="88">
        <f>CowCalf!T124</f>
        <v>1680.9474077349998</v>
      </c>
      <c r="P79" s="88">
        <f>CowCalf!U124</f>
        <v>1731.3758299670499</v>
      </c>
      <c r="Q79" s="88">
        <f>CowCalf!V124</f>
        <v>1783.3171048660615</v>
      </c>
      <c r="R79" s="88">
        <f>CowCalf!W124</f>
        <v>1836.8166180120434</v>
      </c>
      <c r="S79" s="88">
        <f>CowCalf!X124</f>
        <v>1891.9211165524048</v>
      </c>
      <c r="T79" s="88">
        <f>CowCalf!Y124</f>
        <v>1948.678750048977</v>
      </c>
      <c r="U79" s="88">
        <f>CowCalf!Z124</f>
        <v>2007.1391125504463</v>
      </c>
      <c r="V79" s="88">
        <f>CowCalf!AA124</f>
        <v>2067.35328592696</v>
      </c>
      <c r="W79" s="88">
        <f>CowCalf!AB124</f>
        <v>2129.3738845047683</v>
      </c>
      <c r="X79" s="88">
        <f>CowCalf!AC124</f>
        <v>2193.255101039911</v>
      </c>
      <c r="Y79" s="88">
        <f>CowCalf!AD124</f>
        <v>2259.0527540711087</v>
      </c>
      <c r="Z79" s="36"/>
      <c r="AA79" s="36"/>
      <c r="AB79" s="36"/>
    </row>
    <row r="80" spans="1:28" ht="12.75">
      <c r="A80" s="36"/>
      <c r="B80" s="36"/>
      <c r="C80" s="189" t="str">
        <f>CowCalf!L125</f>
        <v>Supplies</v>
      </c>
      <c r="D80" s="191"/>
      <c r="E80" s="191"/>
      <c r="F80" s="191"/>
      <c r="G80" s="191"/>
      <c r="H80" s="191"/>
      <c r="I80" s="191"/>
      <c r="J80" s="88">
        <f>CowCalf!O125</f>
        <v>500</v>
      </c>
      <c r="K80" s="88">
        <f>CowCalf!P125</f>
        <v>512.4250000000001</v>
      </c>
      <c r="L80" s="88">
        <f>CowCalf!Q125</f>
        <v>530.4499999999999</v>
      </c>
      <c r="M80" s="88">
        <f>CowCalf!R125</f>
        <v>546.3635</v>
      </c>
      <c r="N80" s="88">
        <f>CowCalf!S125</f>
        <v>562.7544049999999</v>
      </c>
      <c r="O80" s="88">
        <f>CowCalf!T125</f>
        <v>579.63703715</v>
      </c>
      <c r="P80" s="88">
        <f>CowCalf!U125</f>
        <v>597.0261482645</v>
      </c>
      <c r="Q80" s="88">
        <f>CowCalf!V125</f>
        <v>614.936932712435</v>
      </c>
      <c r="R80" s="88">
        <f>CowCalf!W125</f>
        <v>633.385040693808</v>
      </c>
      <c r="S80" s="88">
        <f>CowCalf!X125</f>
        <v>652.3865919146224</v>
      </c>
      <c r="T80" s="88">
        <f>CowCalf!Y125</f>
        <v>671.958189672061</v>
      </c>
      <c r="U80" s="88">
        <f>CowCalf!Z125</f>
        <v>692.1169353622229</v>
      </c>
      <c r="V80" s="88">
        <f>CowCalf!AA125</f>
        <v>712.8804434230896</v>
      </c>
      <c r="W80" s="88">
        <f>CowCalf!AB125</f>
        <v>734.2668567257822</v>
      </c>
      <c r="X80" s="88">
        <f>CowCalf!AC125</f>
        <v>756.2948624275556</v>
      </c>
      <c r="Y80" s="88">
        <f>CowCalf!AD125</f>
        <v>778.9837083003823</v>
      </c>
      <c r="Z80" s="36"/>
      <c r="AA80" s="36"/>
      <c r="AB80" s="36"/>
    </row>
    <row r="81" spans="1:28" ht="12.75">
      <c r="A81" s="36"/>
      <c r="B81" s="36"/>
      <c r="C81" s="553" t="str">
        <f>CowCalf!L126</f>
        <v>Other</v>
      </c>
      <c r="D81" s="553">
        <f>CowCalf!M126</f>
        <v>0</v>
      </c>
      <c r="E81" s="553">
        <f>CowCalf!N126</f>
        <v>0</v>
      </c>
      <c r="F81" s="451"/>
      <c r="G81" s="451"/>
      <c r="H81" s="451"/>
      <c r="I81" s="451"/>
      <c r="J81" s="88">
        <f>CowCalf!O126</f>
        <v>0</v>
      </c>
      <c r="K81" s="88">
        <f>CowCalf!P126</f>
        <v>0</v>
      </c>
      <c r="L81" s="88">
        <f>CowCalf!Q126</f>
        <v>0</v>
      </c>
      <c r="M81" s="88">
        <f>CowCalf!R126</f>
        <v>0</v>
      </c>
      <c r="N81" s="88">
        <f>CowCalf!S126</f>
        <v>0</v>
      </c>
      <c r="O81" s="88">
        <f>CowCalf!T126</f>
        <v>0</v>
      </c>
      <c r="P81" s="88">
        <f>CowCalf!U126</f>
        <v>0</v>
      </c>
      <c r="Q81" s="88">
        <f>CowCalf!V126</f>
        <v>0</v>
      </c>
      <c r="R81" s="88">
        <f>CowCalf!W126</f>
        <v>0</v>
      </c>
      <c r="S81" s="88">
        <f>CowCalf!X126</f>
        <v>0</v>
      </c>
      <c r="T81" s="88">
        <f>CowCalf!Y126</f>
        <v>0</v>
      </c>
      <c r="U81" s="88">
        <f>CowCalf!Z126</f>
        <v>0</v>
      </c>
      <c r="V81" s="88">
        <f>CowCalf!AA126</f>
        <v>0</v>
      </c>
      <c r="W81" s="88">
        <f>CowCalf!AB126</f>
        <v>0</v>
      </c>
      <c r="X81" s="88">
        <f>CowCalf!AC126</f>
        <v>0</v>
      </c>
      <c r="Y81" s="88">
        <f>CowCalf!AD126</f>
        <v>0</v>
      </c>
      <c r="Z81" s="36"/>
      <c r="AA81" s="36"/>
      <c r="AB81" s="36"/>
    </row>
    <row r="82" spans="1:28" ht="12.75">
      <c r="A82" s="36"/>
      <c r="B82" s="36"/>
      <c r="C82" s="553" t="str">
        <f>CowCalf!L127</f>
        <v>Other</v>
      </c>
      <c r="D82" s="553">
        <f>CowCalf!M127</f>
        <v>0</v>
      </c>
      <c r="E82" s="553">
        <f>CowCalf!N127</f>
        <v>0</v>
      </c>
      <c r="F82" s="451"/>
      <c r="G82" s="451"/>
      <c r="H82" s="451"/>
      <c r="I82" s="451"/>
      <c r="J82" s="88">
        <f>CowCalf!O127</f>
        <v>0</v>
      </c>
      <c r="K82" s="88">
        <f>CowCalf!P127</f>
        <v>0</v>
      </c>
      <c r="L82" s="88">
        <f>CowCalf!Q127</f>
        <v>0</v>
      </c>
      <c r="M82" s="88">
        <f>CowCalf!R127</f>
        <v>0</v>
      </c>
      <c r="N82" s="88">
        <f>CowCalf!S127</f>
        <v>0</v>
      </c>
      <c r="O82" s="88">
        <f>CowCalf!T127</f>
        <v>0</v>
      </c>
      <c r="P82" s="88">
        <f>CowCalf!U127</f>
        <v>0</v>
      </c>
      <c r="Q82" s="88">
        <f>CowCalf!V127</f>
        <v>0</v>
      </c>
      <c r="R82" s="88">
        <f>CowCalf!W127</f>
        <v>0</v>
      </c>
      <c r="S82" s="88">
        <f>CowCalf!X127</f>
        <v>0</v>
      </c>
      <c r="T82" s="88">
        <f>CowCalf!Y127</f>
        <v>0</v>
      </c>
      <c r="U82" s="88">
        <f>CowCalf!Z127</f>
        <v>0</v>
      </c>
      <c r="V82" s="88">
        <f>CowCalf!AA127</f>
        <v>0</v>
      </c>
      <c r="W82" s="88">
        <f>CowCalf!AB127</f>
        <v>0</v>
      </c>
      <c r="X82" s="88">
        <f>CowCalf!AC127</f>
        <v>0</v>
      </c>
      <c r="Y82" s="88">
        <f>CowCalf!AD127</f>
        <v>0</v>
      </c>
      <c r="Z82" s="36"/>
      <c r="AA82" s="36"/>
      <c r="AB82" s="36"/>
    </row>
    <row r="83" spans="1:28" ht="12.75">
      <c r="A83" s="36"/>
      <c r="B83" s="36"/>
      <c r="C83" s="553" t="str">
        <f>CowCalf!L128</f>
        <v>Other</v>
      </c>
      <c r="D83" s="553">
        <f>CowCalf!M128</f>
        <v>0</v>
      </c>
      <c r="E83" s="553">
        <f>CowCalf!N128</f>
        <v>0</v>
      </c>
      <c r="F83" s="451"/>
      <c r="G83" s="451"/>
      <c r="H83" s="451"/>
      <c r="I83" s="451"/>
      <c r="J83" s="88">
        <f>CowCalf!O128</f>
        <v>0</v>
      </c>
      <c r="K83" s="88">
        <f>CowCalf!P128</f>
        <v>0</v>
      </c>
      <c r="L83" s="88">
        <f>CowCalf!Q128</f>
        <v>0</v>
      </c>
      <c r="M83" s="88">
        <f>CowCalf!R128</f>
        <v>0</v>
      </c>
      <c r="N83" s="88">
        <f>CowCalf!S128</f>
        <v>0</v>
      </c>
      <c r="O83" s="88">
        <f>CowCalf!T128</f>
        <v>0</v>
      </c>
      <c r="P83" s="88">
        <f>CowCalf!U128</f>
        <v>0</v>
      </c>
      <c r="Q83" s="88">
        <f>CowCalf!V128</f>
        <v>0</v>
      </c>
      <c r="R83" s="88">
        <f>CowCalf!W128</f>
        <v>0</v>
      </c>
      <c r="S83" s="88">
        <f>CowCalf!X128</f>
        <v>0</v>
      </c>
      <c r="T83" s="88">
        <f>CowCalf!Y128</f>
        <v>0</v>
      </c>
      <c r="U83" s="88">
        <f>CowCalf!Z128</f>
        <v>0</v>
      </c>
      <c r="V83" s="88">
        <f>CowCalf!AA128</f>
        <v>0</v>
      </c>
      <c r="W83" s="88">
        <f>CowCalf!AB128</f>
        <v>0</v>
      </c>
      <c r="X83" s="88">
        <f>CowCalf!AC128</f>
        <v>0</v>
      </c>
      <c r="Y83" s="88">
        <f>CowCalf!AD128</f>
        <v>0</v>
      </c>
      <c r="Z83" s="36"/>
      <c r="AA83" s="36"/>
      <c r="AB83" s="36"/>
    </row>
    <row r="84" spans="1:28" ht="12.75">
      <c r="A84" s="36"/>
      <c r="B84" s="36"/>
      <c r="C84" s="554" t="str">
        <f>CowCalf!L129</f>
        <v>Subtotal: Care, Handling, Haying Cost</v>
      </c>
      <c r="D84" s="554">
        <f>CowCalf!M129</f>
        <v>0</v>
      </c>
      <c r="E84" s="554">
        <f>CowCalf!N129</f>
        <v>0</v>
      </c>
      <c r="F84" s="189"/>
      <c r="G84" s="189"/>
      <c r="H84" s="189"/>
      <c r="I84" s="189"/>
      <c r="J84" s="180">
        <f>CowCalf!O129</f>
        <v>13210</v>
      </c>
      <c r="K84" s="180">
        <f>CowCalf!P129</f>
        <v>13541.6675</v>
      </c>
      <c r="L84" s="180">
        <f>CowCalf!Q129</f>
        <v>14014.489000000001</v>
      </c>
      <c r="M84" s="180">
        <f>CowCalf!R129</f>
        <v>14434.92367</v>
      </c>
      <c r="N84" s="180">
        <f>CowCalf!S129</f>
        <v>14867.971380099996</v>
      </c>
      <c r="O84" s="180">
        <f>CowCalf!T129</f>
        <v>15314.010521502996</v>
      </c>
      <c r="P84" s="180">
        <f>CowCalf!U129</f>
        <v>15773.43083714809</v>
      </c>
      <c r="Q84" s="180">
        <f>CowCalf!V129</f>
        <v>16246.633762262534</v>
      </c>
      <c r="R84" s="180">
        <f>CowCalf!W129</f>
        <v>16734.032775130407</v>
      </c>
      <c r="S84" s="180">
        <f>CowCalf!X129</f>
        <v>17236.053758384325</v>
      </c>
      <c r="T84" s="180">
        <f>CowCalf!Y129</f>
        <v>17753.135371135853</v>
      </c>
      <c r="U84" s="180">
        <f>CowCalf!Z129</f>
        <v>18285.729432269927</v>
      </c>
      <c r="V84" s="180">
        <f>CowCalf!AA129</f>
        <v>18834.301315238023</v>
      </c>
      <c r="W84" s="180">
        <f>CowCalf!AB129</f>
        <v>19399.33035469517</v>
      </c>
      <c r="X84" s="180">
        <f>CowCalf!AC129</f>
        <v>19981.31026533602</v>
      </c>
      <c r="Y84" s="180">
        <f>CowCalf!AD129</f>
        <v>20580.7495732961</v>
      </c>
      <c r="Z84" s="36"/>
      <c r="AA84" s="36"/>
      <c r="AB84" s="36"/>
    </row>
    <row r="85" spans="1:28" ht="12.75">
      <c r="A85" s="36"/>
      <c r="B85" s="36"/>
      <c r="C85" s="554" t="str">
        <f>CowCalf!L137</f>
        <v>Total Interest on Operating Costs</v>
      </c>
      <c r="D85" s="554">
        <f>CowCalf!M137</f>
        <v>0</v>
      </c>
      <c r="E85" s="554">
        <f>CowCalf!N137</f>
        <v>0</v>
      </c>
      <c r="F85" s="189"/>
      <c r="G85" s="189"/>
      <c r="H85" s="189"/>
      <c r="I85" s="189"/>
      <c r="J85" s="88">
        <f>CowCalf!O137</f>
        <v>1945.216</v>
      </c>
      <c r="K85" s="88">
        <f>CowCalf!P137</f>
        <v>1993.5546176</v>
      </c>
      <c r="L85" s="88">
        <f>CowCalf!Q137</f>
        <v>2063.6796544</v>
      </c>
      <c r="M85" s="88">
        <f>CowCalf!R137</f>
        <v>2125.5900440319997</v>
      </c>
      <c r="N85" s="88">
        <f>CowCalf!S137</f>
        <v>2189.3577453529597</v>
      </c>
      <c r="O85" s="88">
        <f>CowCalf!T137</f>
        <v>2255.038477713548</v>
      </c>
      <c r="P85" s="88">
        <f>CowCalf!U137</f>
        <v>2322.689632044955</v>
      </c>
      <c r="Q85" s="88">
        <f>CowCalf!V137</f>
        <v>2392.3703210063036</v>
      </c>
      <c r="R85" s="88">
        <f>CowCalf!W137</f>
        <v>2464.141430636493</v>
      </c>
      <c r="S85" s="88">
        <f>CowCalf!X137</f>
        <v>2538.065673555588</v>
      </c>
      <c r="T85" s="88">
        <f>CowCalf!Y137</f>
        <v>2614.2076437622554</v>
      </c>
      <c r="U85" s="88">
        <f>CowCalf!Z137</f>
        <v>2692.633873075123</v>
      </c>
      <c r="V85" s="88">
        <f>CowCalf!AA137</f>
        <v>2773.412889267377</v>
      </c>
      <c r="W85" s="88">
        <f>CowCalf!AB137</f>
        <v>2856.615275945398</v>
      </c>
      <c r="X85" s="88">
        <f>CowCalf!AC137</f>
        <v>2942.31373422376</v>
      </c>
      <c r="Y85" s="88">
        <f>CowCalf!AD137</f>
        <v>3030.583146250473</v>
      </c>
      <c r="Z85" s="36"/>
      <c r="AA85" s="36"/>
      <c r="AB85" s="36"/>
    </row>
    <row r="86" spans="1:28" ht="12.75">
      <c r="A86" s="36"/>
      <c r="B86" s="36"/>
      <c r="C86" s="40" t="str">
        <f>CowCalf!L138</f>
        <v>Cash Interest on Purchased Replacements  &amp; Bulls</v>
      </c>
      <c r="D86" s="40"/>
      <c r="E86" s="40"/>
      <c r="F86" s="40"/>
      <c r="G86" s="40"/>
      <c r="H86" s="40"/>
      <c r="I86" s="40"/>
      <c r="J86" s="193"/>
      <c r="K86" s="88">
        <f>CowCalf!P138</f>
        <v>372.4617835721426</v>
      </c>
      <c r="L86" s="88">
        <f>CowCalf!Q138</f>
        <v>602.3682341196852</v>
      </c>
      <c r="M86" s="88">
        <f>CowCalf!R138</f>
        <v>700.2800336455342</v>
      </c>
      <c r="N86" s="88">
        <f>CowCalf!S138</f>
        <v>663.5429213311158</v>
      </c>
      <c r="O86" s="88">
        <f>CowCalf!T138</f>
        <v>629.4664528206763</v>
      </c>
      <c r="P86" s="88">
        <f>CowCalf!U138</f>
        <v>596.0804037629416</v>
      </c>
      <c r="Q86" s="88">
        <f>CowCalf!V138</f>
        <v>572.5487628420105</v>
      </c>
      <c r="R86" s="88">
        <f>CowCalf!W138</f>
        <v>565.5927616546452</v>
      </c>
      <c r="S86" s="88">
        <f>CowCalf!X138</f>
        <v>573.256082513746</v>
      </c>
      <c r="T86" s="88">
        <f>CowCalf!Y138</f>
        <v>590.4492699635027</v>
      </c>
      <c r="U86" s="88">
        <f>CowCalf!Z138</f>
        <v>608.241969236923</v>
      </c>
      <c r="V86" s="88">
        <f>CowCalf!AA138</f>
        <v>629.1298816733189</v>
      </c>
      <c r="W86" s="88">
        <f>CowCalf!AB138</f>
        <v>659.6782831503313</v>
      </c>
      <c r="X86" s="88">
        <f>CowCalf!AC138</f>
        <v>689.2611570344335</v>
      </c>
      <c r="Y86" s="88">
        <f>CowCalf!AD138</f>
        <v>731.9730318205854</v>
      </c>
      <c r="Z86" s="36"/>
      <c r="AA86" s="36"/>
      <c r="AB86" s="36"/>
    </row>
    <row r="87" spans="1:28" ht="12.75">
      <c r="A87" s="36"/>
      <c r="B87" s="36"/>
      <c r="C87" s="45" t="str">
        <f>CowCalf!L139</f>
        <v>Total Cash Operating Exp., Inflation Adj.</v>
      </c>
      <c r="D87" s="40"/>
      <c r="E87" s="40"/>
      <c r="F87" s="40"/>
      <c r="G87" s="40"/>
      <c r="H87" s="40"/>
      <c r="I87" s="40"/>
      <c r="J87" s="401">
        <f>CowCalf!O139</f>
        <v>50575.616</v>
      </c>
      <c r="K87" s="401">
        <f>CowCalf!P139</f>
        <v>52035.03690117214</v>
      </c>
      <c r="L87" s="401">
        <f>CowCalf!Q139</f>
        <v>54054.98298851969</v>
      </c>
      <c r="M87" s="401">
        <f>CowCalf!R139</f>
        <v>55756.47323067753</v>
      </c>
      <c r="N87" s="401">
        <f>CowCalf!S139</f>
        <v>57371.42191427407</v>
      </c>
      <c r="O87" s="401">
        <f>CowCalf!T139</f>
        <v>59038.581815551915</v>
      </c>
      <c r="P87" s="401">
        <f>CowCalf!U139</f>
        <v>60757.46922737612</v>
      </c>
      <c r="Q87" s="401">
        <f>CowCalf!V139</f>
        <v>62538.7792511636</v>
      </c>
      <c r="R87" s="401">
        <f>CowCalf!W139</f>
        <v>64390.810164625866</v>
      </c>
      <c r="S87" s="401">
        <f>CowCalf!X139</f>
        <v>66313.23000757412</v>
      </c>
      <c r="T87" s="401">
        <f>CowCalf!Y139</f>
        <v>68302.62241277569</v>
      </c>
      <c r="U87" s="401">
        <f>CowCalf!Z139</f>
        <v>70351.78030633347</v>
      </c>
      <c r="V87" s="401">
        <f>CowCalf!AA139</f>
        <v>72464.97436888276</v>
      </c>
      <c r="W87" s="401">
        <f>CowCalf!AB139</f>
        <v>74650.59810497606</v>
      </c>
      <c r="X87" s="401">
        <f>CowCalf!AC139</f>
        <v>76899.90857351491</v>
      </c>
      <c r="Y87" s="401">
        <f>CowCalf!AD139</f>
        <v>79228.9398707955</v>
      </c>
      <c r="Z87" s="36"/>
      <c r="AA87" s="36"/>
      <c r="AB87" s="36"/>
    </row>
    <row r="88" spans="1:28" ht="12.75">
      <c r="A88" s="36"/>
      <c r="B88" s="36"/>
      <c r="C88" s="45" t="str">
        <f>CowCalf!L140</f>
        <v>Total Cash Operating Costs Per Head</v>
      </c>
      <c r="D88" s="40"/>
      <c r="E88" s="40"/>
      <c r="F88" s="40"/>
      <c r="G88" s="40"/>
      <c r="H88" s="40"/>
      <c r="I88" s="40"/>
      <c r="J88" s="402">
        <f>CowCalf!O140</f>
        <v>252.87808</v>
      </c>
      <c r="K88" s="402">
        <f>CowCalf!P140</f>
        <v>261.4825974933273</v>
      </c>
      <c r="L88" s="402">
        <f>CowCalf!Q140</f>
        <v>270.27491494259846</v>
      </c>
      <c r="M88" s="402">
        <f>CowCalf!R140</f>
        <v>278.78236615338767</v>
      </c>
      <c r="N88" s="402">
        <f>CowCalf!S140</f>
        <v>286.85710957137036</v>
      </c>
      <c r="O88" s="402">
        <f>CowCalf!T140</f>
        <v>295.19290907775957</v>
      </c>
      <c r="P88" s="402">
        <f>CowCalf!U140</f>
        <v>303.7873461368806</v>
      </c>
      <c r="Q88" s="402">
        <f>CowCalf!V140</f>
        <v>312.693896255818</v>
      </c>
      <c r="R88" s="402">
        <f>CowCalf!W140</f>
        <v>321.9540508231293</v>
      </c>
      <c r="S88" s="402">
        <f>CowCalf!X140</f>
        <v>331.5661500378706</v>
      </c>
      <c r="T88" s="402">
        <f>CowCalf!Y140</f>
        <v>341.51311206387845</v>
      </c>
      <c r="U88" s="402">
        <f>CowCalf!Z140</f>
        <v>351.75890153166733</v>
      </c>
      <c r="V88" s="402">
        <f>CowCalf!AA140</f>
        <v>362.3248718444138</v>
      </c>
      <c r="W88" s="402">
        <f>CowCalf!AB140</f>
        <v>373.2529905248803</v>
      </c>
      <c r="X88" s="402">
        <f>CowCalf!AC140</f>
        <v>384.4995428675746</v>
      </c>
      <c r="Y88" s="402">
        <f>CowCalf!AD140</f>
        <v>396.1446993539775</v>
      </c>
      <c r="Z88" s="36"/>
      <c r="AA88" s="36"/>
      <c r="AB88" s="36"/>
    </row>
    <row r="89" spans="1:28" ht="12.75">
      <c r="A89" s="36"/>
      <c r="B89" s="36"/>
      <c r="C89" s="40"/>
      <c r="D89" s="40"/>
      <c r="E89" s="40"/>
      <c r="F89" s="40"/>
      <c r="G89" s="40"/>
      <c r="H89" s="40"/>
      <c r="I89" s="40"/>
      <c r="J89" s="362" t="str">
        <f>CowCalf!O142</f>
        <v>Each year of this summary uses inflation adjusted income and expense estimates.  The inflation adjustments are made based on data you entered earlier in this spreadsheet. </v>
      </c>
      <c r="K89" s="354"/>
      <c r="L89" s="354"/>
      <c r="M89" s="354"/>
      <c r="N89" s="354"/>
      <c r="O89" s="354"/>
      <c r="P89" s="354"/>
      <c r="Q89" s="354"/>
      <c r="R89" s="354"/>
      <c r="S89" s="354"/>
      <c r="T89" s="354"/>
      <c r="U89" s="354"/>
      <c r="V89" s="354"/>
      <c r="W89" s="354"/>
      <c r="X89" s="354"/>
      <c r="Y89" s="355"/>
      <c r="Z89" s="36"/>
      <c r="AA89" s="36"/>
      <c r="AB89" s="36"/>
    </row>
    <row r="90" spans="1:28" ht="12.75">
      <c r="A90" s="36"/>
      <c r="B90" s="36"/>
      <c r="C90" s="40" t="str">
        <f>CowCalf!L143</f>
        <v>Net Returns Above Cash Operating Expense</v>
      </c>
      <c r="D90" s="40"/>
      <c r="E90" s="40"/>
      <c r="F90" s="40"/>
      <c r="G90" s="40"/>
      <c r="H90" s="40"/>
      <c r="I90" s="40"/>
      <c r="J90" s="88">
        <f>CowCalf!O143</f>
        <v>81526.044</v>
      </c>
      <c r="K90" s="88">
        <f>CowCalf!P143</f>
        <v>71197.89428095202</v>
      </c>
      <c r="L90" s="88">
        <f>CowCalf!Q143</f>
        <v>61704.216078770354</v>
      </c>
      <c r="M90" s="88">
        <f>CowCalf!R143</f>
        <v>54533.78729800038</v>
      </c>
      <c r="N90" s="88">
        <f>CowCalf!S143</f>
        <v>47570.69992303012</v>
      </c>
      <c r="O90" s="88">
        <f>CowCalf!T143</f>
        <v>40127.110962896906</v>
      </c>
      <c r="P90" s="88">
        <f>CowCalf!U143</f>
        <v>33114.993881171</v>
      </c>
      <c r="Q90" s="88">
        <f>CowCalf!V143</f>
        <v>29159.286607091963</v>
      </c>
      <c r="R90" s="88">
        <f>CowCalf!W143</f>
        <v>28361.508905892282</v>
      </c>
      <c r="S90" s="88">
        <f>CowCalf!X143</f>
        <v>29052.758485011655</v>
      </c>
      <c r="T90" s="88">
        <f>CowCalf!Y143</f>
        <v>30643.434279785084</v>
      </c>
      <c r="U90" s="88">
        <f>CowCalf!Z143</f>
        <v>31153.9153311665</v>
      </c>
      <c r="V90" s="88">
        <f>CowCalf!AA143</f>
        <v>32995.48863111723</v>
      </c>
      <c r="W90" s="88">
        <f>CowCalf!AB143</f>
        <v>37401.143832523914</v>
      </c>
      <c r="X90" s="88">
        <f>CowCalf!AC143</f>
        <v>39106.60072648506</v>
      </c>
      <c r="Y90" s="88">
        <f>CowCalf!AD143</f>
        <v>46005.35994170446</v>
      </c>
      <c r="Z90" s="36"/>
      <c r="AA90" s="36"/>
      <c r="AB90" s="36"/>
    </row>
    <row r="91" spans="1:28" ht="12.75">
      <c r="A91" s="36"/>
      <c r="B91" s="36"/>
      <c r="C91" s="40" t="str">
        <f>CowCalf!L144</f>
        <v>Net Returns/Head Above Operating Expense</v>
      </c>
      <c r="D91" s="40"/>
      <c r="E91" s="40"/>
      <c r="F91" s="40"/>
      <c r="G91" s="40"/>
      <c r="H91" s="40"/>
      <c r="I91" s="40"/>
      <c r="J91" s="199">
        <f>CowCalf!O144</f>
        <v>407.63021999999995</v>
      </c>
      <c r="K91" s="199">
        <f>CowCalf!P144</f>
        <v>357.7783632208645</v>
      </c>
      <c r="L91" s="199">
        <f>CowCalf!Q144</f>
        <v>308.5210803938518</v>
      </c>
      <c r="M91" s="199">
        <f>CowCalf!R144</f>
        <v>272.6689364900019</v>
      </c>
      <c r="N91" s="199">
        <f>CowCalf!S144</f>
        <v>237.8534996151506</v>
      </c>
      <c r="O91" s="199">
        <f>CowCalf!T144</f>
        <v>200.63555481448452</v>
      </c>
      <c r="P91" s="199">
        <f>CowCalf!U144</f>
        <v>165.57496940585497</v>
      </c>
      <c r="Q91" s="199">
        <f>CowCalf!V144</f>
        <v>145.7964330354598</v>
      </c>
      <c r="R91" s="199">
        <f>CowCalf!W144</f>
        <v>141.80754452946144</v>
      </c>
      <c r="S91" s="199">
        <f>CowCalf!X144</f>
        <v>145.26379242505828</v>
      </c>
      <c r="T91" s="199">
        <f>CowCalf!Y144</f>
        <v>153.21717139892542</v>
      </c>
      <c r="U91" s="199">
        <f>CowCalf!Z144</f>
        <v>155.7695766558325</v>
      </c>
      <c r="V91" s="199">
        <f>CowCalf!AA144</f>
        <v>164.97744315558612</v>
      </c>
      <c r="W91" s="199">
        <f>CowCalf!AB144</f>
        <v>187.00571916261953</v>
      </c>
      <c r="X91" s="199">
        <f>CowCalf!AC144</f>
        <v>195.53300363242528</v>
      </c>
      <c r="Y91" s="199">
        <f>CowCalf!AD144</f>
        <v>230.02679970852233</v>
      </c>
      <c r="Z91" s="36"/>
      <c r="AA91" s="36"/>
      <c r="AB91" s="36"/>
    </row>
    <row r="92" spans="1:28" ht="12.7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row>
    <row r="93" spans="1:28" ht="12.75">
      <c r="A93" s="36"/>
      <c r="B93" s="36"/>
      <c r="C93" s="442" t="str">
        <f>CowCalf!$L$150</f>
        <v>Machinery and Equipment</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row>
    <row r="94" spans="1:28" ht="12.75">
      <c r="A94" s="36"/>
      <c r="B94" s="36"/>
      <c r="C94" s="92" t="str">
        <f>CowCalf!L163</f>
        <v>Machinery, Equipment and Vehicle Depreciation</v>
      </c>
      <c r="D94" s="92"/>
      <c r="E94" s="92"/>
      <c r="F94" s="92"/>
      <c r="G94" s="92"/>
      <c r="H94" s="92"/>
      <c r="I94" s="92"/>
      <c r="J94" s="88">
        <f>CowCalf!O163</f>
        <v>3704.9999999999995</v>
      </c>
      <c r="K94" s="88">
        <f>CowCalf!P163</f>
        <v>3704.9999999999995</v>
      </c>
      <c r="L94" s="88">
        <f>CowCalf!Q163</f>
        <v>3704.9999999999995</v>
      </c>
      <c r="M94" s="88">
        <f>CowCalf!R163</f>
        <v>3704.9999999999995</v>
      </c>
      <c r="N94" s="88">
        <f>CowCalf!S163</f>
        <v>3704.9999999999995</v>
      </c>
      <c r="O94" s="88">
        <f>CowCalf!T163</f>
        <v>3704.9999999999995</v>
      </c>
      <c r="P94" s="88">
        <f>CowCalf!U163</f>
        <v>3704.9999999999995</v>
      </c>
      <c r="Q94" s="88">
        <f>CowCalf!V163</f>
        <v>3704.9999999999995</v>
      </c>
      <c r="R94" s="88">
        <f>CowCalf!W163</f>
        <v>3704.9999999999995</v>
      </c>
      <c r="S94" s="88">
        <f>CowCalf!X163</f>
        <v>3704.9999999999995</v>
      </c>
      <c r="T94" s="88">
        <f>CowCalf!Y163</f>
        <v>3704.9999999999995</v>
      </c>
      <c r="U94" s="88">
        <f>CowCalf!Z163</f>
        <v>3704.9999999999995</v>
      </c>
      <c r="V94" s="88">
        <f>CowCalf!AA163</f>
        <v>3704.9999999999995</v>
      </c>
      <c r="W94" s="88">
        <f>CowCalf!AB163</f>
        <v>3704.9999999999995</v>
      </c>
      <c r="X94" s="88">
        <f>CowCalf!AC163</f>
        <v>3704.9999999999995</v>
      </c>
      <c r="Y94" s="88">
        <f>CowCalf!AD163</f>
        <v>3704.9999999999995</v>
      </c>
      <c r="Z94" s="36"/>
      <c r="AA94" s="36"/>
      <c r="AB94" s="36"/>
    </row>
    <row r="95" spans="1:28" ht="12.75">
      <c r="A95" s="36"/>
      <c r="B95" s="36"/>
      <c r="C95" s="462" t="str">
        <f>CowCalf!L168</f>
        <v>Interest, Personal Property Tax and Insurance</v>
      </c>
      <c r="D95" s="462"/>
      <c r="E95" s="462"/>
      <c r="F95" s="462"/>
      <c r="G95" s="462"/>
      <c r="H95" s="462"/>
      <c r="I95" s="462"/>
      <c r="J95" s="88">
        <f>CowCalf!O168</f>
        <v>1415</v>
      </c>
      <c r="K95" s="88">
        <f>CowCalf!P168</f>
        <v>1415</v>
      </c>
      <c r="L95" s="88">
        <f>CowCalf!Q168</f>
        <v>1415</v>
      </c>
      <c r="M95" s="88">
        <f>CowCalf!R168</f>
        <v>1415</v>
      </c>
      <c r="N95" s="88">
        <f>CowCalf!S168</f>
        <v>1415</v>
      </c>
      <c r="O95" s="88">
        <f>CowCalf!T168</f>
        <v>1415</v>
      </c>
      <c r="P95" s="88">
        <f>CowCalf!U168</f>
        <v>1415</v>
      </c>
      <c r="Q95" s="88">
        <f>CowCalf!V168</f>
        <v>1415</v>
      </c>
      <c r="R95" s="88">
        <f>CowCalf!W168</f>
        <v>1415</v>
      </c>
      <c r="S95" s="88">
        <f>CowCalf!X168</f>
        <v>1415</v>
      </c>
      <c r="T95" s="88">
        <f>CowCalf!Y168</f>
        <v>1415</v>
      </c>
      <c r="U95" s="88">
        <f>CowCalf!Z168</f>
        <v>1415</v>
      </c>
      <c r="V95" s="88">
        <f>CowCalf!AA168</f>
        <v>1415</v>
      </c>
      <c r="W95" s="88">
        <f>CowCalf!AB168</f>
        <v>1415</v>
      </c>
      <c r="X95" s="88">
        <f>CowCalf!AC168</f>
        <v>1415</v>
      </c>
      <c r="Y95" s="88">
        <f>CowCalf!AD168</f>
        <v>1415</v>
      </c>
      <c r="Z95" s="36"/>
      <c r="AA95" s="36"/>
      <c r="AB95" s="36"/>
    </row>
    <row r="96" spans="1:28" ht="12.75">
      <c r="A96" s="36"/>
      <c r="B96" s="36"/>
      <c r="C96" s="491" t="str">
        <f>CowCalf!$L$169</f>
        <v>Buildings and Improvements</v>
      </c>
      <c r="D96" s="134"/>
      <c r="E96" s="134"/>
      <c r="F96" s="134"/>
      <c r="G96" s="134"/>
      <c r="H96" s="36"/>
      <c r="I96" s="36"/>
      <c r="J96" s="36"/>
      <c r="K96" s="36"/>
      <c r="L96" s="36"/>
      <c r="M96" s="36"/>
      <c r="N96" s="36"/>
      <c r="O96" s="36"/>
      <c r="P96" s="36"/>
      <c r="Q96" s="36"/>
      <c r="R96" s="36"/>
      <c r="S96" s="36"/>
      <c r="T96" s="36"/>
      <c r="U96" s="36"/>
      <c r="V96" s="36"/>
      <c r="W96" s="36"/>
      <c r="X96" s="36"/>
      <c r="Y96" s="36"/>
      <c r="Z96" s="36"/>
      <c r="AA96" s="36"/>
      <c r="AB96" s="36"/>
    </row>
    <row r="97" spans="1:28" ht="12.75">
      <c r="A97" s="36"/>
      <c r="B97" s="36"/>
      <c r="C97" s="36" t="str">
        <f>CowCalf!L180</f>
        <v>Depreciation on Buildings and Improvements</v>
      </c>
      <c r="D97" s="36"/>
      <c r="E97" s="36"/>
      <c r="F97" s="36"/>
      <c r="G97" s="36"/>
      <c r="H97" s="36"/>
      <c r="I97" s="36"/>
      <c r="J97" s="88">
        <f>CowCalf!O180</f>
        <v>796.6666666666666</v>
      </c>
      <c r="K97" s="88">
        <f>CowCalf!P180</f>
        <v>796.6666666666666</v>
      </c>
      <c r="L97" s="88">
        <f>CowCalf!Q180</f>
        <v>796.6666666666666</v>
      </c>
      <c r="M97" s="88">
        <f>CowCalf!R180</f>
        <v>796.6666666666666</v>
      </c>
      <c r="N97" s="88">
        <f>CowCalf!S180</f>
        <v>796.6666666666666</v>
      </c>
      <c r="O97" s="88">
        <f>CowCalf!T180</f>
        <v>796.6666666666666</v>
      </c>
      <c r="P97" s="88">
        <f>CowCalf!U180</f>
        <v>796.6666666666666</v>
      </c>
      <c r="Q97" s="88">
        <f>CowCalf!V180</f>
        <v>796.6666666666666</v>
      </c>
      <c r="R97" s="88">
        <f>CowCalf!W180</f>
        <v>796.6666666666666</v>
      </c>
      <c r="S97" s="88">
        <f>CowCalf!X180</f>
        <v>796.6666666666666</v>
      </c>
      <c r="T97" s="88">
        <f>CowCalf!Y180</f>
        <v>796.6666666666666</v>
      </c>
      <c r="U97" s="88">
        <f>CowCalf!Z180</f>
        <v>796.6666666666666</v>
      </c>
      <c r="V97" s="88">
        <f>CowCalf!AA180</f>
        <v>796.6666666666666</v>
      </c>
      <c r="W97" s="88">
        <f>CowCalf!AB180</f>
        <v>796.6666666666666</v>
      </c>
      <c r="X97" s="88">
        <f>CowCalf!AC180</f>
        <v>796.6666666666666</v>
      </c>
      <c r="Y97" s="88">
        <f>CowCalf!AD180</f>
        <v>796.6666666666666</v>
      </c>
      <c r="Z97" s="36"/>
      <c r="AA97" s="36"/>
      <c r="AB97" s="36"/>
    </row>
    <row r="98" spans="1:28" ht="12.75">
      <c r="A98" s="36"/>
      <c r="B98" s="36"/>
      <c r="C98" s="36" t="str">
        <f>CowCalf!L185</f>
        <v>Interest, Personal Property Tax and Insurance</v>
      </c>
      <c r="D98" s="36"/>
      <c r="E98" s="36"/>
      <c r="F98" s="36"/>
      <c r="G98" s="36"/>
      <c r="H98" s="36"/>
      <c r="I98" s="36"/>
      <c r="J98" s="88">
        <f>CowCalf!O185</f>
        <v>2680</v>
      </c>
      <c r="K98" s="88">
        <f>CowCalf!P185</f>
        <v>2680</v>
      </c>
      <c r="L98" s="88">
        <f>CowCalf!Q185</f>
        <v>2680</v>
      </c>
      <c r="M98" s="88">
        <f>CowCalf!R185</f>
        <v>2680</v>
      </c>
      <c r="N98" s="88">
        <f>CowCalf!S185</f>
        <v>2680</v>
      </c>
      <c r="O98" s="88">
        <f>CowCalf!T185</f>
        <v>2680</v>
      </c>
      <c r="P98" s="88">
        <f>CowCalf!U185</f>
        <v>2680</v>
      </c>
      <c r="Q98" s="88">
        <f>CowCalf!V185</f>
        <v>2680</v>
      </c>
      <c r="R98" s="88">
        <f>CowCalf!W185</f>
        <v>2680</v>
      </c>
      <c r="S98" s="88">
        <f>CowCalf!X185</f>
        <v>2680</v>
      </c>
      <c r="T98" s="88">
        <f>CowCalf!Y185</f>
        <v>2680</v>
      </c>
      <c r="U98" s="88">
        <f>CowCalf!Z185</f>
        <v>2680</v>
      </c>
      <c r="V98" s="88">
        <f>CowCalf!AA185</f>
        <v>2680</v>
      </c>
      <c r="W98" s="88">
        <f>CowCalf!AB185</f>
        <v>2680</v>
      </c>
      <c r="X98" s="88">
        <f>CowCalf!AC185</f>
        <v>2680</v>
      </c>
      <c r="Y98" s="88">
        <f>CowCalf!AD185</f>
        <v>2680</v>
      </c>
      <c r="Z98" s="36"/>
      <c r="AA98" s="36"/>
      <c r="AB98" s="36"/>
    </row>
    <row r="99" spans="1:28" ht="12.75">
      <c r="A99" s="36"/>
      <c r="B99" s="36"/>
      <c r="C99" s="442" t="str">
        <f>CowCalf!$L$187</f>
        <v>Owned Land</v>
      </c>
      <c r="D99" s="36"/>
      <c r="E99" s="36"/>
      <c r="F99" s="36"/>
      <c r="G99" s="36"/>
      <c r="H99" s="36"/>
      <c r="I99" s="36"/>
      <c r="J99" s="88"/>
      <c r="K99" s="88"/>
      <c r="L99" s="88"/>
      <c r="M99" s="88"/>
      <c r="N99" s="88"/>
      <c r="O99" s="88"/>
      <c r="P99" s="88"/>
      <c r="Q99" s="88"/>
      <c r="R99" s="88"/>
      <c r="S99" s="88"/>
      <c r="T99" s="88"/>
      <c r="U99" s="88"/>
      <c r="V99" s="88"/>
      <c r="W99" s="88"/>
      <c r="X99" s="88"/>
      <c r="Y99" s="88"/>
      <c r="Z99" s="36"/>
      <c r="AA99" s="36"/>
      <c r="AB99" s="36"/>
    </row>
    <row r="100" spans="1:28" ht="12.75">
      <c r="A100" s="36"/>
      <c r="B100" s="36"/>
      <c r="C100" s="36" t="str">
        <f>CowCalf!L204</f>
        <v>Interest, Personal Property Tax and Insurance</v>
      </c>
      <c r="D100" s="36"/>
      <c r="E100" s="36"/>
      <c r="F100" s="36"/>
      <c r="G100" s="36"/>
      <c r="H100" s="36"/>
      <c r="I100" s="36"/>
      <c r="J100" s="88">
        <f>CowCalf!O204</f>
        <v>51050</v>
      </c>
      <c r="K100" s="88">
        <f>CowCalf!P204</f>
        <v>51050</v>
      </c>
      <c r="L100" s="88">
        <f>CowCalf!Q204</f>
        <v>51050</v>
      </c>
      <c r="M100" s="88">
        <f>CowCalf!R204</f>
        <v>51050</v>
      </c>
      <c r="N100" s="88">
        <f>CowCalf!S204</f>
        <v>51050</v>
      </c>
      <c r="O100" s="88">
        <f>CowCalf!T204</f>
        <v>51050</v>
      </c>
      <c r="P100" s="88">
        <f>CowCalf!U204</f>
        <v>51050</v>
      </c>
      <c r="Q100" s="88">
        <f>CowCalf!V204</f>
        <v>51050</v>
      </c>
      <c r="R100" s="88">
        <f>CowCalf!W204</f>
        <v>51050</v>
      </c>
      <c r="S100" s="88">
        <f>CowCalf!X204</f>
        <v>51050</v>
      </c>
      <c r="T100" s="88">
        <f>CowCalf!Y204</f>
        <v>51050</v>
      </c>
      <c r="U100" s="88">
        <f>CowCalf!Z204</f>
        <v>51050</v>
      </c>
      <c r="V100" s="88">
        <f>CowCalf!AA204</f>
        <v>51050</v>
      </c>
      <c r="W100" s="88">
        <f>CowCalf!AB204</f>
        <v>51050</v>
      </c>
      <c r="X100" s="88">
        <f>CowCalf!AC204</f>
        <v>51050</v>
      </c>
      <c r="Y100" s="88">
        <f>CowCalf!AD204</f>
        <v>51050</v>
      </c>
      <c r="Z100" s="36"/>
      <c r="AA100" s="36"/>
      <c r="AB100" s="36"/>
    </row>
    <row r="101" spans="1:28" ht="12.75">
      <c r="A101" s="36"/>
      <c r="B101" s="36"/>
      <c r="C101" s="442" t="str">
        <f>CowCalf!$L$206</f>
        <v>Livestock Breeding Herd</v>
      </c>
      <c r="D101" s="36"/>
      <c r="E101" s="36"/>
      <c r="F101" s="36"/>
      <c r="G101" s="36"/>
      <c r="H101" s="36"/>
      <c r="I101" s="36"/>
      <c r="J101" s="88"/>
      <c r="K101" s="88"/>
      <c r="L101" s="88"/>
      <c r="M101" s="88"/>
      <c r="N101" s="88"/>
      <c r="O101" s="88"/>
      <c r="P101" s="88"/>
      <c r="Q101" s="88"/>
      <c r="R101" s="88"/>
      <c r="S101" s="88"/>
      <c r="T101" s="88"/>
      <c r="U101" s="88"/>
      <c r="V101" s="88"/>
      <c r="W101" s="88"/>
      <c r="X101" s="88"/>
      <c r="Y101" s="88"/>
      <c r="Z101" s="36"/>
      <c r="AA101" s="36"/>
      <c r="AB101" s="36"/>
    </row>
    <row r="102" spans="1:28" ht="12.75">
      <c r="A102" s="36"/>
      <c r="B102" s="36"/>
      <c r="C102" s="36" t="str">
        <f>CowCalf!L212</f>
        <v>Depreciation: Purchased Livestock, Base Year</v>
      </c>
      <c r="D102" s="36"/>
      <c r="E102" s="36"/>
      <c r="F102" s="36"/>
      <c r="G102" s="36"/>
      <c r="H102" s="36"/>
      <c r="I102" s="36"/>
      <c r="J102" s="88">
        <f>CowCalf!O212</f>
        <v>693.333333333333</v>
      </c>
      <c r="K102" s="88">
        <f>CowCalf!P212</f>
        <v>693.333333333333</v>
      </c>
      <c r="L102" s="88">
        <f>CowCalf!Q212</f>
        <v>693.333333333333</v>
      </c>
      <c r="M102" s="88">
        <f>CowCalf!R212</f>
        <v>0</v>
      </c>
      <c r="N102" s="88">
        <f>CowCalf!S212</f>
        <v>0</v>
      </c>
      <c r="O102" s="88">
        <f>CowCalf!T212</f>
        <v>0</v>
      </c>
      <c r="P102" s="88">
        <f>CowCalf!U212</f>
        <v>0</v>
      </c>
      <c r="Q102" s="88">
        <f>CowCalf!V212</f>
        <v>0</v>
      </c>
      <c r="R102" s="88">
        <f>CowCalf!W212</f>
        <v>0</v>
      </c>
      <c r="S102" s="88">
        <f>CowCalf!X212</f>
        <v>0</v>
      </c>
      <c r="T102" s="88">
        <f>CowCalf!Y212</f>
        <v>0</v>
      </c>
      <c r="U102" s="88">
        <f>CowCalf!Z212</f>
        <v>0</v>
      </c>
      <c r="V102" s="88">
        <f>CowCalf!AA212</f>
        <v>0</v>
      </c>
      <c r="W102" s="88">
        <f>CowCalf!AB212</f>
        <v>0</v>
      </c>
      <c r="X102" s="88">
        <f>CowCalf!AC212</f>
        <v>0</v>
      </c>
      <c r="Y102" s="88">
        <f>CowCalf!AD212</f>
        <v>0</v>
      </c>
      <c r="Z102" s="36"/>
      <c r="AA102" s="36"/>
      <c r="AB102" s="36"/>
    </row>
    <row r="103" spans="1:28" ht="12.75">
      <c r="A103" s="36"/>
      <c r="B103" s="36"/>
      <c r="C103" s="36" t="str">
        <f>CowCalf!L213</f>
        <v>Depreciation: Purchased Bulls, Cows &amp; Hfrs in plan</v>
      </c>
      <c r="D103" s="36"/>
      <c r="E103" s="36"/>
      <c r="F103" s="36"/>
      <c r="G103" s="36"/>
      <c r="H103" s="36"/>
      <c r="I103" s="36"/>
      <c r="J103" s="88"/>
      <c r="K103" s="88">
        <f>CowCalf!P213</f>
        <v>3103.848196434521</v>
      </c>
      <c r="L103" s="88">
        <f>CowCalf!Q213</f>
        <v>4877.029948350549</v>
      </c>
      <c r="M103" s="88">
        <f>CowCalf!R213</f>
        <v>6371.46730256581</v>
      </c>
      <c r="N103" s="88">
        <f>CowCalf!S213</f>
        <v>6245.025762245918</v>
      </c>
      <c r="O103" s="88">
        <f>CowCalf!T213</f>
        <v>5921.99912529157</v>
      </c>
      <c r="P103" s="88">
        <f>CowCalf!U213</f>
        <v>5612.023450516494</v>
      </c>
      <c r="Q103" s="88">
        <f>CowCalf!V213</f>
        <v>5381.534030323226</v>
      </c>
      <c r="R103" s="88">
        <f>CowCalf!W213</f>
        <v>5287.435021659447</v>
      </c>
      <c r="S103" s="88">
        <f>CowCalf!X213</f>
        <v>5329.040778073975</v>
      </c>
      <c r="T103" s="88">
        <f>CowCalf!Y213</f>
        <v>5471.116419526824</v>
      </c>
      <c r="U103" s="88">
        <f>CowCalf!Z213</f>
        <v>5631.170255748084</v>
      </c>
      <c r="V103" s="88">
        <f>CowCalf!AA213</f>
        <v>5826.132458347218</v>
      </c>
      <c r="W103" s="88">
        <f>CowCalf!AB213</f>
        <v>6096.248954515162</v>
      </c>
      <c r="X103" s="88">
        <f>CowCalf!AC213</f>
        <v>6360.9675</v>
      </c>
      <c r="Y103" s="88">
        <f>CowCalf!AD213</f>
        <v>6754.7175</v>
      </c>
      <c r="Z103" s="36"/>
      <c r="AA103" s="36"/>
      <c r="AB103" s="36"/>
    </row>
    <row r="104" spans="1:28" ht="12.75">
      <c r="A104" s="36"/>
      <c r="B104" s="36"/>
      <c r="C104" s="36" t="str">
        <f>CowCalf!L216</f>
        <v>Interest, Personal Property Tax</v>
      </c>
      <c r="D104" s="36"/>
      <c r="E104" s="36"/>
      <c r="F104" s="36"/>
      <c r="G104" s="36"/>
      <c r="H104" s="36"/>
      <c r="I104" s="36"/>
      <c r="J104" s="88">
        <f>CowCalf!O216</f>
        <v>7000</v>
      </c>
      <c r="K104" s="88">
        <f>CowCalf!P216</f>
        <v>6545.787799900034</v>
      </c>
      <c r="L104" s="88">
        <f>CowCalf!Q216</f>
        <v>6332.286880841994</v>
      </c>
      <c r="M104" s="88">
        <f>CowCalf!R216</f>
        <v>6218.14715729082</v>
      </c>
      <c r="N104" s="88">
        <f>CowCalf!S216</f>
        <v>6237.356778768852</v>
      </c>
      <c r="O104" s="88">
        <f>CowCalf!T216</f>
        <v>6255.371934383589</v>
      </c>
      <c r="P104" s="88">
        <f>CowCalf!U216</f>
        <v>6282.160182708235</v>
      </c>
      <c r="Q104" s="88">
        <f>CowCalf!V216</f>
        <v>6308.890757317937</v>
      </c>
      <c r="R104" s="88">
        <f>CowCalf!W216</f>
        <v>6323.777448275378</v>
      </c>
      <c r="S104" s="88">
        <f>CowCalf!X216</f>
        <v>6326.977173067727</v>
      </c>
      <c r="T104" s="88">
        <f>CowCalf!Y216</f>
        <v>6317.550730036497</v>
      </c>
      <c r="U104" s="88">
        <f>CowCalf!Z216</f>
        <v>6311.758030763077</v>
      </c>
      <c r="V104" s="88">
        <f>CowCalf!AA216</f>
        <v>6310.870118326681</v>
      </c>
      <c r="W104" s="88">
        <f>CowCalf!AB216</f>
        <v>6292.3217168496685</v>
      </c>
      <c r="X104" s="88">
        <f>CowCalf!AC216</f>
        <v>6290.738842965567</v>
      </c>
      <c r="Y104" s="88">
        <f>CowCalf!AD216</f>
        <v>5868.026968179414</v>
      </c>
      <c r="Z104" s="36"/>
      <c r="AA104" s="36"/>
      <c r="AB104" s="36"/>
    </row>
    <row r="105" spans="1:28" ht="12.7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row>
    <row r="106" spans="1:28" ht="12.75">
      <c r="A106" s="36"/>
      <c r="B106" s="36"/>
      <c r="C106" s="45" t="str">
        <f>CowCalf!L218</f>
        <v>Total Ownership costs</v>
      </c>
      <c r="D106" s="40"/>
      <c r="E106" s="40"/>
      <c r="F106" s="40"/>
      <c r="G106" s="40"/>
      <c r="H106" s="40"/>
      <c r="I106" s="40"/>
      <c r="J106" s="401">
        <f>CowCalf!O218</f>
        <v>67340.00000000003</v>
      </c>
      <c r="K106" s="401">
        <f>CowCalf!P218</f>
        <v>69989.63599633455</v>
      </c>
      <c r="L106" s="401">
        <f>CowCalf!Q218</f>
        <v>71549.31682919254</v>
      </c>
      <c r="M106" s="401">
        <f>CowCalf!R218</f>
        <v>72236.28112652333</v>
      </c>
      <c r="N106" s="401">
        <f>CowCalf!S218</f>
        <v>72129.04920768144</v>
      </c>
      <c r="O106" s="401">
        <f>CowCalf!T218</f>
        <v>71824.0377263418</v>
      </c>
      <c r="P106" s="401">
        <f>CowCalf!U218</f>
        <v>71540.8502998914</v>
      </c>
      <c r="Q106" s="401">
        <f>CowCalf!V218</f>
        <v>71337.09145430784</v>
      </c>
      <c r="R106" s="401">
        <f>CowCalf!W218</f>
        <v>71257.87913660149</v>
      </c>
      <c r="S106" s="401">
        <f>CowCalf!X218</f>
        <v>71302.68461780835</v>
      </c>
      <c r="T106" s="401">
        <f>CowCalf!Y218</f>
        <v>71435.33381623</v>
      </c>
      <c r="U106" s="401">
        <f>CowCalf!Z218</f>
        <v>71589.59495317785</v>
      </c>
      <c r="V106" s="401">
        <f>CowCalf!AA218</f>
        <v>71783.66924334058</v>
      </c>
      <c r="W106" s="401">
        <f>CowCalf!AB218</f>
        <v>72035.2373380315</v>
      </c>
      <c r="X106" s="401">
        <f>CowCalf!AC218</f>
        <v>72298.37300963225</v>
      </c>
      <c r="Y106" s="401">
        <f>CowCalf!AD218</f>
        <v>72269.4111348461</v>
      </c>
      <c r="Z106" s="36"/>
      <c r="AA106" s="36"/>
      <c r="AB106" s="36"/>
    </row>
    <row r="107" spans="1:28" ht="12.75">
      <c r="A107" s="36"/>
      <c r="B107" s="36"/>
      <c r="C107" s="40" t="str">
        <f>CowCalf!L219</f>
        <v>Total Ownership Costs Per Head (or just total if no cows)</v>
      </c>
      <c r="D107" s="40"/>
      <c r="E107" s="40"/>
      <c r="F107" s="40"/>
      <c r="G107" s="40"/>
      <c r="H107" s="40"/>
      <c r="I107" s="40"/>
      <c r="J107" s="401">
        <f>CowCalf!O219</f>
        <v>336.70000000000016</v>
      </c>
      <c r="K107" s="401">
        <f>CowCalf!P219</f>
        <v>351.7067135494198</v>
      </c>
      <c r="L107" s="401">
        <f>CowCalf!Q219</f>
        <v>357.7465841459627</v>
      </c>
      <c r="M107" s="401">
        <f>CowCalf!R219</f>
        <v>361.18140563261665</v>
      </c>
      <c r="N107" s="401">
        <f>CowCalf!S219</f>
        <v>360.6452460384072</v>
      </c>
      <c r="O107" s="401">
        <f>CowCalf!T219</f>
        <v>359.120188631709</v>
      </c>
      <c r="P107" s="401">
        <f>CowCalf!U219</f>
        <v>357.70425149945703</v>
      </c>
      <c r="Q107" s="401">
        <f>CowCalf!V219</f>
        <v>356.6854572715392</v>
      </c>
      <c r="R107" s="401">
        <f>CowCalf!W219</f>
        <v>356.28939568300746</v>
      </c>
      <c r="S107" s="401">
        <f>CowCalf!X219</f>
        <v>356.51342308904174</v>
      </c>
      <c r="T107" s="401">
        <f>CowCalf!Y219</f>
        <v>357.17666908115</v>
      </c>
      <c r="U107" s="401">
        <f>CowCalf!Z219</f>
        <v>357.9479747658892</v>
      </c>
      <c r="V107" s="401">
        <f>CowCalf!AA219</f>
        <v>358.9183462167029</v>
      </c>
      <c r="W107" s="401">
        <f>CowCalf!AB219</f>
        <v>360.17618669015746</v>
      </c>
      <c r="X107" s="401">
        <f>CowCalf!AC219</f>
        <v>361.4918650481613</v>
      </c>
      <c r="Y107" s="401">
        <f>CowCalf!AD219</f>
        <v>361.3470556742305</v>
      </c>
      <c r="Z107" s="36"/>
      <c r="AA107" s="36"/>
      <c r="AB107" s="36"/>
    </row>
    <row r="108" spans="1:28" ht="12.75">
      <c r="A108" s="36"/>
      <c r="B108" s="36"/>
      <c r="C108" s="45" t="str">
        <f>CowCalf!L220</f>
        <v>Total Cost Operating + Ownership</v>
      </c>
      <c r="D108" s="40"/>
      <c r="E108" s="40"/>
      <c r="F108" s="40"/>
      <c r="G108" s="40"/>
      <c r="H108" s="40"/>
      <c r="I108" s="40"/>
      <c r="J108" s="401">
        <f>CowCalf!O220</f>
        <v>117915.61600000004</v>
      </c>
      <c r="K108" s="401">
        <f>CowCalf!P220</f>
        <v>122024.67289750668</v>
      </c>
      <c r="L108" s="401">
        <f>CowCalf!Q220</f>
        <v>125604.29981771222</v>
      </c>
      <c r="M108" s="401">
        <f>CowCalf!R220</f>
        <v>127992.75435720087</v>
      </c>
      <c r="N108" s="401">
        <f>CowCalf!S220</f>
        <v>129500.47112195552</v>
      </c>
      <c r="O108" s="401">
        <f>CowCalf!T220</f>
        <v>130862.61954189371</v>
      </c>
      <c r="P108" s="401">
        <f>CowCalf!U220</f>
        <v>132298.31952726754</v>
      </c>
      <c r="Q108" s="401">
        <f>CowCalf!V220</f>
        <v>133875.87070547143</v>
      </c>
      <c r="R108" s="401">
        <f>CowCalf!W220</f>
        <v>135648.68930122736</v>
      </c>
      <c r="S108" s="401">
        <f>CowCalf!X220</f>
        <v>137615.91462538246</v>
      </c>
      <c r="T108" s="401">
        <f>CowCalf!Y220</f>
        <v>139737.9562290057</v>
      </c>
      <c r="U108" s="401">
        <f>CowCalf!Z220</f>
        <v>141941.37525951132</v>
      </c>
      <c r="V108" s="401">
        <f>CowCalf!AA220</f>
        <v>144248.64361222333</v>
      </c>
      <c r="W108" s="401">
        <f>CowCalf!AB220</f>
        <v>146685.83544300756</v>
      </c>
      <c r="X108" s="401">
        <f>CowCalf!AC220</f>
        <v>149198.28158314718</v>
      </c>
      <c r="Y108" s="401">
        <f>CowCalf!AD220</f>
        <v>151498.3510056416</v>
      </c>
      <c r="Z108" s="36"/>
      <c r="AA108" s="36"/>
      <c r="AB108" s="36"/>
    </row>
    <row r="109" spans="1:28" ht="12.7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row>
    <row r="110" spans="1:28" ht="12.75">
      <c r="A110" s="36"/>
      <c r="B110" s="36"/>
      <c r="C110" s="40" t="str">
        <f>CowCalf!L222</f>
        <v>Net Returns Above Operating + Ownership Expenses</v>
      </c>
      <c r="D110" s="40"/>
      <c r="E110" s="40"/>
      <c r="F110" s="40"/>
      <c r="G110" s="40"/>
      <c r="H110" s="40"/>
      <c r="I110" s="40"/>
      <c r="J110" s="88">
        <f>CowCalf!O222</f>
        <v>14186.043999999965</v>
      </c>
      <c r="K110" s="88">
        <f>CowCalf!P222</f>
        <v>1208.2582846174773</v>
      </c>
      <c r="L110" s="88">
        <f>CowCalf!Q222</f>
        <v>-9845.100750422185</v>
      </c>
      <c r="M110" s="88">
        <f>CowCalf!R222</f>
        <v>-17702.49382852295</v>
      </c>
      <c r="N110" s="88">
        <f>CowCalf!S222</f>
        <v>-24558.349284651318</v>
      </c>
      <c r="O110" s="88">
        <f>CowCalf!T222</f>
        <v>-31696.9267634449</v>
      </c>
      <c r="P110" s="88">
        <f>CowCalf!U222</f>
        <v>-38425.8564187204</v>
      </c>
      <c r="Q110" s="88">
        <f>CowCalf!V222</f>
        <v>-42177.80484721588</v>
      </c>
      <c r="R110" s="88">
        <f>CowCalf!W222</f>
        <v>-42896.37023070921</v>
      </c>
      <c r="S110" s="88">
        <f>CowCalf!X222</f>
        <v>-42249.926132796696</v>
      </c>
      <c r="T110" s="88">
        <f>CowCalf!Y222</f>
        <v>-40791.89953644492</v>
      </c>
      <c r="U110" s="88">
        <f>CowCalf!Z222</f>
        <v>-40435.67962201135</v>
      </c>
      <c r="V110" s="88">
        <f>CowCalf!AA222</f>
        <v>-38788.180612223354</v>
      </c>
      <c r="W110" s="88">
        <f>CowCalf!AB222</f>
        <v>-34634.09350550758</v>
      </c>
      <c r="X110" s="88">
        <f>CowCalf!AC222</f>
        <v>-33191.77228314719</v>
      </c>
      <c r="Y110" s="88">
        <f>CowCalf!AD222</f>
        <v>-26264.05119314164</v>
      </c>
      <c r="Z110" s="36"/>
      <c r="AA110" s="36"/>
      <c r="AB110" s="36"/>
    </row>
    <row r="111" spans="1:28" ht="12.75">
      <c r="A111" s="36"/>
      <c r="B111" s="36"/>
      <c r="C111" s="40" t="str">
        <f>CowCalf!L223</f>
        <v>Net Returns/Head Above Operating + Ownership Expenses</v>
      </c>
      <c r="D111" s="40"/>
      <c r="E111" s="40"/>
      <c r="F111" s="40"/>
      <c r="G111" s="40"/>
      <c r="H111" s="40"/>
      <c r="I111" s="40"/>
      <c r="J111" s="88">
        <f>CowCalf!O223</f>
        <v>70.93021999999979</v>
      </c>
      <c r="K111" s="88">
        <f>CowCalf!P223</f>
        <v>6.071649671444675</v>
      </c>
      <c r="L111" s="88">
        <f>CowCalf!Q223</f>
        <v>-49.22550375211091</v>
      </c>
      <c r="M111" s="88">
        <f>CowCalf!R223</f>
        <v>-88.51246914261475</v>
      </c>
      <c r="N111" s="88">
        <f>CowCalf!S223</f>
        <v>-122.7917464232566</v>
      </c>
      <c r="O111" s="88">
        <f>CowCalf!T223</f>
        <v>-158.4846338172245</v>
      </c>
      <c r="P111" s="88">
        <f>CowCalf!U223</f>
        <v>-192.12928209360206</v>
      </c>
      <c r="Q111" s="88">
        <f>CowCalf!V223</f>
        <v>-210.88902423607936</v>
      </c>
      <c r="R111" s="88">
        <f>CowCalf!W223</f>
        <v>-214.48185115354602</v>
      </c>
      <c r="S111" s="88">
        <f>CowCalf!X223</f>
        <v>-211.24963066398345</v>
      </c>
      <c r="T111" s="88">
        <f>CowCalf!Y223</f>
        <v>-203.9594976822246</v>
      </c>
      <c r="U111" s="88">
        <f>CowCalf!Z223</f>
        <v>-202.17839811005672</v>
      </c>
      <c r="V111" s="88">
        <f>CowCalf!AA223</f>
        <v>-193.94090306111679</v>
      </c>
      <c r="W111" s="88">
        <f>CowCalf!AB223</f>
        <v>-173.17046752753794</v>
      </c>
      <c r="X111" s="88">
        <f>CowCalf!AC223</f>
        <v>-165.958861415736</v>
      </c>
      <c r="Y111" s="88">
        <f>CowCalf!AD223</f>
        <v>-131.32025596570816</v>
      </c>
      <c r="Z111" s="36"/>
      <c r="AA111" s="36"/>
      <c r="AB111" s="36"/>
    </row>
    <row r="112" spans="1:28" ht="12.7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row>
    <row r="113" spans="1:28" ht="12.75">
      <c r="A113" s="36"/>
      <c r="B113" s="36"/>
      <c r="C113" s="36"/>
      <c r="D113" s="36"/>
      <c r="E113" s="36"/>
      <c r="F113" s="36"/>
      <c r="G113" s="36"/>
      <c r="H113" s="36"/>
      <c r="I113" s="36"/>
      <c r="J113" s="60">
        <f>CowCalf!O225</f>
        <v>2005</v>
      </c>
      <c r="K113" s="60">
        <f>CowCalf!P225</f>
        <v>2006</v>
      </c>
      <c r="L113" s="60">
        <f>CowCalf!Q225</f>
        <v>2007</v>
      </c>
      <c r="M113" s="60">
        <f>CowCalf!R225</f>
        <v>2008</v>
      </c>
      <c r="N113" s="60">
        <f>CowCalf!S225</f>
        <v>2009</v>
      </c>
      <c r="O113" s="60">
        <f>CowCalf!T225</f>
        <v>2010</v>
      </c>
      <c r="P113" s="60">
        <f>CowCalf!U225</f>
        <v>2011</v>
      </c>
      <c r="Q113" s="60">
        <f>CowCalf!V225</f>
        <v>2012</v>
      </c>
      <c r="R113" s="60">
        <f>CowCalf!W225</f>
        <v>2013</v>
      </c>
      <c r="S113" s="60">
        <f>CowCalf!X225</f>
        <v>2014</v>
      </c>
      <c r="T113" s="60">
        <f>CowCalf!Y225</f>
        <v>2015</v>
      </c>
      <c r="U113" s="60">
        <f>CowCalf!Z225</f>
        <v>2016</v>
      </c>
      <c r="V113" s="60">
        <f>CowCalf!AA225</f>
        <v>2017</v>
      </c>
      <c r="W113" s="60">
        <f>CowCalf!AB225</f>
        <v>2018</v>
      </c>
      <c r="X113" s="60">
        <f>CowCalf!AC225</f>
        <v>2019</v>
      </c>
      <c r="Y113" s="60">
        <f>CowCalf!AD225</f>
        <v>2020</v>
      </c>
      <c r="Z113" s="36"/>
      <c r="AA113" s="36"/>
      <c r="AB113" s="36"/>
    </row>
    <row r="114" spans="1:28" ht="12.75">
      <c r="A114" s="36"/>
      <c r="B114" s="36"/>
      <c r="C114" s="36"/>
      <c r="D114" s="36"/>
      <c r="E114" s="36"/>
      <c r="F114" s="36"/>
      <c r="G114" s="36"/>
      <c r="H114" s="36"/>
      <c r="I114" s="36"/>
      <c r="J114" s="117" t="str">
        <f>CowCalf!O226</f>
        <v>Base Year = Yr 0</v>
      </c>
      <c r="K114" s="62" t="str">
        <f>CowCalf!P226</f>
        <v>Year 1</v>
      </c>
      <c r="L114" s="62" t="str">
        <f>CowCalf!Q226</f>
        <v>Year 2</v>
      </c>
      <c r="M114" s="62" t="str">
        <f>CowCalf!R226</f>
        <v>Year 3</v>
      </c>
      <c r="N114" s="62" t="str">
        <f>CowCalf!S226</f>
        <v>Year 4</v>
      </c>
      <c r="O114" s="62" t="str">
        <f>CowCalf!T226</f>
        <v>Year 5</v>
      </c>
      <c r="P114" s="62" t="str">
        <f>CowCalf!U226</f>
        <v>Year 6</v>
      </c>
      <c r="Q114" s="62" t="str">
        <f>CowCalf!V226</f>
        <v>Year 7</v>
      </c>
      <c r="R114" s="62" t="str">
        <f>CowCalf!W226</f>
        <v>Year 8</v>
      </c>
      <c r="S114" s="62" t="str">
        <f>CowCalf!X226</f>
        <v>Year 9</v>
      </c>
      <c r="T114" s="62" t="str">
        <f>CowCalf!Y226</f>
        <v>Year 10</v>
      </c>
      <c r="U114" s="62" t="str">
        <f>CowCalf!Z226</f>
        <v>Year 11</v>
      </c>
      <c r="V114" s="62" t="str">
        <f>CowCalf!AA226</f>
        <v>Year 12</v>
      </c>
      <c r="W114" s="62" t="str">
        <f>CowCalf!AB226</f>
        <v>Year 13</v>
      </c>
      <c r="X114" s="62" t="str">
        <f>CowCalf!AC226</f>
        <v>Year 14</v>
      </c>
      <c r="Y114" s="62" t="str">
        <f>CowCalf!AD226</f>
        <v>Year 15</v>
      </c>
      <c r="Z114" s="36"/>
      <c r="AA114" s="36"/>
      <c r="AB114" s="36"/>
    </row>
    <row r="115" spans="1:28" ht="12.7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row>
    <row r="116" spans="1:28" ht="12.75">
      <c r="A116" s="36"/>
      <c r="B116" s="36"/>
      <c r="C116" s="36" t="str">
        <f>CowCalf!L227</f>
        <v>Additional Cash Outflows that are not included anywhere in the analysis above.  Principal payments and cash used to by capital assets, like breeding livestock, are not considered "expenses."</v>
      </c>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row>
    <row r="117" spans="1:28" ht="12.75">
      <c r="A117" s="36"/>
      <c r="B117" s="36"/>
      <c r="C117" s="36" t="str">
        <f>CowCalf!L228</f>
        <v>Cash Principal on Purchased Replacements, if any</v>
      </c>
      <c r="D117" s="36"/>
      <c r="E117" s="36"/>
      <c r="F117" s="36"/>
      <c r="G117" s="36"/>
      <c r="H117" s="36"/>
      <c r="I117" s="36"/>
      <c r="J117" s="36"/>
      <c r="K117" s="88">
        <f>CowCalf!P228</f>
        <v>0</v>
      </c>
      <c r="L117" s="88">
        <f>CowCalf!Q228</f>
        <v>0</v>
      </c>
      <c r="M117" s="88">
        <f>CowCalf!R228</f>
        <v>0</v>
      </c>
      <c r="N117" s="88">
        <f>CowCalf!S228</f>
        <v>0</v>
      </c>
      <c r="O117" s="88">
        <f>CowCalf!T228</f>
        <v>0</v>
      </c>
      <c r="P117" s="88">
        <f>CowCalf!U228</f>
        <v>0</v>
      </c>
      <c r="Q117" s="88">
        <f>CowCalf!V228</f>
        <v>0</v>
      </c>
      <c r="R117" s="88">
        <f>CowCalf!W228</f>
        <v>0</v>
      </c>
      <c r="S117" s="88">
        <f>CowCalf!X228</f>
        <v>0</v>
      </c>
      <c r="T117" s="88">
        <f>CowCalf!Y228</f>
        <v>0</v>
      </c>
      <c r="U117" s="88">
        <f>CowCalf!Z228</f>
        <v>0</v>
      </c>
      <c r="V117" s="88">
        <f>CowCalf!AA228</f>
        <v>0</v>
      </c>
      <c r="W117" s="88">
        <f>CowCalf!AB228</f>
        <v>0</v>
      </c>
      <c r="X117" s="88">
        <f>CowCalf!AC228</f>
        <v>0</v>
      </c>
      <c r="Y117" s="88">
        <f>CowCalf!AD228</f>
        <v>0</v>
      </c>
      <c r="Z117" s="36"/>
      <c r="AA117" s="36"/>
      <c r="AB117" s="36"/>
    </row>
    <row r="118" spans="1:28" ht="12.75">
      <c r="A118" s="36"/>
      <c r="B118" s="36"/>
      <c r="C118" s="36" t="str">
        <f>CowCalf!L229</f>
        <v>Cash Principal on Purchased Bulls</v>
      </c>
      <c r="D118" s="36"/>
      <c r="E118" s="36"/>
      <c r="F118" s="36"/>
      <c r="G118" s="36"/>
      <c r="H118" s="36"/>
      <c r="I118" s="36"/>
      <c r="J118" s="36"/>
      <c r="K118" s="88">
        <f>CowCalf!P229</f>
        <v>1655.0694026125782</v>
      </c>
      <c r="L118" s="88">
        <f>CowCalf!Q229</f>
        <v>3307.347560922204</v>
      </c>
      <c r="M118" s="88">
        <f>CowCalf!R229</f>
        <v>5002.69826274846</v>
      </c>
      <c r="N118" s="88">
        <f>CowCalf!S229</f>
        <v>4718.208725662058</v>
      </c>
      <c r="O118" s="88">
        <f>CowCalf!T229</f>
        <v>4482.4833780276185</v>
      </c>
      <c r="P118" s="88">
        <f>CowCalf!U229</f>
        <v>4248.924546121358</v>
      </c>
      <c r="Q118" s="88">
        <f>CowCalf!V229</f>
        <v>4057.1146977830404</v>
      </c>
      <c r="R118" s="88">
        <f>CowCalf!W229</f>
        <v>3959.792564868083</v>
      </c>
      <c r="S118" s="88">
        <f>CowCalf!X229</f>
        <v>3976.4131930465087</v>
      </c>
      <c r="T118" s="88">
        <f>CowCalf!Y229</f>
        <v>4077.068581808281</v>
      </c>
      <c r="U118" s="88">
        <f>CowCalf!Z229</f>
        <v>4201.601250908628</v>
      </c>
      <c r="V118" s="88">
        <f>CowCalf!AA229</f>
        <v>4344.8442646141075</v>
      </c>
      <c r="W118" s="88">
        <f>CowCalf!AB229</f>
        <v>4527.3875159413965</v>
      </c>
      <c r="X118" s="88">
        <f>CowCalf!AC229</f>
        <v>4733.580360197828</v>
      </c>
      <c r="Y118" s="88">
        <f>CowCalf!AD229</f>
        <v>5012.380828330584</v>
      </c>
      <c r="Z118" s="36"/>
      <c r="AA118" s="36"/>
      <c r="AB118" s="36"/>
    </row>
    <row r="119" spans="1:28" ht="12.75">
      <c r="A119" s="36"/>
      <c r="B119" s="36"/>
      <c r="C119" s="36" t="str">
        <f>CowCalf!L230</f>
        <v>Cash from operation for % of Heifers not financed</v>
      </c>
      <c r="D119" s="36"/>
      <c r="E119" s="36"/>
      <c r="F119" s="36"/>
      <c r="G119" s="36"/>
      <c r="H119" s="36"/>
      <c r="I119" s="36"/>
      <c r="J119" s="36"/>
      <c r="K119" s="88">
        <f>CowCalf!P230</f>
        <v>0</v>
      </c>
      <c r="L119" s="88">
        <f>CowCalf!Q230</f>
        <v>0</v>
      </c>
      <c r="M119" s="88">
        <f>CowCalf!R230</f>
        <v>0</v>
      </c>
      <c r="N119" s="88">
        <f>CowCalf!S230</f>
        <v>0</v>
      </c>
      <c r="O119" s="88">
        <f>CowCalf!T230</f>
        <v>0</v>
      </c>
      <c r="P119" s="88">
        <f>CowCalf!U230</f>
        <v>0</v>
      </c>
      <c r="Q119" s="88">
        <f>CowCalf!V230</f>
        <v>0</v>
      </c>
      <c r="R119" s="88">
        <f>CowCalf!W230</f>
        <v>0</v>
      </c>
      <c r="S119" s="88">
        <f>CowCalf!X230</f>
        <v>0</v>
      </c>
      <c r="T119" s="88">
        <f>CowCalf!Y230</f>
        <v>0</v>
      </c>
      <c r="U119" s="88">
        <f>CowCalf!Z230</f>
        <v>0</v>
      </c>
      <c r="V119" s="88">
        <f>CowCalf!AA230</f>
        <v>0</v>
      </c>
      <c r="W119" s="88">
        <f>CowCalf!AB230</f>
        <v>0</v>
      </c>
      <c r="X119" s="88">
        <f>CowCalf!AC230</f>
        <v>0</v>
      </c>
      <c r="Y119" s="88">
        <f>CowCalf!AD230</f>
        <v>0</v>
      </c>
      <c r="Z119" s="36"/>
      <c r="AA119" s="36"/>
      <c r="AB119" s="36"/>
    </row>
    <row r="120" spans="1:28" ht="13.5" thickBot="1">
      <c r="A120" s="36"/>
      <c r="B120" s="36"/>
      <c r="C120" s="36" t="str">
        <f>CowCalf!L231</f>
        <v>Cash from operation for % of Bulls not financed</v>
      </c>
      <c r="D120" s="36"/>
      <c r="E120" s="36"/>
      <c r="F120" s="36"/>
      <c r="G120" s="36"/>
      <c r="H120" s="36"/>
      <c r="I120" s="36"/>
      <c r="J120" s="36"/>
      <c r="K120" s="183">
        <f>CowCalf!P231</f>
        <v>1773.6275408197264</v>
      </c>
      <c r="L120" s="183">
        <f>CowCalf!Q231</f>
        <v>1646.4824225258246</v>
      </c>
      <c r="M120" s="183">
        <f>CowCalf!R231</f>
        <v>1568.6958513828724</v>
      </c>
      <c r="N120" s="183">
        <f>CowCalf!S231</f>
        <v>1492.6274575141617</v>
      </c>
      <c r="O120" s="183">
        <f>CowCalf!T231</f>
        <v>1410.4673442185938</v>
      </c>
      <c r="P120" s="183">
        <f>CowCalf!U231</f>
        <v>1335.1799400199934</v>
      </c>
      <c r="Q120" s="183">
        <f>CowCalf!V231</f>
        <v>1304.2527490836387</v>
      </c>
      <c r="R120" s="183">
        <f>CowCalf!W231</f>
        <v>1319.24775074975</v>
      </c>
      <c r="S120" s="183">
        <f>CowCalf!X231</f>
        <v>1356.4228590469843</v>
      </c>
      <c r="T120" s="183">
        <f>CowCalf!Y231</f>
        <v>1407.3433855381538</v>
      </c>
      <c r="U120" s="183">
        <f>CowCalf!Z231</f>
        <v>1443.75</v>
      </c>
      <c r="V120" s="183">
        <f>CowCalf!AA231</f>
        <v>1500</v>
      </c>
      <c r="W120" s="183">
        <f>CowCalf!AB231</f>
        <v>1593.75</v>
      </c>
      <c r="X120" s="183">
        <f>CowCalf!AC231</f>
        <v>1650</v>
      </c>
      <c r="Y120" s="183">
        <f>CowCalf!AD231</f>
        <v>1781.25</v>
      </c>
      <c r="Z120" s="36"/>
      <c r="AA120" s="36"/>
      <c r="AB120" s="36"/>
    </row>
    <row r="121" spans="1:28" ht="13.5" thickTop="1">
      <c r="A121" s="36"/>
      <c r="B121" s="36"/>
      <c r="C121" s="36"/>
      <c r="D121" s="36"/>
      <c r="E121" s="36"/>
      <c r="F121" s="36"/>
      <c r="G121" s="36" t="str">
        <f>CowCalf!$O$232</f>
        <v>Subtotal Added Cash Outflows From Financing</v>
      </c>
      <c r="H121" s="36"/>
      <c r="I121" s="36"/>
      <c r="J121" s="36"/>
      <c r="K121" s="201">
        <f>CowCalf!P232</f>
        <v>3428.6969434323046</v>
      </c>
      <c r="L121" s="201">
        <f>CowCalf!Q232</f>
        <v>4953.8299834480285</v>
      </c>
      <c r="M121" s="201">
        <f>CowCalf!R232</f>
        <v>6571.394114131333</v>
      </c>
      <c r="N121" s="201">
        <f>CowCalf!S232</f>
        <v>6210.8361831762195</v>
      </c>
      <c r="O121" s="201">
        <f>CowCalf!T232</f>
        <v>5892.9507222462125</v>
      </c>
      <c r="P121" s="201">
        <f>CowCalf!U232</f>
        <v>5584.104486141351</v>
      </c>
      <c r="Q121" s="201">
        <f>CowCalf!V232</f>
        <v>5361.3674468666795</v>
      </c>
      <c r="R121" s="201">
        <f>CowCalf!W232</f>
        <v>5279.040315617833</v>
      </c>
      <c r="S121" s="201">
        <f>CowCalf!X232</f>
        <v>5332.836052093493</v>
      </c>
      <c r="T121" s="201">
        <f>CowCalf!Y232</f>
        <v>5484.411967346435</v>
      </c>
      <c r="U121" s="201">
        <f>CowCalf!Z232</f>
        <v>5645.351250908628</v>
      </c>
      <c r="V121" s="201">
        <f>CowCalf!AA232</f>
        <v>5844.8442646141075</v>
      </c>
      <c r="W121" s="201">
        <f>CowCalf!AB232</f>
        <v>6121.1375159413965</v>
      </c>
      <c r="X121" s="201">
        <f>CowCalf!AC232</f>
        <v>6383.580360197828</v>
      </c>
      <c r="Y121" s="201">
        <f>CowCalf!AD232</f>
        <v>6793.630828330584</v>
      </c>
      <c r="Z121" s="36"/>
      <c r="AA121" s="36"/>
      <c r="AB121" s="36"/>
    </row>
    <row r="122" spans="1:28" ht="12.75">
      <c r="A122" s="36"/>
      <c r="B122" s="36"/>
      <c r="C122" s="36" t="str">
        <f>CowCalf!L233</f>
        <v>Net Returns Above Operating Expenses + added cash outflows</v>
      </c>
      <c r="D122" s="36"/>
      <c r="E122" s="36"/>
      <c r="F122" s="36"/>
      <c r="G122" s="36"/>
      <c r="H122" s="36"/>
      <c r="I122" s="36"/>
      <c r="J122" s="36"/>
      <c r="K122" s="182">
        <f>CowCalf!P233</f>
        <v>67769.19733751971</v>
      </c>
      <c r="L122" s="182">
        <f>CowCalf!Q233</f>
        <v>56750.38609532233</v>
      </c>
      <c r="M122" s="182">
        <f>CowCalf!R233</f>
        <v>47962.39318386905</v>
      </c>
      <c r="N122" s="182">
        <f>CowCalf!S233</f>
        <v>41359.8637398539</v>
      </c>
      <c r="O122" s="182">
        <f>CowCalf!T233</f>
        <v>34234.16024065069</v>
      </c>
      <c r="P122" s="182">
        <f>CowCalf!U233</f>
        <v>27530.88939502965</v>
      </c>
      <c r="Q122" s="182">
        <f>CowCalf!V233</f>
        <v>23797.919160225283</v>
      </c>
      <c r="R122" s="182">
        <f>CowCalf!W233</f>
        <v>23082.46859027445</v>
      </c>
      <c r="S122" s="182">
        <f>CowCalf!X233</f>
        <v>23719.92243291816</v>
      </c>
      <c r="T122" s="182">
        <f>CowCalf!Y233</f>
        <v>25159.02231243865</v>
      </c>
      <c r="U122" s="182">
        <f>CowCalf!Z233</f>
        <v>25508.56408025787</v>
      </c>
      <c r="V122" s="182">
        <f>CowCalf!AA233</f>
        <v>27150.644366503122</v>
      </c>
      <c r="W122" s="182">
        <f>CowCalf!AB233</f>
        <v>31280.00631658252</v>
      </c>
      <c r="X122" s="182">
        <f>CowCalf!AC233</f>
        <v>32723.020366287237</v>
      </c>
      <c r="Y122" s="182">
        <f>CowCalf!AD233</f>
        <v>39211.729113373876</v>
      </c>
      <c r="Z122" s="36"/>
      <c r="AA122" s="36"/>
      <c r="AB122" s="36"/>
    </row>
    <row r="123" spans="1:28" ht="12.75">
      <c r="A123" s="36"/>
      <c r="B123" s="36"/>
      <c r="C123" s="36" t="str">
        <f>CowCalf!L234</f>
        <v>Net Returns Above Operating + Ownership + added cash outflows</v>
      </c>
      <c r="D123" s="36"/>
      <c r="E123" s="36"/>
      <c r="F123" s="36"/>
      <c r="G123" s="36"/>
      <c r="H123" s="36"/>
      <c r="I123" s="36"/>
      <c r="J123" s="36"/>
      <c r="K123" s="88">
        <f>CowCalf!P234</f>
        <v>-2220.4386588148272</v>
      </c>
      <c r="L123" s="88">
        <f>CowCalf!Q234</f>
        <v>-14798.930733870213</v>
      </c>
      <c r="M123" s="88">
        <f>CowCalf!R234</f>
        <v>-24273.887942654284</v>
      </c>
      <c r="N123" s="88">
        <f>CowCalf!S234</f>
        <v>-30769.185467827538</v>
      </c>
      <c r="O123" s="88">
        <f>CowCalf!T234</f>
        <v>-37589.87748569111</v>
      </c>
      <c r="P123" s="88">
        <f>CowCalf!U234</f>
        <v>-44009.96090486176</v>
      </c>
      <c r="Q123" s="88">
        <f>CowCalf!V234</f>
        <v>-47539.17229408256</v>
      </c>
      <c r="R123" s="88">
        <f>CowCalf!W234</f>
        <v>-48175.41054632704</v>
      </c>
      <c r="S123" s="88">
        <f>CowCalf!X234</f>
        <v>-47582.76218489019</v>
      </c>
      <c r="T123" s="88">
        <f>CowCalf!Y234</f>
        <v>-46276.31150379136</v>
      </c>
      <c r="U123" s="88">
        <f>CowCalf!Z234</f>
        <v>-46081.030872919975</v>
      </c>
      <c r="V123" s="88">
        <f>CowCalf!AA234</f>
        <v>-44633.02487683746</v>
      </c>
      <c r="W123" s="88">
        <f>CowCalf!AB234</f>
        <v>-40755.23102144898</v>
      </c>
      <c r="X123" s="88">
        <f>CowCalf!AC234</f>
        <v>-39575.35264334502</v>
      </c>
      <c r="Y123" s="88">
        <f>CowCalf!AD234</f>
        <v>-33057.682021472225</v>
      </c>
      <c r="Z123" s="36"/>
      <c r="AA123" s="36"/>
      <c r="AB123" s="36"/>
    </row>
    <row r="124" spans="1:28" ht="12.7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row>
    <row r="125" spans="1:28" ht="12.7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row>
    <row r="126" spans="1:28" ht="20.25">
      <c r="A126" s="36"/>
      <c r="B126" s="36"/>
      <c r="C126" s="534" t="str">
        <f>CowCalf!L236</f>
        <v>Income and Expense Estimates</v>
      </c>
      <c r="D126" s="36"/>
      <c r="E126" s="36"/>
      <c r="F126" s="36"/>
      <c r="G126" s="36"/>
      <c r="H126" s="36"/>
      <c r="I126" s="36"/>
      <c r="J126" s="117">
        <f>CowCalf!O236</f>
        <v>2005</v>
      </c>
      <c r="K126" s="390">
        <f>CowCalf!P236</f>
        <v>2006</v>
      </c>
      <c r="L126" s="390">
        <f>CowCalf!Q236</f>
        <v>2007</v>
      </c>
      <c r="M126" s="390">
        <f>CowCalf!R236</f>
        <v>2008</v>
      </c>
      <c r="N126" s="390">
        <f>CowCalf!S236</f>
        <v>2009</v>
      </c>
      <c r="O126" s="390">
        <f>CowCalf!T236</f>
        <v>2010</v>
      </c>
      <c r="P126" s="390">
        <f>CowCalf!U236</f>
        <v>2011</v>
      </c>
      <c r="Q126" s="390">
        <f>CowCalf!V236</f>
        <v>2012</v>
      </c>
      <c r="R126" s="390">
        <f>CowCalf!W236</f>
        <v>2013</v>
      </c>
      <c r="S126" s="390">
        <f>CowCalf!X236</f>
        <v>2014</v>
      </c>
      <c r="T126" s="390">
        <f>CowCalf!Y236</f>
        <v>2015</v>
      </c>
      <c r="U126" s="390">
        <f>CowCalf!Z236</f>
        <v>2016</v>
      </c>
      <c r="V126" s="390">
        <f>CowCalf!AA236</f>
        <v>2017</v>
      </c>
      <c r="W126" s="390">
        <f>CowCalf!AB236</f>
        <v>2018</v>
      </c>
      <c r="X126" s="390">
        <f>CowCalf!AC236</f>
        <v>2019</v>
      </c>
      <c r="Y126" s="390">
        <f>CowCalf!AD236</f>
        <v>2020</v>
      </c>
      <c r="Z126" s="36"/>
      <c r="AA126" s="36"/>
      <c r="AB126" s="36"/>
    </row>
    <row r="127" spans="1:28" ht="12.75">
      <c r="A127" s="36"/>
      <c r="B127" s="36"/>
      <c r="C127" s="202" t="str">
        <f>CowCalf!L237</f>
        <v>Selected values from each year of this analysis are discounted to the present using the discount factor calculated above.  Discounting converts the value of dollars in the future to current dollars, i.e. Net Present Value (NPV)</v>
      </c>
      <c r="D127" s="36"/>
      <c r="E127" s="36"/>
      <c r="F127" s="36"/>
      <c r="G127" s="36"/>
      <c r="H127" s="36"/>
      <c r="I127" s="36"/>
      <c r="J127" s="41"/>
      <c r="K127" s="202"/>
      <c r="L127" s="202"/>
      <c r="M127" s="202"/>
      <c r="N127" s="202"/>
      <c r="O127" s="202"/>
      <c r="P127" s="202"/>
      <c r="Q127" s="202"/>
      <c r="R127" s="202"/>
      <c r="S127" s="202"/>
      <c r="T127" s="202"/>
      <c r="U127" s="202"/>
      <c r="V127" s="202"/>
      <c r="W127" s="202"/>
      <c r="X127" s="202"/>
      <c r="Y127" s="202"/>
      <c r="Z127" s="36"/>
      <c r="AA127" s="36"/>
      <c r="AB127" s="36"/>
    </row>
    <row r="128" spans="1:28" ht="12.75">
      <c r="A128" s="36"/>
      <c r="B128" s="36"/>
      <c r="C128" s="205" t="str">
        <f>CowCalf!L238</f>
        <v>NPV of Revenue</v>
      </c>
      <c r="D128" s="36"/>
      <c r="E128" s="36"/>
      <c r="F128" s="36"/>
      <c r="G128" s="36"/>
      <c r="H128" s="36"/>
      <c r="I128" s="36"/>
      <c r="J128" s="182">
        <f>CowCalf!O238</f>
        <v>132101.66</v>
      </c>
      <c r="K128" s="182">
        <f>CowCalf!P238</f>
        <v>117364.69636392778</v>
      </c>
      <c r="L128" s="182">
        <f>CowCalf!Q238</f>
        <v>104997.00595672565</v>
      </c>
      <c r="M128" s="182">
        <f>CowCalf!R238</f>
        <v>95272.87379650396</v>
      </c>
      <c r="N128" s="182">
        <f>CowCalf!S238</f>
        <v>86336.14334546136</v>
      </c>
      <c r="O128" s="182">
        <f>CowCalf!T238</f>
        <v>77698.91510788695</v>
      </c>
      <c r="P128" s="182">
        <f>CowCalf!U238</f>
        <v>70049.07729180169</v>
      </c>
      <c r="Q128" s="182">
        <f>CowCalf!V238</f>
        <v>65168.10341450454</v>
      </c>
      <c r="R128" s="182">
        <f>CowCalf!W238</f>
        <v>62778.42046637074</v>
      </c>
      <c r="S128" s="182">
        <f>CowCalf!X238</f>
        <v>61473.76648624464</v>
      </c>
      <c r="T128" s="182">
        <f>CowCalf!Y238</f>
        <v>60744.295589158406</v>
      </c>
      <c r="U128" s="182">
        <f>CowCalf!Z238</f>
        <v>59348.277963557775</v>
      </c>
      <c r="V128" s="182">
        <f>CowCalf!AA238</f>
        <v>58724.331936730036</v>
      </c>
      <c r="W128" s="182">
        <f>CowCalf!AB238</f>
        <v>59423.43112645299</v>
      </c>
      <c r="X128" s="182">
        <f>CowCalf!AC238</f>
        <v>58591.17018630661</v>
      </c>
      <c r="Y128" s="182">
        <f>CowCalf!AD238</f>
        <v>60239.83947726327</v>
      </c>
      <c r="Z128" s="36"/>
      <c r="AA128" s="36"/>
      <c r="AB128" s="36"/>
    </row>
    <row r="129" spans="1:28" ht="12.75">
      <c r="A129" s="36"/>
      <c r="B129" s="36"/>
      <c r="C129" s="207" t="str">
        <f>CowCalf!L246</f>
        <v>Cumulative NPV of Revenue</v>
      </c>
      <c r="D129" s="36"/>
      <c r="E129" s="36"/>
      <c r="F129" s="36"/>
      <c r="G129" s="36"/>
      <c r="H129" s="36"/>
      <c r="I129" s="36"/>
      <c r="J129" s="182"/>
      <c r="K129" s="182">
        <f>CowCalf!P246</f>
        <v>249466.35636392777</v>
      </c>
      <c r="L129" s="182">
        <f>CowCalf!Q246</f>
        <v>354463.3623206534</v>
      </c>
      <c r="M129" s="182">
        <f>CowCalf!R246</f>
        <v>449736.2361171574</v>
      </c>
      <c r="N129" s="182">
        <f>CowCalf!S246</f>
        <v>536072.3794626187</v>
      </c>
      <c r="O129" s="182">
        <f>CowCalf!T246</f>
        <v>613771.2945705056</v>
      </c>
      <c r="P129" s="182">
        <f>CowCalf!U246</f>
        <v>683820.3718623073</v>
      </c>
      <c r="Q129" s="182">
        <f>CowCalf!V246</f>
        <v>748988.4752768119</v>
      </c>
      <c r="R129" s="182">
        <f>CowCalf!W246</f>
        <v>811766.8957431826</v>
      </c>
      <c r="S129" s="182">
        <f>CowCalf!X246</f>
        <v>873240.6622294273</v>
      </c>
      <c r="T129" s="182">
        <f>CowCalf!Y246</f>
        <v>933984.9578185857</v>
      </c>
      <c r="U129" s="182">
        <f>CowCalf!Z246</f>
        <v>993333.2357821434</v>
      </c>
      <c r="V129" s="182">
        <f>CowCalf!AA246</f>
        <v>1052057.5677188735</v>
      </c>
      <c r="W129" s="182">
        <f>CowCalf!AB246</f>
        <v>1111480.9988453265</v>
      </c>
      <c r="X129" s="182">
        <f>CowCalf!AC246</f>
        <v>1170072.169031633</v>
      </c>
      <c r="Y129" s="182">
        <f>CowCalf!AD246</f>
        <v>1230312.0085088962</v>
      </c>
      <c r="Z129" s="36"/>
      <c r="AA129" s="36"/>
      <c r="AB129" s="36"/>
    </row>
    <row r="130" spans="1:28" ht="12.75">
      <c r="A130" s="36"/>
      <c r="B130" s="36"/>
      <c r="C130" s="205"/>
      <c r="D130" s="36"/>
      <c r="E130" s="36"/>
      <c r="F130" s="36"/>
      <c r="G130" s="36"/>
      <c r="H130" s="36"/>
      <c r="I130" s="36"/>
      <c r="J130" s="182"/>
      <c r="K130" s="182"/>
      <c r="L130" s="182"/>
      <c r="M130" s="182"/>
      <c r="N130" s="182"/>
      <c r="O130" s="182"/>
      <c r="P130" s="182"/>
      <c r="Q130" s="182"/>
      <c r="R130" s="182"/>
      <c r="S130" s="182"/>
      <c r="T130" s="182"/>
      <c r="U130" s="182"/>
      <c r="V130" s="182"/>
      <c r="W130" s="182"/>
      <c r="X130" s="182"/>
      <c r="Y130" s="182"/>
      <c r="Z130" s="36"/>
      <c r="AA130" s="36"/>
      <c r="AB130" s="36"/>
    </row>
    <row r="131" spans="1:28" ht="12.75">
      <c r="A131" s="36"/>
      <c r="B131" s="36"/>
      <c r="C131" s="205" t="str">
        <f>CowCalf!L239</f>
        <v>NPV of Cash Operating Exp. </v>
      </c>
      <c r="D131" s="36"/>
      <c r="E131" s="36"/>
      <c r="F131" s="36"/>
      <c r="G131" s="36"/>
      <c r="H131" s="36"/>
      <c r="I131" s="36"/>
      <c r="J131" s="182">
        <f>CowCalf!O239</f>
        <v>50575.616</v>
      </c>
      <c r="K131" s="182">
        <f>CowCalf!P239</f>
        <v>49557.17800111632</v>
      </c>
      <c r="L131" s="182">
        <f>CowCalf!Q239</f>
        <v>49029.46302813577</v>
      </c>
      <c r="M131" s="182">
        <f>CowCalf!R239</f>
        <v>48164.53793817301</v>
      </c>
      <c r="N131" s="182">
        <f>CowCalf!S239</f>
        <v>47199.61079120249</v>
      </c>
      <c r="O131" s="182">
        <f>CowCalf!T239</f>
        <v>46258.27368367386</v>
      </c>
      <c r="P131" s="182">
        <f>CowCalf!U239</f>
        <v>45338.158998144165</v>
      </c>
      <c r="Q131" s="182">
        <f>CowCalf!V239</f>
        <v>44445.14282293099</v>
      </c>
      <c r="R131" s="182">
        <f>CowCalf!W239</f>
        <v>43582.23487233568</v>
      </c>
      <c r="S131" s="182">
        <f>CowCalf!X239</f>
        <v>42746.099326083866</v>
      </c>
      <c r="T131" s="182">
        <f>CowCalf!Y239</f>
        <v>41931.88515079311</v>
      </c>
      <c r="U131" s="182">
        <f>CowCalf!Z239</f>
        <v>41133.22889547228</v>
      </c>
      <c r="V131" s="182">
        <f>CowCalf!AA239</f>
        <v>40351.2092358717</v>
      </c>
      <c r="W131" s="182">
        <f>CowCalf!AB239</f>
        <v>39588.80601350997</v>
      </c>
      <c r="X131" s="182">
        <f>CowCalf!AC239</f>
        <v>38839.679408767726</v>
      </c>
      <c r="Y131" s="182">
        <f>CowCalf!AD239</f>
        <v>38110.47474147402</v>
      </c>
      <c r="Z131" s="36"/>
      <c r="AA131" s="36"/>
      <c r="AB131" s="36"/>
    </row>
    <row r="132" spans="1:28" ht="12.75">
      <c r="A132" s="36"/>
      <c r="B132" s="36"/>
      <c r="C132" s="206" t="str">
        <f>CowCalf!L240</f>
        <v>NPV of Net Returns Above Cash Operating</v>
      </c>
      <c r="D132" s="36"/>
      <c r="E132" s="36"/>
      <c r="F132" s="36"/>
      <c r="G132" s="36"/>
      <c r="H132" s="36"/>
      <c r="I132" s="36"/>
      <c r="J132" s="182">
        <f>CowCalf!O240</f>
        <v>81526.044</v>
      </c>
      <c r="K132" s="182">
        <f>CowCalf!P240</f>
        <v>67807.51836281146</v>
      </c>
      <c r="L132" s="182">
        <f>CowCalf!Q240</f>
        <v>55967.542928589886</v>
      </c>
      <c r="M132" s="182">
        <f>CowCalf!R240</f>
        <v>47108.33585833095</v>
      </c>
      <c r="N132" s="182">
        <f>CowCalf!S240</f>
        <v>39136.53255425887</v>
      </c>
      <c r="O132" s="182">
        <f>CowCalf!T240</f>
        <v>31440.641424213085</v>
      </c>
      <c r="P132" s="182">
        <f>CowCalf!U240</f>
        <v>24710.918293657523</v>
      </c>
      <c r="Q132" s="182">
        <f>CowCalf!V240</f>
        <v>20722.960591573552</v>
      </c>
      <c r="R132" s="182">
        <f>CowCalf!W240</f>
        <v>19196.185594035065</v>
      </c>
      <c r="S132" s="182">
        <f>CowCalf!X240</f>
        <v>18727.667160160774</v>
      </c>
      <c r="T132" s="182">
        <f>CowCalf!Y240</f>
        <v>18812.410438365296</v>
      </c>
      <c r="U132" s="182">
        <f>CowCalf!Z240</f>
        <v>18215.049068085493</v>
      </c>
      <c r="V132" s="182">
        <f>CowCalf!AA240</f>
        <v>18373.122700858337</v>
      </c>
      <c r="W132" s="182">
        <f>CowCalf!AB240</f>
        <v>19834.625112943017</v>
      </c>
      <c r="X132" s="182">
        <f>CowCalf!AC240</f>
        <v>19751.490777538886</v>
      </c>
      <c r="Y132" s="182">
        <f>CowCalf!AD240</f>
        <v>22129.364735789248</v>
      </c>
      <c r="Z132" s="36"/>
      <c r="AA132" s="36"/>
      <c r="AB132" s="36"/>
    </row>
    <row r="133" spans="1:28" ht="12.75">
      <c r="A133" s="36"/>
      <c r="B133" s="36"/>
      <c r="C133" s="207" t="str">
        <f>CowCalf!L247</f>
        <v>Cumulative NPV Net Returns above Operating Exp.</v>
      </c>
      <c r="D133" s="36"/>
      <c r="E133" s="36"/>
      <c r="F133" s="36"/>
      <c r="G133" s="36"/>
      <c r="H133" s="36"/>
      <c r="I133" s="36"/>
      <c r="J133" s="203"/>
      <c r="K133" s="198">
        <f>CowCalf!P247</f>
        <v>149333.56236281147</v>
      </c>
      <c r="L133" s="198">
        <f>CowCalf!Q247</f>
        <v>205301.10529140136</v>
      </c>
      <c r="M133" s="198">
        <f>CowCalf!R247</f>
        <v>252409.4411497323</v>
      </c>
      <c r="N133" s="198">
        <f>CowCalf!S247</f>
        <v>291545.97370399116</v>
      </c>
      <c r="O133" s="198">
        <f>CowCalf!T247</f>
        <v>322986.6151282042</v>
      </c>
      <c r="P133" s="198">
        <f>CowCalf!U247</f>
        <v>347697.53342186176</v>
      </c>
      <c r="Q133" s="198">
        <f>CowCalf!V247</f>
        <v>368420.4940134353</v>
      </c>
      <c r="R133" s="198">
        <f>CowCalf!W247</f>
        <v>387616.6796074704</v>
      </c>
      <c r="S133" s="198">
        <f>CowCalf!X247</f>
        <v>406344.3467676312</v>
      </c>
      <c r="T133" s="198">
        <f>CowCalf!Y247</f>
        <v>425156.7572059965</v>
      </c>
      <c r="U133" s="198">
        <f>CowCalf!Z247</f>
        <v>443371.806274082</v>
      </c>
      <c r="V133" s="198">
        <f>CowCalf!AA247</f>
        <v>461744.9289749403</v>
      </c>
      <c r="W133" s="198">
        <f>CowCalf!AB247</f>
        <v>481579.5540878833</v>
      </c>
      <c r="X133" s="198">
        <f>CowCalf!AC247</f>
        <v>501331.0448654222</v>
      </c>
      <c r="Y133" s="198">
        <f>CowCalf!AD247</f>
        <v>523460.40960121143</v>
      </c>
      <c r="Z133" s="36"/>
      <c r="AA133" s="36"/>
      <c r="AB133" s="36"/>
    </row>
    <row r="134" spans="1:28" ht="12.75">
      <c r="A134" s="36"/>
      <c r="B134" s="36"/>
      <c r="C134" s="39"/>
      <c r="D134" s="36"/>
      <c r="E134" s="36"/>
      <c r="F134" s="36"/>
      <c r="G134" s="36"/>
      <c r="H134" s="36"/>
      <c r="I134" s="36"/>
      <c r="J134" s="203"/>
      <c r="K134" s="203"/>
      <c r="L134" s="203"/>
      <c r="M134" s="203"/>
      <c r="N134" s="203"/>
      <c r="O134" s="203"/>
      <c r="P134" s="203"/>
      <c r="Q134" s="203"/>
      <c r="R134" s="203"/>
      <c r="S134" s="203"/>
      <c r="T134" s="203"/>
      <c r="U134" s="203"/>
      <c r="V134" s="203"/>
      <c r="W134" s="203"/>
      <c r="X134" s="203"/>
      <c r="Y134" s="203"/>
      <c r="Z134" s="36"/>
      <c r="AA134" s="36"/>
      <c r="AB134" s="36"/>
    </row>
    <row r="135" spans="1:28" ht="12.75">
      <c r="A135" s="36"/>
      <c r="B135" s="36"/>
      <c r="C135" s="205" t="str">
        <f>CowCalf!L241</f>
        <v>NPV of Operating + Total Ownership Expense (T.I.D.I.)</v>
      </c>
      <c r="D135" s="36"/>
      <c r="E135" s="36"/>
      <c r="F135" s="36"/>
      <c r="G135" s="36"/>
      <c r="H135" s="36"/>
      <c r="I135" s="36"/>
      <c r="J135" s="182">
        <f>CowCalf!O241</f>
        <v>117915.61600000004</v>
      </c>
      <c r="K135" s="182">
        <f>CowCalf!P241</f>
        <v>116213.9741881016</v>
      </c>
      <c r="L135" s="182">
        <f>CowCalf!Q241</f>
        <v>113926.80255574804</v>
      </c>
      <c r="M135" s="182">
        <f>CowCalf!R241</f>
        <v>110564.95355335351</v>
      </c>
      <c r="N135" s="182">
        <f>CowCalf!S241</f>
        <v>106540.35807874745</v>
      </c>
      <c r="O135" s="182">
        <f>CowCalf!T241</f>
        <v>102534.28662368043</v>
      </c>
      <c r="P135" s="182">
        <f>CowCalf!U241</f>
        <v>98723.04298039924</v>
      </c>
      <c r="Q135" s="182">
        <f>CowCalf!V241</f>
        <v>95143.0818652926</v>
      </c>
      <c r="R135" s="182">
        <f>CowCalf!W241</f>
        <v>91812.37232667035</v>
      </c>
      <c r="S135" s="182">
        <f>CowCalf!X241</f>
        <v>88708.4455809887</v>
      </c>
      <c r="T135" s="182">
        <f>CowCalf!Y241</f>
        <v>85786.9833516851</v>
      </c>
      <c r="U135" s="182">
        <f>CowCalf!Z241</f>
        <v>82990.18237868231</v>
      </c>
      <c r="V135" s="182">
        <f>CowCalf!AA241</f>
        <v>80323.04228464534</v>
      </c>
      <c r="W135" s="182">
        <f>CowCalf!AB241</f>
        <v>77790.6303726692</v>
      </c>
      <c r="X135" s="182">
        <f>CowCalf!AC241</f>
        <v>75355.27066964917</v>
      </c>
      <c r="Y135" s="182">
        <f>CowCalf!AD241</f>
        <v>72873.29716630094</v>
      </c>
      <c r="Z135" s="36"/>
      <c r="AA135" s="36"/>
      <c r="AB135" s="36"/>
    </row>
    <row r="136" spans="1:28" ht="12.75">
      <c r="A136" s="36"/>
      <c r="B136" s="36"/>
      <c r="C136" s="206" t="str">
        <f>CowCalf!L243</f>
        <v>NPV Net Returns above Operating + Total Ownership Expenses</v>
      </c>
      <c r="D136" s="36"/>
      <c r="E136" s="36"/>
      <c r="F136" s="36"/>
      <c r="G136" s="36"/>
      <c r="H136" s="36"/>
      <c r="I136" s="36"/>
      <c r="J136" s="182">
        <f>CowCalf!O243</f>
        <v>14186.043999999965</v>
      </c>
      <c r="K136" s="182">
        <f>CowCalf!P243</f>
        <v>1150.7221758261687</v>
      </c>
      <c r="L136" s="182">
        <f>CowCalf!Q243</f>
        <v>-8929.79659902239</v>
      </c>
      <c r="M136" s="182">
        <f>CowCalf!R243</f>
        <v>-15292.07975684954</v>
      </c>
      <c r="N136" s="182">
        <f>CowCalf!S243</f>
        <v>-20204.214733286084</v>
      </c>
      <c r="O136" s="182">
        <f>CowCalf!T243</f>
        <v>-24835.37151579348</v>
      </c>
      <c r="P136" s="182">
        <f>CowCalf!U243</f>
        <v>-28673.96568859755</v>
      </c>
      <c r="Q136" s="182">
        <f>CowCalf!V243</f>
        <v>-29974.978450788065</v>
      </c>
      <c r="R136" s="182">
        <f>CowCalf!W243</f>
        <v>-29033.951860299592</v>
      </c>
      <c r="S136" s="182">
        <f>CowCalf!X243</f>
        <v>-27234.679094744068</v>
      </c>
      <c r="T136" s="182">
        <f>CowCalf!Y243</f>
        <v>-25042.687762526693</v>
      </c>
      <c r="U136" s="182">
        <f>CowCalf!Z243</f>
        <v>-23641.90441512454</v>
      </c>
      <c r="V136" s="182">
        <f>CowCalf!AA243</f>
        <v>-21598.710347915323</v>
      </c>
      <c r="W136" s="182">
        <f>CowCalf!AB243</f>
        <v>-18367.19924621621</v>
      </c>
      <c r="X136" s="182">
        <f>CowCalf!AC243</f>
        <v>-16764.10048334255</v>
      </c>
      <c r="Y136" s="182">
        <f>CowCalf!AD243</f>
        <v>-12633.457689037676</v>
      </c>
      <c r="Z136" s="36"/>
      <c r="AA136" s="36"/>
      <c r="AB136" s="36"/>
    </row>
    <row r="137" spans="1:28" ht="12.75">
      <c r="A137" s="36"/>
      <c r="B137" s="36"/>
      <c r="C137" s="207" t="str">
        <f>CowCalf!L248</f>
        <v>Cumulative NPV Net Returns above Operating + Total Ownership Expenses</v>
      </c>
      <c r="D137" s="36"/>
      <c r="E137" s="36"/>
      <c r="F137" s="36"/>
      <c r="G137" s="36"/>
      <c r="H137" s="36"/>
      <c r="I137" s="36"/>
      <c r="J137" s="203"/>
      <c r="K137" s="182">
        <f>CowCalf!P248</f>
        <v>15336.766175826135</v>
      </c>
      <c r="L137" s="182">
        <f>CowCalf!Q248</f>
        <v>6406.969576803745</v>
      </c>
      <c r="M137" s="182">
        <f>CowCalf!R248</f>
        <v>-8885.110180045795</v>
      </c>
      <c r="N137" s="182">
        <f>CowCalf!S248</f>
        <v>-29089.32491333188</v>
      </c>
      <c r="O137" s="182">
        <f>CowCalf!T248</f>
        <v>-53924.69642912535</v>
      </c>
      <c r="P137" s="182">
        <f>CowCalf!U248</f>
        <v>-82598.66211772291</v>
      </c>
      <c r="Q137" s="182">
        <f>CowCalf!V248</f>
        <v>-112573.64056851098</v>
      </c>
      <c r="R137" s="182">
        <f>CowCalf!W248</f>
        <v>-141607.59242881057</v>
      </c>
      <c r="S137" s="182">
        <f>CowCalf!X248</f>
        <v>-168842.27152355463</v>
      </c>
      <c r="T137" s="182">
        <f>CowCalf!Y248</f>
        <v>-193884.9592860813</v>
      </c>
      <c r="U137" s="182">
        <f>CowCalf!Z248</f>
        <v>-217526.86370120585</v>
      </c>
      <c r="V137" s="182">
        <f>CowCalf!AA248</f>
        <v>-239125.57404912118</v>
      </c>
      <c r="W137" s="182">
        <f>CowCalf!AB248</f>
        <v>-257492.7732953374</v>
      </c>
      <c r="X137" s="182">
        <f>CowCalf!AC248</f>
        <v>-274256.87377867993</v>
      </c>
      <c r="Y137" s="182">
        <f>CowCalf!AD248</f>
        <v>-286890.3314677176</v>
      </c>
      <c r="Z137" s="36"/>
      <c r="AA137" s="36"/>
      <c r="AB137" s="36"/>
    </row>
    <row r="138" spans="1:28" ht="12.75">
      <c r="A138" s="36"/>
      <c r="B138" s="36"/>
      <c r="C138" s="207"/>
      <c r="D138" s="36"/>
      <c r="E138" s="36"/>
      <c r="F138" s="36"/>
      <c r="G138" s="36"/>
      <c r="H138" s="36"/>
      <c r="I138" s="36"/>
      <c r="J138" s="203"/>
      <c r="K138" s="182"/>
      <c r="L138" s="182"/>
      <c r="M138" s="182"/>
      <c r="N138" s="182"/>
      <c r="O138" s="182"/>
      <c r="P138" s="182"/>
      <c r="Q138" s="182"/>
      <c r="R138" s="182"/>
      <c r="S138" s="182"/>
      <c r="T138" s="182"/>
      <c r="U138" s="182"/>
      <c r="V138" s="182"/>
      <c r="W138" s="182"/>
      <c r="X138" s="182"/>
      <c r="Y138" s="182"/>
      <c r="Z138" s="36"/>
      <c r="AA138" s="36"/>
      <c r="AB138" s="36"/>
    </row>
    <row r="139" spans="1:28" ht="12.75">
      <c r="A139" s="36"/>
      <c r="B139" s="36"/>
      <c r="C139" s="205" t="str">
        <f>CowCalf!L242</f>
        <v>NPV of Operating + Ownership + Added Cash Outflows </v>
      </c>
      <c r="D139" s="36"/>
      <c r="E139" s="36"/>
      <c r="F139" s="36"/>
      <c r="G139" s="36"/>
      <c r="H139" s="36"/>
      <c r="I139" s="36"/>
      <c r="J139" s="182">
        <f>CowCalf!O242</f>
        <v>117915.61600000004</v>
      </c>
      <c r="K139" s="182">
        <f>CowCalf!P242</f>
        <v>119479.39984851332</v>
      </c>
      <c r="L139" s="182">
        <f>CowCalf!Q242</f>
        <v>118420.07238200476</v>
      </c>
      <c r="M139" s="182">
        <f>CowCalf!R242</f>
        <v>116241.57086390861</v>
      </c>
      <c r="N139" s="182">
        <f>CowCalf!S242</f>
        <v>111650.0283771735</v>
      </c>
      <c r="O139" s="182">
        <f>CowCalf!T242</f>
        <v>107151.56771226952</v>
      </c>
      <c r="P139" s="182">
        <f>CowCalf!U242</f>
        <v>102889.98772438559</v>
      </c>
      <c r="Q139" s="182">
        <f>CowCalf!V242</f>
        <v>98953.30561374815</v>
      </c>
      <c r="R139" s="182">
        <f>CowCalf!W242</f>
        <v>95385.43460601683</v>
      </c>
      <c r="S139" s="182">
        <f>CowCalf!X242</f>
        <v>92146.03924889588</v>
      </c>
      <c r="T139" s="182">
        <f>CowCalf!Y242</f>
        <v>89153.93654631665</v>
      </c>
      <c r="U139" s="182">
        <f>CowCalf!Z242</f>
        <v>86290.9023347068</v>
      </c>
      <c r="V139" s="182">
        <f>CowCalf!AA242</f>
        <v>83577.67027460298</v>
      </c>
      <c r="W139" s="182">
        <f>CowCalf!AB242</f>
        <v>81036.80028760883</v>
      </c>
      <c r="X139" s="182">
        <f>CowCalf!AC242</f>
        <v>78579.41253495669</v>
      </c>
      <c r="Y139" s="182">
        <f>CowCalf!AD242</f>
        <v>76141.14975284587</v>
      </c>
      <c r="Z139" s="36"/>
      <c r="AA139" s="36"/>
      <c r="AB139" s="36"/>
    </row>
    <row r="140" spans="1:28" ht="12.75">
      <c r="A140" s="36"/>
      <c r="B140" s="36"/>
      <c r="C140" s="206" t="str">
        <f>CowCalf!L244</f>
        <v>NPV Net Returns above Operating + Ownership Exp. + Added Cash Outflows</v>
      </c>
      <c r="D140" s="36"/>
      <c r="E140" s="36"/>
      <c r="F140" s="36"/>
      <c r="G140" s="36"/>
      <c r="H140" s="36"/>
      <c r="I140" s="36"/>
      <c r="J140" s="182">
        <f>CowCalf!O244</f>
        <v>14186.043999999965</v>
      </c>
      <c r="K140" s="182">
        <f>CowCalf!P244</f>
        <v>-2114.7034845855496</v>
      </c>
      <c r="L140" s="182">
        <f>CowCalf!Q244</f>
        <v>-13423.066425279103</v>
      </c>
      <c r="M140" s="182">
        <f>CowCalf!R244</f>
        <v>-20968.697067404628</v>
      </c>
      <c r="N140" s="182">
        <f>CowCalf!S244</f>
        <v>-25313.885031712125</v>
      </c>
      <c r="O140" s="182">
        <f>CowCalf!T244</f>
        <v>-29452.65260438259</v>
      </c>
      <c r="P140" s="182">
        <f>CowCalf!U244</f>
        <v>-32840.91043258389</v>
      </c>
      <c r="Q140" s="182">
        <f>CowCalf!V244</f>
        <v>-33785.20219924361</v>
      </c>
      <c r="R140" s="182">
        <f>CowCalf!W244</f>
        <v>-32607.014139646082</v>
      </c>
      <c r="S140" s="182">
        <f>CowCalf!X244</f>
        <v>-30672.272762651253</v>
      </c>
      <c r="T140" s="182">
        <f>CowCalf!Y244</f>
        <v>-28409.640957158223</v>
      </c>
      <c r="U140" s="182">
        <f>CowCalf!Z244</f>
        <v>-26942.624371149024</v>
      </c>
      <c r="V140" s="182">
        <f>CowCalf!AA244</f>
        <v>-24853.338337872956</v>
      </c>
      <c r="W140" s="182">
        <f>CowCalf!AB244</f>
        <v>-21613.36916115583</v>
      </c>
      <c r="X140" s="182">
        <f>CowCalf!AC244</f>
        <v>-19988.242348650067</v>
      </c>
      <c r="Y140" s="182">
        <f>CowCalf!AD244</f>
        <v>-15901.310275582608</v>
      </c>
      <c r="Z140" s="36"/>
      <c r="AA140" s="36"/>
      <c r="AB140" s="36"/>
    </row>
    <row r="141" spans="1:28" ht="12.75">
      <c r="A141" s="36"/>
      <c r="B141" s="36"/>
      <c r="C141" s="207" t="str">
        <f>CowCalf!L249</f>
        <v>Cumulative NPV Net Returns above Operating + Ownership + Added Cash Outflows</v>
      </c>
      <c r="D141" s="36"/>
      <c r="E141" s="36"/>
      <c r="F141" s="36"/>
      <c r="G141" s="36"/>
      <c r="H141" s="36"/>
      <c r="I141" s="36"/>
      <c r="J141" s="39"/>
      <c r="K141" s="182">
        <f>CowCalf!P249</f>
        <v>12071.340515414417</v>
      </c>
      <c r="L141" s="182">
        <f>CowCalf!Q249</f>
        <v>-1351.7259098646864</v>
      </c>
      <c r="M141" s="182">
        <f>CowCalf!R249</f>
        <v>-22320.422977269314</v>
      </c>
      <c r="N141" s="182">
        <f>CowCalf!S249</f>
        <v>-47634.30800898144</v>
      </c>
      <c r="O141" s="182">
        <f>CowCalf!T249</f>
        <v>-77086.96061336403</v>
      </c>
      <c r="P141" s="182">
        <f>CowCalf!U249</f>
        <v>-109927.87104594792</v>
      </c>
      <c r="Q141" s="182">
        <f>CowCalf!V249</f>
        <v>-143713.07324519154</v>
      </c>
      <c r="R141" s="182">
        <f>CowCalf!W249</f>
        <v>-176320.08738483762</v>
      </c>
      <c r="S141" s="182">
        <f>CowCalf!X249</f>
        <v>-206992.3601474889</v>
      </c>
      <c r="T141" s="182">
        <f>CowCalf!Y249</f>
        <v>-235402.00110464712</v>
      </c>
      <c r="U141" s="182">
        <f>CowCalf!Z249</f>
        <v>-262344.6254757962</v>
      </c>
      <c r="V141" s="182">
        <f>CowCalf!AA249</f>
        <v>-287197.9638136691</v>
      </c>
      <c r="W141" s="182">
        <f>CowCalf!AB249</f>
        <v>-308811.33297482494</v>
      </c>
      <c r="X141" s="182">
        <f>CowCalf!AC249</f>
        <v>-328799.575323475</v>
      </c>
      <c r="Y141" s="182">
        <f>CowCalf!AD249</f>
        <v>-344700.8855990576</v>
      </c>
      <c r="Z141" s="36"/>
      <c r="AA141" s="36"/>
      <c r="AB141" s="36"/>
    </row>
    <row r="142" spans="1:28" ht="12.75">
      <c r="A142" s="36"/>
      <c r="B142" s="36"/>
      <c r="C142" s="39"/>
      <c r="D142" s="36"/>
      <c r="E142" s="36"/>
      <c r="F142" s="36"/>
      <c r="G142" s="36"/>
      <c r="H142" s="36"/>
      <c r="I142" s="36"/>
      <c r="J142" s="39"/>
      <c r="K142" s="39"/>
      <c r="L142" s="39"/>
      <c r="M142" s="39"/>
      <c r="N142" s="39"/>
      <c r="O142" s="39"/>
      <c r="P142" s="39"/>
      <c r="Q142" s="39"/>
      <c r="R142" s="39"/>
      <c r="S142" s="39"/>
      <c r="T142" s="39"/>
      <c r="U142" s="39"/>
      <c r="V142" s="39"/>
      <c r="W142" s="39"/>
      <c r="X142" s="39"/>
      <c r="Y142" s="39"/>
      <c r="Z142" s="36"/>
      <c r="AA142" s="36"/>
      <c r="AB142" s="36"/>
    </row>
    <row r="143" spans="1:28" ht="12.75">
      <c r="A143" s="36"/>
      <c r="B143" s="36"/>
      <c r="C143" s="39"/>
      <c r="D143" s="36"/>
      <c r="E143" s="36"/>
      <c r="F143" s="36"/>
      <c r="G143" s="36"/>
      <c r="H143" s="36"/>
      <c r="I143" s="36"/>
      <c r="J143" s="39"/>
      <c r="K143" s="39"/>
      <c r="L143" s="39"/>
      <c r="M143" s="39"/>
      <c r="N143" s="39"/>
      <c r="O143" s="39"/>
      <c r="P143" s="39"/>
      <c r="Q143" s="39"/>
      <c r="R143" s="39"/>
      <c r="S143" s="39"/>
      <c r="T143" s="39"/>
      <c r="U143" s="39"/>
      <c r="V143" s="39"/>
      <c r="W143" s="39"/>
      <c r="X143" s="39"/>
      <c r="Y143" s="39"/>
      <c r="Z143" s="36"/>
      <c r="AA143" s="36"/>
      <c r="AB143" s="36"/>
    </row>
    <row r="144" spans="1:28" ht="12.75">
      <c r="A144" s="36"/>
      <c r="B144" s="36"/>
      <c r="C144" s="39"/>
      <c r="D144" s="36"/>
      <c r="E144" s="36"/>
      <c r="F144" s="36"/>
      <c r="G144" s="36"/>
      <c r="H144" s="36"/>
      <c r="I144" s="36"/>
      <c r="J144" s="39"/>
      <c r="K144" s="62" t="str">
        <f>CowCalf!P273</f>
        <v>Year 2015</v>
      </c>
      <c r="L144" s="62" t="str">
        <f>CowCalf!Q273</f>
        <v>Year 2020</v>
      </c>
      <c r="M144" s="39"/>
      <c r="N144" s="39"/>
      <c r="O144" s="39"/>
      <c r="P144" s="39"/>
      <c r="Q144" s="39"/>
      <c r="R144" s="39"/>
      <c r="S144" s="39"/>
      <c r="T144" s="39"/>
      <c r="U144" s="39"/>
      <c r="V144" s="39"/>
      <c r="W144" s="39"/>
      <c r="X144" s="39"/>
      <c r="Y144" s="39"/>
      <c r="Z144" s="36"/>
      <c r="AA144" s="36"/>
      <c r="AB144" s="36"/>
    </row>
    <row r="145" spans="1:28" ht="12.75">
      <c r="A145" s="36"/>
      <c r="B145" s="36"/>
      <c r="C145" s="206" t="str">
        <f>CowCalf!L274</f>
        <v>Total Revenue</v>
      </c>
      <c r="D145" s="174"/>
      <c r="E145" s="174"/>
      <c r="F145" s="174"/>
      <c r="G145" s="174"/>
      <c r="H145" s="174"/>
      <c r="I145" s="36"/>
      <c r="J145" s="39"/>
      <c r="K145" s="371">
        <f>CowCalf!P274</f>
        <v>933984.9578185857</v>
      </c>
      <c r="L145" s="371">
        <f>CowCalf!Q274</f>
        <v>1230312.0085088962</v>
      </c>
      <c r="M145" s="39"/>
      <c r="N145" s="39"/>
      <c r="O145" s="39"/>
      <c r="P145" s="39"/>
      <c r="Q145" s="39"/>
      <c r="R145" s="39"/>
      <c r="S145" s="39"/>
      <c r="T145" s="39"/>
      <c r="U145" s="39"/>
      <c r="V145" s="39"/>
      <c r="W145" s="39"/>
      <c r="X145" s="39"/>
      <c r="Y145" s="39"/>
      <c r="Z145" s="36"/>
      <c r="AA145" s="36"/>
      <c r="AB145" s="36"/>
    </row>
    <row r="146" spans="1:28" ht="12.75">
      <c r="A146" s="36"/>
      <c r="B146" s="36"/>
      <c r="C146" s="206" t="str">
        <f>CowCalf!L275</f>
        <v>Net Returns above Operating Exp.</v>
      </c>
      <c r="D146" s="174"/>
      <c r="E146" s="174"/>
      <c r="F146" s="174"/>
      <c r="G146" s="174"/>
      <c r="H146" s="174"/>
      <c r="I146" s="36"/>
      <c r="J146" s="39"/>
      <c r="K146" s="371">
        <f>CowCalf!P275</f>
        <v>425156.7572059965</v>
      </c>
      <c r="L146" s="371">
        <f>CowCalf!Q275</f>
        <v>523460.40960121143</v>
      </c>
      <c r="M146" s="39"/>
      <c r="N146" s="39"/>
      <c r="O146" s="39"/>
      <c r="P146" s="39"/>
      <c r="Q146" s="39"/>
      <c r="R146" s="39"/>
      <c r="S146" s="39"/>
      <c r="T146" s="39"/>
      <c r="U146" s="39"/>
      <c r="V146" s="39"/>
      <c r="W146" s="39"/>
      <c r="X146" s="39"/>
      <c r="Y146" s="39"/>
      <c r="Z146" s="36"/>
      <c r="AA146" s="36"/>
      <c r="AB146" s="36"/>
    </row>
    <row r="147" spans="1:28" ht="12.75">
      <c r="A147" s="36"/>
      <c r="B147" s="36"/>
      <c r="C147" s="206" t="str">
        <f>CowCalf!L276</f>
        <v>Net Returns above Operating + Ownership Expenses</v>
      </c>
      <c r="D147" s="174"/>
      <c r="E147" s="174"/>
      <c r="F147" s="174"/>
      <c r="G147" s="174"/>
      <c r="H147" s="174"/>
      <c r="I147" s="36"/>
      <c r="J147" s="39"/>
      <c r="K147" s="371">
        <f>CowCalf!P276</f>
        <v>-193884.9592860813</v>
      </c>
      <c r="L147" s="371">
        <f>CowCalf!Q276</f>
        <v>-286890.3314677176</v>
      </c>
      <c r="M147" s="39"/>
      <c r="N147" s="39"/>
      <c r="O147" s="39"/>
      <c r="P147" s="39"/>
      <c r="Q147" s="39"/>
      <c r="R147" s="39"/>
      <c r="S147" s="39"/>
      <c r="T147" s="39"/>
      <c r="U147" s="39"/>
      <c r="V147" s="39"/>
      <c r="W147" s="39"/>
      <c r="X147" s="39"/>
      <c r="Y147" s="39"/>
      <c r="Z147" s="36"/>
      <c r="AA147" s="36"/>
      <c r="AB147" s="36"/>
    </row>
    <row r="148" spans="1:28" ht="12.75">
      <c r="A148" s="36"/>
      <c r="B148" s="36"/>
      <c r="C148" s="206" t="str">
        <f>CowCalf!L277</f>
        <v>Net Returns above Operating + Ownership + Added Cash Outflows</v>
      </c>
      <c r="D148" s="174"/>
      <c r="E148" s="174"/>
      <c r="F148" s="174"/>
      <c r="G148" s="174"/>
      <c r="H148" s="174"/>
      <c r="I148" s="36"/>
      <c r="J148" s="39"/>
      <c r="K148" s="371">
        <f>CowCalf!P277</f>
        <v>-235402.00110464712</v>
      </c>
      <c r="L148" s="371">
        <f>CowCalf!Q277</f>
        <v>-344700.8855990576</v>
      </c>
      <c r="M148" s="39"/>
      <c r="N148" s="39"/>
      <c r="O148" s="39"/>
      <c r="P148" s="39"/>
      <c r="Q148" s="39"/>
      <c r="R148" s="39"/>
      <c r="S148" s="39"/>
      <c r="T148" s="39"/>
      <c r="U148" s="39"/>
      <c r="V148" s="39"/>
      <c r="W148" s="39"/>
      <c r="X148" s="39"/>
      <c r="Y148" s="39"/>
      <c r="Z148" s="36"/>
      <c r="AA148" s="36"/>
      <c r="AB148" s="36"/>
    </row>
    <row r="149" spans="1:28" ht="12.75">
      <c r="A149" s="36"/>
      <c r="B149" s="36"/>
      <c r="C149" s="174"/>
      <c r="D149" s="174"/>
      <c r="E149" s="174"/>
      <c r="F149" s="174"/>
      <c r="G149" s="174"/>
      <c r="H149" s="174"/>
      <c r="I149" s="36"/>
      <c r="J149" s="36"/>
      <c r="K149" s="36"/>
      <c r="L149" s="36"/>
      <c r="M149" s="36"/>
      <c r="N149" s="36"/>
      <c r="O149" s="36"/>
      <c r="P149" s="36"/>
      <c r="Q149" s="36"/>
      <c r="R149" s="36"/>
      <c r="S149" s="36"/>
      <c r="T149" s="36"/>
      <c r="U149" s="36"/>
      <c r="V149" s="36"/>
      <c r="W149" s="36"/>
      <c r="X149" s="36"/>
      <c r="Y149" s="36"/>
      <c r="Z149" s="36"/>
      <c r="AA149" s="36"/>
      <c r="AB149" s="36"/>
    </row>
    <row r="150" spans="1:28" ht="12.7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row>
    <row r="151" spans="1:28" ht="12.7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row>
    <row r="152" spans="1:28" ht="15.75">
      <c r="A152" s="36"/>
      <c r="B152" s="36"/>
      <c r="C152" s="517" t="str">
        <f>CowCalf!L251</f>
        <v>Per Head Income, Expense, Cash Flow Estimates (NPV)</v>
      </c>
      <c r="D152" s="382"/>
      <c r="E152" s="383"/>
      <c r="F152" s="517"/>
      <c r="G152" s="382"/>
      <c r="H152" s="382"/>
      <c r="I152" s="409"/>
      <c r="J152" s="518">
        <f>CowCalf!O251</f>
        <v>2005</v>
      </c>
      <c r="K152" s="518">
        <f>CowCalf!P251</f>
        <v>2006</v>
      </c>
      <c r="L152" s="518">
        <f>CowCalf!Q251</f>
        <v>2007</v>
      </c>
      <c r="M152" s="518">
        <f>CowCalf!R251</f>
        <v>2008</v>
      </c>
      <c r="N152" s="518">
        <f>CowCalf!S251</f>
        <v>2009</v>
      </c>
      <c r="O152" s="518">
        <f>CowCalf!T251</f>
        <v>2010</v>
      </c>
      <c r="P152" s="518">
        <f>CowCalf!U251</f>
        <v>2011</v>
      </c>
      <c r="Q152" s="518">
        <f>CowCalf!V251</f>
        <v>2012</v>
      </c>
      <c r="R152" s="518">
        <f>CowCalf!W251</f>
        <v>2013</v>
      </c>
      <c r="S152" s="518">
        <f>CowCalf!X251</f>
        <v>2014</v>
      </c>
      <c r="T152" s="518">
        <f>CowCalf!Y251</f>
        <v>2015</v>
      </c>
      <c r="U152" s="518">
        <f>CowCalf!Z251</f>
        <v>2016</v>
      </c>
      <c r="V152" s="518">
        <f>CowCalf!AA251</f>
        <v>2017</v>
      </c>
      <c r="W152" s="518">
        <f>CowCalf!AB251</f>
        <v>2018</v>
      </c>
      <c r="X152" s="518">
        <f>CowCalf!AC251</f>
        <v>2019</v>
      </c>
      <c r="Y152" s="518">
        <f>CowCalf!AD251</f>
        <v>2020</v>
      </c>
      <c r="Z152" s="36"/>
      <c r="AA152" s="36"/>
      <c r="AB152" s="36"/>
    </row>
    <row r="153" spans="1:28" ht="15">
      <c r="A153" s="36"/>
      <c r="B153" s="36"/>
      <c r="C153" s="494" t="str">
        <f>CowCalf!L252</f>
        <v>Total Returns Per Head</v>
      </c>
      <c r="D153" s="40"/>
      <c r="E153" s="40"/>
      <c r="F153" s="494"/>
      <c r="G153" s="40"/>
      <c r="H153" s="40"/>
      <c r="I153" s="36"/>
      <c r="J153" s="507">
        <f>CowCalf!O252</f>
        <v>660.5083</v>
      </c>
      <c r="K153" s="507">
        <f>CowCalf!P252</f>
        <v>589.7723435373256</v>
      </c>
      <c r="L153" s="507">
        <f>CowCalf!Q252</f>
        <v>524.9850297836283</v>
      </c>
      <c r="M153" s="507">
        <f>CowCalf!R252</f>
        <v>476.3643689825198</v>
      </c>
      <c r="N153" s="507">
        <f>CowCalf!S252</f>
        <v>431.6807167273068</v>
      </c>
      <c r="O153" s="507">
        <f>CowCalf!T252</f>
        <v>388.4945755394347</v>
      </c>
      <c r="P153" s="507">
        <f>CowCalf!U252</f>
        <v>350.24538645900844</v>
      </c>
      <c r="Q153" s="507">
        <f>CowCalf!V252</f>
        <v>325.8405170725227</v>
      </c>
      <c r="R153" s="507">
        <f>CowCalf!W252</f>
        <v>313.8921023318537</v>
      </c>
      <c r="S153" s="507">
        <f>CowCalf!X252</f>
        <v>307.3688324312232</v>
      </c>
      <c r="T153" s="507">
        <f>CowCalf!Y252</f>
        <v>303.721477945792</v>
      </c>
      <c r="U153" s="507">
        <f>CowCalf!Z252</f>
        <v>296.7413898177889</v>
      </c>
      <c r="V153" s="507">
        <f>CowCalf!AA252</f>
        <v>293.6216596836502</v>
      </c>
      <c r="W153" s="507">
        <f>CowCalf!AB252</f>
        <v>297.11715563226494</v>
      </c>
      <c r="X153" s="507">
        <f>CowCalf!AC252</f>
        <v>292.95585093153306</v>
      </c>
      <c r="Y153" s="507">
        <f>CowCalf!AD252</f>
        <v>301.1991973863163</v>
      </c>
      <c r="Z153" s="36"/>
      <c r="AA153" s="36"/>
      <c r="AB153" s="36"/>
    </row>
    <row r="154" spans="1:28" ht="15">
      <c r="A154" s="36"/>
      <c r="B154" s="36"/>
      <c r="C154" s="515" t="str">
        <f>CowCalf!L253</f>
        <v>Total Cash Operating Costs Per Head</v>
      </c>
      <c r="D154" s="40"/>
      <c r="E154" s="40"/>
      <c r="F154" s="515"/>
      <c r="G154" s="40"/>
      <c r="H154" s="40"/>
      <c r="I154" s="36"/>
      <c r="J154" s="507">
        <f>CowCalf!O253</f>
        <v>252.87808</v>
      </c>
      <c r="K154" s="507">
        <f>CowCalf!P253</f>
        <v>249.0310452317403</v>
      </c>
      <c r="L154" s="507">
        <f>CowCalf!Q253</f>
        <v>245.14731514067884</v>
      </c>
      <c r="M154" s="507">
        <f>CowCalf!R253</f>
        <v>240.82268969086505</v>
      </c>
      <c r="N154" s="507">
        <f>CowCalf!S253</f>
        <v>235.99805395601246</v>
      </c>
      <c r="O154" s="507">
        <f>CowCalf!T253</f>
        <v>231.2913684183693</v>
      </c>
      <c r="P154" s="507">
        <f>CowCalf!U253</f>
        <v>226.69079499072083</v>
      </c>
      <c r="Q154" s="507">
        <f>CowCalf!V253</f>
        <v>222.22571411465495</v>
      </c>
      <c r="R154" s="507">
        <f>CowCalf!W253</f>
        <v>217.91117436167838</v>
      </c>
      <c r="S154" s="507">
        <f>CowCalf!X253</f>
        <v>213.73049663041934</v>
      </c>
      <c r="T154" s="507">
        <f>CowCalf!Y253</f>
        <v>209.65942575396556</v>
      </c>
      <c r="U154" s="507">
        <f>CowCalf!Z253</f>
        <v>205.6661444773614</v>
      </c>
      <c r="V154" s="507">
        <f>CowCalf!AA253</f>
        <v>201.7560461793585</v>
      </c>
      <c r="W154" s="507">
        <f>CowCalf!AB253</f>
        <v>197.94403006754987</v>
      </c>
      <c r="X154" s="507">
        <f>CowCalf!AC253</f>
        <v>194.19839704383864</v>
      </c>
      <c r="Y154" s="507">
        <f>CowCalf!AD253</f>
        <v>190.5523737073701</v>
      </c>
      <c r="Z154" s="36"/>
      <c r="AA154" s="36"/>
      <c r="AB154" s="36"/>
    </row>
    <row r="155" spans="3:25" ht="15">
      <c r="C155" s="510" t="str">
        <f>CowCalf!L254</f>
        <v>Returns/Hd Above Operating Exp.</v>
      </c>
      <c r="D155" s="511"/>
      <c r="E155" s="511"/>
      <c r="F155" s="510"/>
      <c r="G155" s="511"/>
      <c r="H155" s="511"/>
      <c r="J155" s="512">
        <f>CowCalf!O254</f>
        <v>407.63021999999995</v>
      </c>
      <c r="K155" s="512">
        <f>CowCalf!P254</f>
        <v>340.74129830558525</v>
      </c>
      <c r="L155" s="512">
        <f>CowCalf!Q254</f>
        <v>279.83771464294944</v>
      </c>
      <c r="M155" s="512">
        <f>CowCalf!R254</f>
        <v>235.54167929165476</v>
      </c>
      <c r="N155" s="512">
        <f>CowCalf!S254</f>
        <v>195.68266277129433</v>
      </c>
      <c r="O155" s="512">
        <f>CowCalf!T254</f>
        <v>157.20320712106542</v>
      </c>
      <c r="P155" s="512">
        <f>CowCalf!U254</f>
        <v>123.55459146828761</v>
      </c>
      <c r="Q155" s="512">
        <f>CowCalf!V254</f>
        <v>103.61480295786774</v>
      </c>
      <c r="R155" s="512">
        <f>CowCalf!W254</f>
        <v>95.98092797017534</v>
      </c>
      <c r="S155" s="512">
        <f>CowCalf!X254</f>
        <v>93.63833580080387</v>
      </c>
      <c r="T155" s="512">
        <f>CowCalf!Y254</f>
        <v>94.06205219182644</v>
      </c>
      <c r="U155" s="512">
        <f>CowCalf!Z254</f>
        <v>91.0752453404275</v>
      </c>
      <c r="V155" s="512">
        <f>CowCalf!AA254</f>
        <v>91.8656135042917</v>
      </c>
      <c r="W155" s="512">
        <f>CowCalf!AB254</f>
        <v>99.17312556471506</v>
      </c>
      <c r="X155" s="512">
        <f>CowCalf!AC254</f>
        <v>98.75745388769442</v>
      </c>
      <c r="Y155" s="512">
        <f>CowCalf!AD254</f>
        <v>110.64682367894622</v>
      </c>
    </row>
    <row r="156" spans="3:25" ht="15">
      <c r="C156" s="494" t="str">
        <f>CowCalf!L255</f>
        <v>Cash Ownership Costs/Hd (Taxes and Insurance-Ownership)</v>
      </c>
      <c r="D156" s="92"/>
      <c r="E156" s="92"/>
      <c r="F156" s="494"/>
      <c r="G156" s="92"/>
      <c r="H156" s="92"/>
      <c r="J156" s="507">
        <f>CowCalf!O255</f>
        <v>65</v>
      </c>
      <c r="K156" s="507">
        <f>CowCalf!P255</f>
        <v>62.21584111031348</v>
      </c>
      <c r="L156" s="507">
        <f>CowCalf!Q255</f>
        <v>58.95691609977324</v>
      </c>
      <c r="M156" s="507">
        <f>CowCalf!R255</f>
        <v>56.14944390454594</v>
      </c>
      <c r="N156" s="507">
        <f>CowCalf!S255</f>
        <v>53.47566086147233</v>
      </c>
      <c r="O156" s="507">
        <f>CowCalf!T255</f>
        <v>50.929200820449836</v>
      </c>
      <c r="P156" s="507">
        <f>CowCalf!U255</f>
        <v>48.504000781380796</v>
      </c>
      <c r="Q156" s="507">
        <f>CowCalf!V255</f>
        <v>46.194286458457896</v>
      </c>
      <c r="R156" s="507">
        <f>CowCalf!W255</f>
        <v>43.99455853186467</v>
      </c>
      <c r="S156" s="507">
        <f>CowCalf!X255</f>
        <v>41.89957955415682</v>
      </c>
      <c r="T156" s="507">
        <f>CowCalf!Y255</f>
        <v>39.904361480149355</v>
      </c>
      <c r="U156" s="507">
        <f>CowCalf!Z255</f>
        <v>38.00415379061843</v>
      </c>
      <c r="V156" s="507">
        <f>CowCalf!AA255</f>
        <v>36.194432181541366</v>
      </c>
      <c r="W156" s="507">
        <f>CowCalf!AB255</f>
        <v>34.47088779194415</v>
      </c>
      <c r="X156" s="507">
        <f>CowCalf!AC255</f>
        <v>32.829416944708726</v>
      </c>
      <c r="Y156" s="507">
        <f>CowCalf!AD255</f>
        <v>31.266111375913063</v>
      </c>
    </row>
    <row r="157" spans="3:25" ht="15">
      <c r="C157" s="510" t="str">
        <f>CowCalf!L256</f>
        <v>Returns/Hd Above Operating, Taxes, Insurance</v>
      </c>
      <c r="D157" s="511"/>
      <c r="E157" s="511"/>
      <c r="F157" s="510"/>
      <c r="G157" s="511"/>
      <c r="H157" s="511"/>
      <c r="J157" s="512">
        <f>CowCalf!O256</f>
        <v>342.63021999999995</v>
      </c>
      <c r="K157" s="512">
        <f>CowCalf!P256</f>
        <v>278.52545719527177</v>
      </c>
      <c r="L157" s="512">
        <f>CowCalf!Q256</f>
        <v>220.88079854317618</v>
      </c>
      <c r="M157" s="512">
        <f>CowCalf!R256</f>
        <v>179.39223538710883</v>
      </c>
      <c r="N157" s="512">
        <f>CowCalf!S256</f>
        <v>142.207001909822</v>
      </c>
      <c r="O157" s="512">
        <f>CowCalf!T256</f>
        <v>106.27400630061558</v>
      </c>
      <c r="P157" s="512">
        <f>CowCalf!U256</f>
        <v>75.05059068690682</v>
      </c>
      <c r="Q157" s="512">
        <f>CowCalf!V256</f>
        <v>57.42051649940984</v>
      </c>
      <c r="R157" s="512">
        <f>CowCalf!W256</f>
        <v>51.986369438310675</v>
      </c>
      <c r="S157" s="512">
        <f>CowCalf!X256</f>
        <v>51.73875624664705</v>
      </c>
      <c r="T157" s="512">
        <f>CowCalf!Y256</f>
        <v>54.157690711677084</v>
      </c>
      <c r="U157" s="512">
        <f>CowCalf!Z256</f>
        <v>53.07109154980907</v>
      </c>
      <c r="V157" s="512">
        <f>CowCalf!AA256</f>
        <v>55.671181322750336</v>
      </c>
      <c r="W157" s="512">
        <f>CowCalf!AB256</f>
        <v>64.70223777277091</v>
      </c>
      <c r="X157" s="512">
        <f>CowCalf!AC256</f>
        <v>65.9280369429857</v>
      </c>
      <c r="Y157" s="512">
        <f>CowCalf!AD256</f>
        <v>79.38071230303316</v>
      </c>
    </row>
    <row r="158" spans="3:25" ht="15.75">
      <c r="C158" s="527" t="str">
        <f>CowCalf!L257</f>
        <v>NonCash Expenses</v>
      </c>
      <c r="D158" s="92"/>
      <c r="E158" s="92"/>
      <c r="F158" s="527"/>
      <c r="G158" s="92"/>
      <c r="H158" s="92"/>
      <c r="J158" s="356"/>
      <c r="K158" s="509">
        <f>CowCalf!P257</f>
        <v>0</v>
      </c>
      <c r="L158" s="509">
        <f>CowCalf!Q257</f>
        <v>0</v>
      </c>
      <c r="M158" s="509">
        <f>CowCalf!R257</f>
        <v>0</v>
      </c>
      <c r="N158" s="509">
        <f>CowCalf!S257</f>
        <v>0</v>
      </c>
      <c r="O158" s="509">
        <f>CowCalf!T257</f>
        <v>0</v>
      </c>
      <c r="P158" s="509">
        <f>CowCalf!U257</f>
        <v>0</v>
      </c>
      <c r="Q158" s="509">
        <f>CowCalf!V257</f>
        <v>0</v>
      </c>
      <c r="R158" s="509">
        <f>CowCalf!W257</f>
        <v>0</v>
      </c>
      <c r="S158" s="509">
        <f>CowCalf!X257</f>
        <v>0</v>
      </c>
      <c r="T158" s="509">
        <f>CowCalf!Y257</f>
        <v>0</v>
      </c>
      <c r="U158" s="509">
        <f>CowCalf!Z257</f>
        <v>0</v>
      </c>
      <c r="V158" s="509">
        <f>CowCalf!AA257</f>
        <v>0</v>
      </c>
      <c r="W158" s="509">
        <f>CowCalf!AB257</f>
        <v>0</v>
      </c>
      <c r="X158" s="509">
        <f>CowCalf!AC257</f>
        <v>0</v>
      </c>
      <c r="Y158" s="509">
        <f>CowCalf!AD257</f>
        <v>0</v>
      </c>
    </row>
    <row r="159" spans="3:25" ht="15">
      <c r="C159" s="494" t="str">
        <f>CowCalf!L258</f>
        <v>Depreciation and Opportunity Cost on Investment--Ownership</v>
      </c>
      <c r="D159" s="40"/>
      <c r="E159" s="40"/>
      <c r="F159" s="494"/>
      <c r="G159" s="40"/>
      <c r="H159" s="40"/>
      <c r="J159" s="507">
        <f>CowCalf!O258</f>
        <v>271.7</v>
      </c>
      <c r="K159" s="507">
        <f>CowCalf!P258</f>
        <v>272.74293369865774</v>
      </c>
      <c r="L159" s="507">
        <f>CowCalf!Q258</f>
        <v>265.52978153828815</v>
      </c>
      <c r="M159" s="507">
        <f>CowCalf!R258</f>
        <v>255.85263417135656</v>
      </c>
      <c r="N159" s="507">
        <f>CowCalf!S258</f>
        <v>243.22807557625245</v>
      </c>
      <c r="O159" s="507">
        <f>CowCalf!T258</f>
        <v>230.450863879583</v>
      </c>
      <c r="P159" s="507">
        <f>CowCalf!U258</f>
        <v>218.42041912989453</v>
      </c>
      <c r="Q159" s="507">
        <f>CowCalf!V258</f>
        <v>207.2954087533502</v>
      </c>
      <c r="R159" s="507">
        <f>CowCalf!W258</f>
        <v>197.1561287398086</v>
      </c>
      <c r="S159" s="507">
        <f>CowCalf!X258</f>
        <v>187.91215172036738</v>
      </c>
      <c r="T159" s="507">
        <f>CowCalf!Y258</f>
        <v>179.3711295243106</v>
      </c>
      <c r="U159" s="507">
        <f>CowCalf!Z258</f>
        <v>171.28061362543173</v>
      </c>
      <c r="V159" s="507">
        <f>CowCalf!AA258</f>
        <v>163.66473306232692</v>
      </c>
      <c r="W159" s="507">
        <f>CowCalf!AB258</f>
        <v>156.53823400385195</v>
      </c>
      <c r="X159" s="507">
        <f>CowCalf!AC258</f>
        <v>149.74853935969844</v>
      </c>
      <c r="Y159" s="507">
        <f>CowCalf!AD258</f>
        <v>142.54800074822154</v>
      </c>
    </row>
    <row r="160" spans="3:25" ht="15">
      <c r="C160" s="513" t="str">
        <f>CowCalf!L259</f>
        <v>Returns/Hd Above Operating + Total Ownership Expenses</v>
      </c>
      <c r="D160" s="514"/>
      <c r="E160" s="514"/>
      <c r="F160" s="513"/>
      <c r="G160" s="514"/>
      <c r="H160" s="514"/>
      <c r="J160" s="512">
        <f>CowCalf!O259</f>
        <v>70.93021999999996</v>
      </c>
      <c r="K160" s="512">
        <f>CowCalf!P259</f>
        <v>5.782523496614033</v>
      </c>
      <c r="L160" s="512">
        <f>CowCalf!Q259</f>
        <v>-44.648982995111965</v>
      </c>
      <c r="M160" s="512">
        <f>CowCalf!R259</f>
        <v>-76.46039878424773</v>
      </c>
      <c r="N160" s="512">
        <f>CowCalf!S259</f>
        <v>-101.02107366643045</v>
      </c>
      <c r="O160" s="512">
        <f>CowCalf!T259</f>
        <v>-124.17685757896743</v>
      </c>
      <c r="P160" s="512">
        <f>CowCalf!U259</f>
        <v>-143.3698284429877</v>
      </c>
      <c r="Q160" s="512">
        <f>CowCalf!V259</f>
        <v>-149.87489225394035</v>
      </c>
      <c r="R160" s="512">
        <f>CowCalf!W259</f>
        <v>-145.16975930149792</v>
      </c>
      <c r="S160" s="512">
        <f>CowCalf!X259</f>
        <v>-136.17339547372032</v>
      </c>
      <c r="T160" s="512">
        <f>CowCalf!Y259</f>
        <v>-125.21343881263351</v>
      </c>
      <c r="U160" s="512">
        <f>CowCalf!Z259</f>
        <v>-118.20952207562266</v>
      </c>
      <c r="V160" s="512">
        <f>CowCalf!AA259</f>
        <v>-107.99355173957659</v>
      </c>
      <c r="W160" s="512">
        <f>CowCalf!AB259</f>
        <v>-91.83599623108104</v>
      </c>
      <c r="X160" s="512">
        <f>CowCalf!AC259</f>
        <v>-83.82050241671274</v>
      </c>
      <c r="Y160" s="512">
        <f>CowCalf!AD259</f>
        <v>-63.167288445188376</v>
      </c>
    </row>
    <row r="161" spans="3:25" ht="15.75">
      <c r="C161" s="527" t="str">
        <f>CowCalf!L260</f>
        <v>Additional Cash Flow Considerations</v>
      </c>
      <c r="D161" s="40"/>
      <c r="E161" s="40"/>
      <c r="F161" s="527"/>
      <c r="G161" s="40"/>
      <c r="H161" s="40"/>
      <c r="J161" s="507"/>
      <c r="K161" s="507">
        <f>CowCalf!P260</f>
        <v>0</v>
      </c>
      <c r="L161" s="507">
        <f>CowCalf!Q260</f>
        <v>0</v>
      </c>
      <c r="M161" s="507">
        <f>CowCalf!R260</f>
        <v>0</v>
      </c>
      <c r="N161" s="507">
        <f>CowCalf!S260</f>
        <v>0</v>
      </c>
      <c r="O161" s="507">
        <f>CowCalf!T260</f>
        <v>0</v>
      </c>
      <c r="P161" s="507">
        <f>CowCalf!U260</f>
        <v>0</v>
      </c>
      <c r="Q161" s="507">
        <f>CowCalf!V260</f>
        <v>0</v>
      </c>
      <c r="R161" s="507">
        <f>CowCalf!W260</f>
        <v>0</v>
      </c>
      <c r="S161" s="507">
        <f>CowCalf!X260</f>
        <v>0</v>
      </c>
      <c r="T161" s="507">
        <f>CowCalf!Y260</f>
        <v>0</v>
      </c>
      <c r="U161" s="507">
        <f>CowCalf!Z260</f>
        <v>0</v>
      </c>
      <c r="V161" s="507">
        <f>CowCalf!AA260</f>
        <v>0</v>
      </c>
      <c r="W161" s="507">
        <f>CowCalf!AB260</f>
        <v>0</v>
      </c>
      <c r="X161" s="507">
        <f>CowCalf!AC260</f>
        <v>0</v>
      </c>
      <c r="Y161" s="507">
        <f>CowCalf!AD260</f>
        <v>0</v>
      </c>
    </row>
    <row r="162" spans="3:25" ht="15">
      <c r="C162" s="494" t="str">
        <f>CowCalf!L261</f>
        <v>Cash Outflows/head-Principal Payments (Not Expenses)</v>
      </c>
      <c r="D162" s="40"/>
      <c r="E162" s="40"/>
      <c r="F162" s="494"/>
      <c r="G162" s="40"/>
      <c r="H162" s="40"/>
      <c r="J162" s="507"/>
      <c r="K162" s="507">
        <f>CowCalf!P261</f>
        <v>16.40917417292321</v>
      </c>
      <c r="L162" s="507">
        <f>CowCalf!Q261</f>
        <v>22.466349131283575</v>
      </c>
      <c r="M162" s="507">
        <f>CowCalf!R261</f>
        <v>28.383086552775435</v>
      </c>
      <c r="N162" s="507">
        <f>CowCalf!S261</f>
        <v>25.548351492130212</v>
      </c>
      <c r="O162" s="507">
        <f>CowCalf!T261</f>
        <v>23.08640544294556</v>
      </c>
      <c r="P162" s="507">
        <f>CowCalf!U261</f>
        <v>20.8347237199317</v>
      </c>
      <c r="Q162" s="507">
        <f>CowCalf!V261</f>
        <v>19.051118742277726</v>
      </c>
      <c r="R162" s="507">
        <f>CowCalf!W261</f>
        <v>17.86531139673247</v>
      </c>
      <c r="S162" s="507">
        <f>CowCalf!X261</f>
        <v>17.187968339535914</v>
      </c>
      <c r="T162" s="507">
        <f>CowCalf!Y261</f>
        <v>16.834765973157634</v>
      </c>
      <c r="U162" s="507">
        <f>CowCalf!Z261</f>
        <v>16.503599780122432</v>
      </c>
      <c r="V162" s="507">
        <f>CowCalf!AA261</f>
        <v>16.27313994978818</v>
      </c>
      <c r="W162" s="507">
        <f>CowCalf!AB261</f>
        <v>16.230849574698123</v>
      </c>
      <c r="X162" s="507">
        <f>CowCalf!AC261</f>
        <v>16.12070932653757</v>
      </c>
      <c r="Y162" s="507">
        <f>CowCalf!AD261</f>
        <v>16.33926293272466</v>
      </c>
    </row>
    <row r="163" spans="3:25" ht="15">
      <c r="C163" s="513" t="str">
        <f>CowCalf!L262</f>
        <v>Returns/Hd Above Cash (Operating+Ownership+Principal)</v>
      </c>
      <c r="D163" s="514"/>
      <c r="E163" s="514"/>
      <c r="F163" s="513"/>
      <c r="G163" s="514"/>
      <c r="H163" s="514"/>
      <c r="J163" s="512"/>
      <c r="K163" s="512">
        <f>CowCalf!P262</f>
        <v>262.11628302234857</v>
      </c>
      <c r="L163" s="512">
        <f>CowCalf!Q262</f>
        <v>198.4144494118926</v>
      </c>
      <c r="M163" s="512">
        <f>CowCalf!R262</f>
        <v>151.0091488343334</v>
      </c>
      <c r="N163" s="512">
        <f>CowCalf!S262</f>
        <v>116.65865041769179</v>
      </c>
      <c r="O163" s="512">
        <f>CowCalf!T262</f>
        <v>83.18760085767002</v>
      </c>
      <c r="P163" s="512">
        <f>CowCalf!U262</f>
        <v>54.21586696697511</v>
      </c>
      <c r="Q163" s="512">
        <f>CowCalf!V262</f>
        <v>38.36939775713212</v>
      </c>
      <c r="R163" s="512">
        <f>CowCalf!W262</f>
        <v>34.12105804157821</v>
      </c>
      <c r="S163" s="512">
        <f>CowCalf!X262</f>
        <v>34.550787907111136</v>
      </c>
      <c r="T163" s="512">
        <f>CowCalf!Y262</f>
        <v>37.32292473851945</v>
      </c>
      <c r="U163" s="512">
        <f>CowCalf!Z262</f>
        <v>36.56749176968664</v>
      </c>
      <c r="V163" s="512">
        <f>CowCalf!AA262</f>
        <v>39.398041372962155</v>
      </c>
      <c r="W163" s="512">
        <f>CowCalf!AB262</f>
        <v>48.47138819807279</v>
      </c>
      <c r="X163" s="512">
        <f>CowCalf!AC262</f>
        <v>49.807327616448134</v>
      </c>
      <c r="Y163" s="512">
        <f>CowCalf!AD262</f>
        <v>63.0414493703085</v>
      </c>
    </row>
  </sheetData>
  <sheetProtection sheet="1" objects="1" scenarios="1" formatCells="0" formatColumns="0" formatRows="0"/>
  <mergeCells count="8">
    <mergeCell ref="C61:E61"/>
    <mergeCell ref="C62:E62"/>
    <mergeCell ref="C63:E63"/>
    <mergeCell ref="C81:E81"/>
    <mergeCell ref="C82:E82"/>
    <mergeCell ref="C83:E83"/>
    <mergeCell ref="C84:E84"/>
    <mergeCell ref="C85:E85"/>
  </mergeCells>
  <conditionalFormatting sqref="K145:L148 J128:Y141 J90:Y91 J94:Y95 J106:Y108 J110:Y111 K117:Y123 J97:Y104 J60:Y88 J153:Y163">
    <cfRule type="cellIs" priority="1" dxfId="0" operator="lessThan" stopIfTrue="1">
      <formula>0</formula>
    </cfRule>
  </conditionalFormatting>
  <printOptions/>
  <pageMargins left="0.75" right="0.75" top="1" bottom="1" header="0.5" footer="0.5"/>
  <pageSetup fitToHeight="1" fitToWidth="1" horizontalDpi="300" verticalDpi="300" orientation="landscape" scale="22" r:id="rId1"/>
</worksheet>
</file>

<file path=xl/worksheets/sheet4.xml><?xml version="1.0" encoding="utf-8"?>
<worksheet xmlns="http://schemas.openxmlformats.org/spreadsheetml/2006/main" xmlns:r="http://schemas.openxmlformats.org/officeDocument/2006/relationships">
  <sheetPr codeName="Sheet5"/>
  <dimension ref="B2:J92"/>
  <sheetViews>
    <sheetView showGridLines="0" zoomScale="85" zoomScaleNormal="85" workbookViewId="0" topLeftCell="A7">
      <selection activeCell="G23" sqref="G23"/>
    </sheetView>
  </sheetViews>
  <sheetFormatPr defaultColWidth="10.28125" defaultRowHeight="12.75"/>
  <cols>
    <col min="1" max="16384" width="10.28125" style="113" customWidth="1"/>
  </cols>
  <sheetData>
    <row r="2" ht="15.75">
      <c r="B2" s="259" t="s">
        <v>313</v>
      </c>
    </row>
    <row r="3" ht="15.75">
      <c r="B3" s="259" t="s">
        <v>314</v>
      </c>
    </row>
    <row r="4" ht="15.75">
      <c r="B4" s="259" t="s">
        <v>315</v>
      </c>
    </row>
    <row r="5" ht="15.75">
      <c r="B5" s="259" t="s">
        <v>316</v>
      </c>
    </row>
    <row r="7" ht="15.75">
      <c r="B7" s="259" t="s">
        <v>317</v>
      </c>
    </row>
    <row r="8" ht="15.75">
      <c r="B8" s="300" t="s">
        <v>318</v>
      </c>
    </row>
    <row r="9" ht="15.75">
      <c r="B9" s="259" t="s">
        <v>334</v>
      </c>
    </row>
    <row r="10" ht="15.75">
      <c r="B10" s="259" t="s">
        <v>335</v>
      </c>
    </row>
    <row r="11" ht="15.75">
      <c r="B11" s="259" t="s">
        <v>336</v>
      </c>
    </row>
    <row r="12" ht="15.75">
      <c r="B12" s="259"/>
    </row>
    <row r="13" spans="2:7" ht="15.75">
      <c r="B13" s="296" t="s">
        <v>329</v>
      </c>
      <c r="C13"/>
      <c r="D13"/>
      <c r="E13"/>
      <c r="G13"/>
    </row>
    <row r="14" spans="2:10" ht="15.75">
      <c r="B14"/>
      <c r="C14" t="s">
        <v>324</v>
      </c>
      <c r="D14"/>
      <c r="E14"/>
      <c r="F14"/>
      <c r="G14"/>
      <c r="H14"/>
      <c r="I14"/>
      <c r="J14"/>
    </row>
    <row r="15" spans="3:10" ht="15.75">
      <c r="C15" s="548" t="s">
        <v>321</v>
      </c>
      <c r="D15" s="549"/>
      <c r="E15" s="550"/>
      <c r="F15" t="s">
        <v>30</v>
      </c>
      <c r="G15" t="s">
        <v>30</v>
      </c>
      <c r="H15"/>
      <c r="I15"/>
      <c r="J15"/>
    </row>
    <row r="16" spans="2:10" ht="15.75">
      <c r="B16" s="294" t="s">
        <v>320</v>
      </c>
      <c r="C16" s="295">
        <v>3</v>
      </c>
      <c r="D16" s="295">
        <v>5</v>
      </c>
      <c r="E16" s="295">
        <v>7</v>
      </c>
      <c r="H16"/>
      <c r="I16"/>
      <c r="J16"/>
    </row>
    <row r="17" spans="2:10" ht="15.75">
      <c r="B17" s="294">
        <v>1</v>
      </c>
      <c r="C17" s="301">
        <v>25</v>
      </c>
      <c r="D17" s="301">
        <v>15</v>
      </c>
      <c r="E17" s="301">
        <v>10.71</v>
      </c>
      <c r="H17"/>
      <c r="I17"/>
      <c r="J17"/>
    </row>
    <row r="18" spans="2:10" ht="15.75">
      <c r="B18" s="294">
        <v>2</v>
      </c>
      <c r="C18" s="301">
        <v>37.5</v>
      </c>
      <c r="D18" s="301">
        <v>25.5</v>
      </c>
      <c r="E18" s="301">
        <v>19.13</v>
      </c>
      <c r="H18"/>
      <c r="I18"/>
      <c r="J18"/>
    </row>
    <row r="19" spans="2:10" ht="15.75">
      <c r="B19" s="294">
        <v>3</v>
      </c>
      <c r="C19" s="301">
        <v>25</v>
      </c>
      <c r="D19" s="301">
        <v>17.85</v>
      </c>
      <c r="E19" s="301">
        <v>15.03</v>
      </c>
      <c r="H19" t="s">
        <v>30</v>
      </c>
      <c r="I19" t="s">
        <v>30</v>
      </c>
      <c r="J19" t="s">
        <v>30</v>
      </c>
    </row>
    <row r="20" spans="2:5" ht="15.75">
      <c r="B20" s="294">
        <v>4</v>
      </c>
      <c r="C20" s="301">
        <v>12.5</v>
      </c>
      <c r="D20" s="301">
        <v>16.66</v>
      </c>
      <c r="E20" s="301">
        <v>12.25</v>
      </c>
    </row>
    <row r="21" spans="2:5" ht="15.75">
      <c r="B21" s="294">
        <v>5</v>
      </c>
      <c r="C21" s="301" t="s">
        <v>30</v>
      </c>
      <c r="D21" s="301">
        <v>16.66</v>
      </c>
      <c r="E21" s="301">
        <v>12.25</v>
      </c>
    </row>
    <row r="22" spans="2:5" ht="15.75">
      <c r="B22" s="294">
        <v>6</v>
      </c>
      <c r="C22" s="301" t="s">
        <v>30</v>
      </c>
      <c r="D22" s="301">
        <v>8.33</v>
      </c>
      <c r="E22" s="301">
        <v>12.25</v>
      </c>
    </row>
    <row r="23" spans="2:5" ht="15.75">
      <c r="B23" s="294">
        <v>7</v>
      </c>
      <c r="C23" s="301" t="s">
        <v>30</v>
      </c>
      <c r="D23" s="301" t="s">
        <v>30</v>
      </c>
      <c r="E23" s="301">
        <v>12.25</v>
      </c>
    </row>
    <row r="24" spans="2:5" ht="15.75">
      <c r="B24" s="294">
        <v>8</v>
      </c>
      <c r="C24" s="301" t="s">
        <v>30</v>
      </c>
      <c r="D24" s="301" t="s">
        <v>30</v>
      </c>
      <c r="E24" s="301">
        <v>6.13</v>
      </c>
    </row>
    <row r="25" spans="4:6" ht="15.75">
      <c r="D25" s="294"/>
      <c r="E25" s="294"/>
      <c r="F25" s="294"/>
    </row>
    <row r="26" spans="2:10" ht="15.75">
      <c r="B26" s="296" t="s">
        <v>330</v>
      </c>
      <c r="C26"/>
      <c r="D26"/>
      <c r="E26"/>
      <c r="F26"/>
      <c r="G26"/>
      <c r="H26"/>
      <c r="I26"/>
      <c r="J26"/>
    </row>
    <row r="27" spans="2:10" ht="15.75">
      <c r="B27"/>
      <c r="C27" t="s">
        <v>322</v>
      </c>
      <c r="D27"/>
      <c r="E27"/>
      <c r="F27"/>
      <c r="G27"/>
      <c r="H27"/>
      <c r="I27"/>
      <c r="J27"/>
    </row>
    <row r="28" spans="2:10" ht="15.75">
      <c r="B28"/>
      <c r="C28" t="s">
        <v>325</v>
      </c>
      <c r="D28"/>
      <c r="E28"/>
      <c r="F28"/>
      <c r="G28"/>
      <c r="H28"/>
      <c r="I28"/>
      <c r="J28"/>
    </row>
    <row r="29" spans="2:10" ht="15.75">
      <c r="B29"/>
      <c r="C29"/>
      <c r="D29"/>
      <c r="E29"/>
      <c r="F29"/>
      <c r="G29"/>
      <c r="H29"/>
      <c r="I29"/>
      <c r="J29"/>
    </row>
    <row r="30" spans="2:10" ht="15.75">
      <c r="B30" t="s">
        <v>320</v>
      </c>
      <c r="C30" s="548" t="s">
        <v>321</v>
      </c>
      <c r="D30" s="549"/>
      <c r="E30" s="550"/>
      <c r="F30" t="s">
        <v>30</v>
      </c>
      <c r="G30" t="s">
        <v>30</v>
      </c>
      <c r="H30" t="s">
        <v>30</v>
      </c>
      <c r="I30" t="s">
        <v>30</v>
      </c>
      <c r="J30" t="s">
        <v>30</v>
      </c>
    </row>
    <row r="31" spans="2:9" ht="15.75">
      <c r="B31" s="294" t="s">
        <v>30</v>
      </c>
      <c r="C31" s="295">
        <v>3</v>
      </c>
      <c r="D31" s="295">
        <v>5</v>
      </c>
      <c r="E31" s="295">
        <v>7</v>
      </c>
      <c r="I31"/>
    </row>
    <row r="32" spans="2:9" ht="15.75">
      <c r="B32" s="294">
        <v>1</v>
      </c>
      <c r="C32" s="301">
        <v>43.75</v>
      </c>
      <c r="D32" s="301">
        <v>26.25</v>
      </c>
      <c r="E32" s="301">
        <v>18.75</v>
      </c>
      <c r="I32"/>
    </row>
    <row r="33" spans="2:9" ht="15.75">
      <c r="B33" s="294">
        <v>2</v>
      </c>
      <c r="C33" s="301">
        <v>28.13</v>
      </c>
      <c r="D33" s="301">
        <v>22.13</v>
      </c>
      <c r="E33" s="301">
        <v>17.41</v>
      </c>
      <c r="I33"/>
    </row>
    <row r="34" spans="2:9" ht="15.75">
      <c r="B34" s="294">
        <v>3</v>
      </c>
      <c r="C34" s="301">
        <v>25</v>
      </c>
      <c r="D34" s="301">
        <v>16.52</v>
      </c>
      <c r="E34" s="301">
        <v>13.68</v>
      </c>
      <c r="I34"/>
    </row>
    <row r="35" spans="2:9" ht="15.75">
      <c r="B35" s="294">
        <v>4</v>
      </c>
      <c r="C35" s="301">
        <v>3.12</v>
      </c>
      <c r="D35" s="301">
        <v>16.52</v>
      </c>
      <c r="E35" s="301">
        <v>12.16</v>
      </c>
      <c r="I35"/>
    </row>
    <row r="36" spans="2:9" ht="15.75">
      <c r="B36" s="294">
        <v>5</v>
      </c>
      <c r="C36" s="301" t="s">
        <v>30</v>
      </c>
      <c r="D36" s="301">
        <v>16.52</v>
      </c>
      <c r="E36" s="301">
        <v>12.16</v>
      </c>
      <c r="I36"/>
    </row>
    <row r="37" spans="2:9" ht="15.75">
      <c r="B37" s="294">
        <v>6</v>
      </c>
      <c r="C37" s="301" t="s">
        <v>30</v>
      </c>
      <c r="D37" s="301">
        <v>2.06</v>
      </c>
      <c r="E37" s="301">
        <v>12.16</v>
      </c>
      <c r="I37"/>
    </row>
    <row r="38" spans="2:9" ht="15.75">
      <c r="B38" s="294">
        <v>7</v>
      </c>
      <c r="C38" s="301" t="s">
        <v>30</v>
      </c>
      <c r="D38" s="301" t="s">
        <v>30</v>
      </c>
      <c r="E38" s="301">
        <v>12.16</v>
      </c>
      <c r="I38"/>
    </row>
    <row r="39" spans="2:9" ht="15.75">
      <c r="B39" s="294">
        <v>8</v>
      </c>
      <c r="C39" s="301" t="s">
        <v>30</v>
      </c>
      <c r="D39" s="301" t="s">
        <v>30</v>
      </c>
      <c r="E39" s="301">
        <v>1.52</v>
      </c>
      <c r="I39"/>
    </row>
    <row r="40" spans="2:10" ht="15.75">
      <c r="B40" s="294"/>
      <c r="C40" s="294" t="s">
        <v>30</v>
      </c>
      <c r="D40" s="294" t="s">
        <v>30</v>
      </c>
      <c r="E40" s="294" t="s">
        <v>30</v>
      </c>
      <c r="F40" t="s">
        <v>30</v>
      </c>
      <c r="G40" t="s">
        <v>30</v>
      </c>
      <c r="H40"/>
      <c r="I40"/>
      <c r="J40" t="s">
        <v>30</v>
      </c>
    </row>
    <row r="41" spans="2:10" ht="15.75">
      <c r="B41" s="299" t="s">
        <v>331</v>
      </c>
      <c r="C41" s="294"/>
      <c r="D41" s="294"/>
      <c r="E41" s="294"/>
      <c r="F41"/>
      <c r="G41"/>
      <c r="H41"/>
      <c r="I41"/>
      <c r="J41"/>
    </row>
    <row r="42" spans="2:10" ht="15.75">
      <c r="B42" s="294"/>
      <c r="C42" s="298" t="s">
        <v>322</v>
      </c>
      <c r="D42" s="294"/>
      <c r="E42" s="294"/>
      <c r="F42"/>
      <c r="G42"/>
      <c r="H42"/>
      <c r="I42"/>
      <c r="J42"/>
    </row>
    <row r="43" spans="2:10" ht="15.75">
      <c r="B43" s="294"/>
      <c r="C43" s="298" t="s">
        <v>326</v>
      </c>
      <c r="D43" s="294"/>
      <c r="E43" s="294"/>
      <c r="F43"/>
      <c r="G43"/>
      <c r="H43"/>
      <c r="I43"/>
      <c r="J43"/>
    </row>
    <row r="44" spans="2:10" ht="15.75">
      <c r="B44" s="294"/>
      <c r="C44" s="294" t="s">
        <v>30</v>
      </c>
      <c r="D44" s="294"/>
      <c r="E44" s="294"/>
      <c r="F44"/>
      <c r="G44"/>
      <c r="H44"/>
      <c r="I44"/>
      <c r="J44"/>
    </row>
    <row r="45" spans="2:8" ht="15.75">
      <c r="B45" s="294" t="s">
        <v>323</v>
      </c>
      <c r="C45" s="548" t="s">
        <v>321</v>
      </c>
      <c r="D45" s="549"/>
      <c r="E45" s="550"/>
      <c r="F45" t="s">
        <v>30</v>
      </c>
      <c r="G45" t="s">
        <v>30</v>
      </c>
      <c r="H45" t="s">
        <v>30</v>
      </c>
    </row>
    <row r="46" spans="2:5" ht="15.75">
      <c r="B46" s="294" t="s">
        <v>30</v>
      </c>
      <c r="C46" s="295">
        <v>3</v>
      </c>
      <c r="D46" s="295">
        <v>5</v>
      </c>
      <c r="E46" s="295">
        <v>7</v>
      </c>
    </row>
    <row r="47" spans="2:5" ht="15.75">
      <c r="B47" s="294">
        <v>1</v>
      </c>
      <c r="C47" s="301">
        <v>31.25</v>
      </c>
      <c r="D47" s="301">
        <v>18.75</v>
      </c>
      <c r="E47" s="301">
        <v>13.39</v>
      </c>
    </row>
    <row r="48" spans="2:5" ht="15.75">
      <c r="B48" s="294">
        <v>2</v>
      </c>
      <c r="C48" s="301">
        <v>34.38</v>
      </c>
      <c r="D48" s="301">
        <v>24.38</v>
      </c>
      <c r="E48" s="301">
        <v>18.56</v>
      </c>
    </row>
    <row r="49" spans="2:5" ht="15.75">
      <c r="B49" s="294">
        <v>3</v>
      </c>
      <c r="C49" s="301">
        <v>25</v>
      </c>
      <c r="D49" s="301">
        <v>17.06</v>
      </c>
      <c r="E49" s="301">
        <v>14.58</v>
      </c>
    </row>
    <row r="50" spans="2:5" ht="15.75">
      <c r="B50" s="294">
        <v>4</v>
      </c>
      <c r="C50" s="301">
        <v>9.37</v>
      </c>
      <c r="D50" s="301">
        <v>16.76</v>
      </c>
      <c r="E50" s="301">
        <v>12.22</v>
      </c>
    </row>
    <row r="51" spans="2:5" ht="15.75">
      <c r="B51" s="294">
        <v>5</v>
      </c>
      <c r="C51" s="301" t="s">
        <v>30</v>
      </c>
      <c r="D51" s="301">
        <v>16.76</v>
      </c>
      <c r="E51" s="301">
        <v>12.22</v>
      </c>
    </row>
    <row r="52" spans="2:5" ht="15.75">
      <c r="B52" s="294">
        <v>6</v>
      </c>
      <c r="C52" s="301" t="s">
        <v>30</v>
      </c>
      <c r="D52" s="301">
        <v>6.29</v>
      </c>
      <c r="E52" s="301">
        <v>12.22</v>
      </c>
    </row>
    <row r="53" spans="2:5" ht="15.75">
      <c r="B53" s="294">
        <v>7</v>
      </c>
      <c r="C53" s="301" t="s">
        <v>30</v>
      </c>
      <c r="D53" s="301" t="s">
        <v>30</v>
      </c>
      <c r="E53" s="301">
        <v>12.23</v>
      </c>
    </row>
    <row r="54" spans="2:5" ht="15.75">
      <c r="B54" s="294">
        <v>8</v>
      </c>
      <c r="C54" s="301" t="s">
        <v>30</v>
      </c>
      <c r="D54" s="301" t="s">
        <v>30</v>
      </c>
      <c r="E54" s="301">
        <v>4.58</v>
      </c>
    </row>
    <row r="55" spans="2:5" ht="15.75">
      <c r="B55" s="297"/>
      <c r="C55" s="297"/>
      <c r="D55" s="297"/>
      <c r="E55" s="297"/>
    </row>
    <row r="56" spans="2:8" ht="15.75">
      <c r="B56" s="299" t="s">
        <v>332</v>
      </c>
      <c r="C56" s="298"/>
      <c r="D56" s="294"/>
      <c r="E56" s="294"/>
      <c r="F56"/>
      <c r="G56"/>
      <c r="H56"/>
    </row>
    <row r="57" spans="2:8" ht="15.75">
      <c r="B57" s="298"/>
      <c r="C57" s="298" t="s">
        <v>322</v>
      </c>
      <c r="D57" s="294"/>
      <c r="E57" s="294"/>
      <c r="F57"/>
      <c r="G57"/>
      <c r="H57"/>
    </row>
    <row r="58" spans="2:8" ht="15.75">
      <c r="B58" s="298"/>
      <c r="C58" s="298" t="s">
        <v>327</v>
      </c>
      <c r="D58" s="294"/>
      <c r="E58" s="294"/>
      <c r="F58"/>
      <c r="G58"/>
      <c r="H58"/>
    </row>
    <row r="59" spans="2:8" ht="15.75">
      <c r="B59" s="294"/>
      <c r="C59" s="294" t="s">
        <v>30</v>
      </c>
      <c r="D59" s="294"/>
      <c r="E59" s="294"/>
      <c r="F59"/>
      <c r="G59"/>
      <c r="H59"/>
    </row>
    <row r="60" spans="2:8" ht="15.75">
      <c r="B60" s="294" t="s">
        <v>323</v>
      </c>
      <c r="C60" s="548" t="s">
        <v>321</v>
      </c>
      <c r="D60" s="549"/>
      <c r="E60" s="550"/>
      <c r="F60" t="s">
        <v>30</v>
      </c>
      <c r="G60" t="s">
        <v>30</v>
      </c>
      <c r="H60" t="s">
        <v>30</v>
      </c>
    </row>
    <row r="61" spans="2:5" ht="15.75">
      <c r="B61" s="294" t="s">
        <v>30</v>
      </c>
      <c r="C61" s="295">
        <v>3</v>
      </c>
      <c r="D61" s="295">
        <v>5</v>
      </c>
      <c r="E61" s="295">
        <v>7</v>
      </c>
    </row>
    <row r="62" spans="2:5" ht="15.75">
      <c r="B62" s="294">
        <v>1</v>
      </c>
      <c r="C62" s="301">
        <v>18.75</v>
      </c>
      <c r="D62" s="301">
        <v>11.25</v>
      </c>
      <c r="E62" s="301">
        <v>8.04</v>
      </c>
    </row>
    <row r="63" spans="2:5" ht="15.75">
      <c r="B63" s="294">
        <v>2</v>
      </c>
      <c r="C63" s="301">
        <v>40.63</v>
      </c>
      <c r="D63" s="301">
        <v>26.63</v>
      </c>
      <c r="E63" s="301">
        <v>19.71</v>
      </c>
    </row>
    <row r="64" spans="2:5" ht="15.75">
      <c r="B64" s="294">
        <v>3</v>
      </c>
      <c r="C64" s="301">
        <v>25</v>
      </c>
      <c r="D64" s="301">
        <v>18.64</v>
      </c>
      <c r="E64" s="301">
        <v>15.48</v>
      </c>
    </row>
    <row r="65" spans="2:5" ht="15.75">
      <c r="B65" s="294">
        <v>4</v>
      </c>
      <c r="C65" s="301">
        <v>15.62</v>
      </c>
      <c r="D65" s="301">
        <v>16.56</v>
      </c>
      <c r="E65" s="301">
        <v>12.27</v>
      </c>
    </row>
    <row r="66" spans="2:5" ht="15.75">
      <c r="B66" s="294">
        <v>5</v>
      </c>
      <c r="C66" s="301" t="s">
        <v>30</v>
      </c>
      <c r="D66" s="301">
        <v>16.57</v>
      </c>
      <c r="E66" s="301">
        <v>12.28</v>
      </c>
    </row>
    <row r="67" spans="2:5" ht="15.75">
      <c r="B67" s="294">
        <v>6</v>
      </c>
      <c r="C67" s="301" t="s">
        <v>30</v>
      </c>
      <c r="D67" s="301">
        <v>10.35</v>
      </c>
      <c r="E67" s="301">
        <v>12.27</v>
      </c>
    </row>
    <row r="68" spans="2:5" ht="15.75">
      <c r="B68" s="294">
        <v>7</v>
      </c>
      <c r="C68" s="301" t="s">
        <v>30</v>
      </c>
      <c r="D68" s="301" t="s">
        <v>30</v>
      </c>
      <c r="E68" s="301">
        <v>12.28</v>
      </c>
    </row>
    <row r="69" spans="2:5" ht="15.75">
      <c r="B69" s="294">
        <v>8</v>
      </c>
      <c r="C69" s="301" t="s">
        <v>30</v>
      </c>
      <c r="D69" s="301" t="s">
        <v>30</v>
      </c>
      <c r="E69" s="301">
        <v>7.67</v>
      </c>
    </row>
    <row r="70" spans="2:5" ht="15.75">
      <c r="B70" s="297"/>
      <c r="C70" s="297"/>
      <c r="D70" s="297"/>
      <c r="E70" s="297"/>
    </row>
    <row r="71" spans="2:8" ht="15.75">
      <c r="B71" s="299" t="s">
        <v>333</v>
      </c>
      <c r="C71" s="298"/>
      <c r="D71" s="294"/>
      <c r="E71" s="294"/>
      <c r="F71"/>
      <c r="G71"/>
      <c r="H71"/>
    </row>
    <row r="72" spans="2:8" ht="15.75">
      <c r="B72" s="298"/>
      <c r="C72" s="298" t="s">
        <v>322</v>
      </c>
      <c r="D72" s="294"/>
      <c r="E72" s="294"/>
      <c r="F72"/>
      <c r="G72"/>
      <c r="H72"/>
    </row>
    <row r="73" spans="2:8" ht="15.75">
      <c r="B73" s="298"/>
      <c r="C73" s="298" t="s">
        <v>328</v>
      </c>
      <c r="D73" s="294"/>
      <c r="E73" s="294"/>
      <c r="F73"/>
      <c r="G73"/>
      <c r="H73"/>
    </row>
    <row r="74" spans="2:6" ht="15.75">
      <c r="B74" s="294"/>
      <c r="C74" s="294" t="s">
        <v>30</v>
      </c>
      <c r="D74" s="294"/>
      <c r="E74" s="294"/>
      <c r="F74"/>
    </row>
    <row r="75" spans="2:6" ht="15.75">
      <c r="B75" s="294" t="s">
        <v>323</v>
      </c>
      <c r="C75" s="548" t="s">
        <v>321</v>
      </c>
      <c r="D75" s="549"/>
      <c r="E75" s="550"/>
      <c r="F75" t="s">
        <v>30</v>
      </c>
    </row>
    <row r="76" spans="2:5" ht="15.75">
      <c r="B76" s="294" t="s">
        <v>30</v>
      </c>
      <c r="C76" s="295">
        <v>3</v>
      </c>
      <c r="D76" s="295">
        <v>5</v>
      </c>
      <c r="E76" s="295">
        <v>7</v>
      </c>
    </row>
    <row r="77" spans="2:5" ht="15.75">
      <c r="B77" s="294">
        <v>1</v>
      </c>
      <c r="C77" s="301">
        <v>6.25</v>
      </c>
      <c r="D77" s="301">
        <v>3.75</v>
      </c>
      <c r="E77" s="301">
        <v>2.68</v>
      </c>
    </row>
    <row r="78" spans="2:5" ht="15.75">
      <c r="B78" s="294">
        <v>2</v>
      </c>
      <c r="C78" s="301">
        <v>46.88</v>
      </c>
      <c r="D78" s="301">
        <v>28.88</v>
      </c>
      <c r="E78" s="301">
        <v>20.85</v>
      </c>
    </row>
    <row r="79" spans="2:5" ht="15.75">
      <c r="B79" s="294">
        <v>3</v>
      </c>
      <c r="C79" s="301">
        <v>25</v>
      </c>
      <c r="D79" s="301">
        <v>20.21</v>
      </c>
      <c r="E79" s="301">
        <v>16.39</v>
      </c>
    </row>
    <row r="80" spans="2:5" ht="15.75">
      <c r="B80" s="294">
        <v>4</v>
      </c>
      <c r="C80" s="301">
        <v>21.87</v>
      </c>
      <c r="D80" s="301">
        <v>16.4</v>
      </c>
      <c r="E80" s="301">
        <v>12.87</v>
      </c>
    </row>
    <row r="81" spans="2:5" ht="15.75">
      <c r="B81" s="294">
        <v>5</v>
      </c>
      <c r="C81" s="301" t="s">
        <v>30</v>
      </c>
      <c r="D81" s="301">
        <v>16.41</v>
      </c>
      <c r="E81" s="301">
        <v>12.18</v>
      </c>
    </row>
    <row r="82" spans="2:5" ht="15.75">
      <c r="B82" s="294">
        <v>6</v>
      </c>
      <c r="C82" s="301" t="s">
        <v>30</v>
      </c>
      <c r="D82" s="301">
        <v>14.35</v>
      </c>
      <c r="E82" s="301">
        <v>12.18</v>
      </c>
    </row>
    <row r="83" spans="2:5" ht="15.75">
      <c r="B83" s="294">
        <v>7</v>
      </c>
      <c r="C83" s="301" t="s">
        <v>30</v>
      </c>
      <c r="D83" s="301" t="s">
        <v>30</v>
      </c>
      <c r="E83" s="301">
        <v>12.19</v>
      </c>
    </row>
    <row r="84" spans="2:5" ht="15.75">
      <c r="B84" s="294">
        <v>8</v>
      </c>
      <c r="C84" s="301" t="s">
        <v>30</v>
      </c>
      <c r="D84" s="301" t="s">
        <v>30</v>
      </c>
      <c r="E84" s="301">
        <v>10.66</v>
      </c>
    </row>
    <row r="85" spans="2:6" ht="15.75">
      <c r="B85" s="294"/>
      <c r="C85" s="294" t="s">
        <v>30</v>
      </c>
      <c r="D85" s="294" t="s">
        <v>30</v>
      </c>
      <c r="E85" s="294" t="s">
        <v>30</v>
      </c>
      <c r="F85" t="s">
        <v>30</v>
      </c>
    </row>
    <row r="86" spans="2:6" ht="15.75">
      <c r="B86" s="294"/>
      <c r="C86" s="294" t="s">
        <v>30</v>
      </c>
      <c r="D86" s="294" t="s">
        <v>30</v>
      </c>
      <c r="E86" s="294" t="s">
        <v>30</v>
      </c>
      <c r="F86" t="s">
        <v>30</v>
      </c>
    </row>
    <row r="87" spans="2:10" ht="15.75">
      <c r="B87" s="294"/>
      <c r="C87" s="294" t="s">
        <v>30</v>
      </c>
      <c r="D87" s="294" t="s">
        <v>30</v>
      </c>
      <c r="E87" s="294" t="s">
        <v>30</v>
      </c>
      <c r="F87" t="s">
        <v>30</v>
      </c>
      <c r="G87" t="s">
        <v>30</v>
      </c>
      <c r="H87" t="s">
        <v>30</v>
      </c>
      <c r="I87" t="s">
        <v>30</v>
      </c>
      <c r="J87" t="s">
        <v>30</v>
      </c>
    </row>
    <row r="88" spans="2:5" ht="15.75">
      <c r="B88" s="297"/>
      <c r="C88" s="297"/>
      <c r="D88" s="297"/>
      <c r="E88" s="297"/>
    </row>
    <row r="89" spans="3:4" ht="15.75">
      <c r="C89" s="297"/>
      <c r="D89" s="297"/>
    </row>
    <row r="90" spans="3:4" ht="15.75">
      <c r="C90" s="297"/>
      <c r="D90" s="297"/>
    </row>
    <row r="91" ht="15.75">
      <c r="C91" s="297"/>
    </row>
    <row r="92" ht="15.75">
      <c r="C92" s="297"/>
    </row>
  </sheetData>
  <sheetProtection sheet="1" objects="1" scenarios="1"/>
  <mergeCells count="5">
    <mergeCell ref="C75:E75"/>
    <mergeCell ref="C15:E15"/>
    <mergeCell ref="C30:E30"/>
    <mergeCell ref="C45:E45"/>
    <mergeCell ref="C60:E6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pageSetUpPr fitToPage="1"/>
  </sheetPr>
  <dimension ref="C2:C2"/>
  <sheetViews>
    <sheetView showGridLines="0" workbookViewId="0" topLeftCell="A1">
      <selection activeCell="E15" sqref="E15"/>
    </sheetView>
  </sheetViews>
  <sheetFormatPr defaultColWidth="10.28125" defaultRowHeight="12.75"/>
  <cols>
    <col min="1" max="16384" width="10.28125" style="113" customWidth="1"/>
  </cols>
  <sheetData>
    <row r="2" ht="15.75">
      <c r="C2" s="259" t="s">
        <v>281</v>
      </c>
    </row>
  </sheetData>
  <sheetProtection sheet="1" objects="1" scenarios="1"/>
  <printOptions horizontalCentered="1"/>
  <pageMargins left="0.4" right="0.4" top="0.333" bottom="0.333" header="0.5" footer="0.5"/>
  <pageSetup fitToHeight="1" fitToWidth="1" horizontalDpi="300" verticalDpi="300" orientation="portrait" scale="9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 Calf Feeder Stocker Cost of Production</dc:title>
  <dc:subject/>
  <dc:creator>Duane Griffith</dc:creator>
  <cp:keywords/>
  <dc:description/>
  <cp:lastModifiedBy>griffith</cp:lastModifiedBy>
  <cp:lastPrinted>2006-02-23T22:02:10Z</cp:lastPrinted>
  <dcterms:created xsi:type="dcterms:W3CDTF">1998-01-13T19:42:44Z</dcterms:created>
  <dcterms:modified xsi:type="dcterms:W3CDTF">2006-03-10T18:02:25Z</dcterms:modified>
  <cp:category/>
  <cp:version/>
  <cp:contentType/>
  <cp:contentStatus/>
</cp:coreProperties>
</file>