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90" windowHeight="3150" activeTab="1"/>
  </bookViews>
  <sheets>
    <sheet name="Intro" sheetId="1" r:id="rId1"/>
    <sheet name="FutGraph" sheetId="2" r:id="rId2"/>
    <sheet name="OptGraph" sheetId="3" r:id="rId3"/>
    <sheet name="Cost_of_Prod1" sheetId="4" r:id="rId4"/>
    <sheet name="Cost_of_Prod2" sheetId="5" r:id="rId5"/>
    <sheet name="OldStorage" sheetId="6" r:id="rId6"/>
    <sheet name="NewStorage" sheetId="7" r:id="rId7"/>
    <sheet name="MTBasis" sheetId="8" r:id="rId8"/>
    <sheet name="PNWWhtBasis" sheetId="9" r:id="rId9"/>
  </sheets>
  <definedNames/>
  <calcPr fullCalcOnLoad="1" iterate="1" iterateCount="1" iterateDelta="0.001"/>
</workbook>
</file>

<file path=xl/comments2.xml><?xml version="1.0" encoding="utf-8"?>
<comments xmlns="http://schemas.openxmlformats.org/spreadsheetml/2006/main">
  <authors>
    <author>Duane Griffith</author>
  </authors>
  <commentList>
    <comment ref="A32" authorId="0">
      <text>
        <r>
          <rPr>
            <b/>
            <sz val="9"/>
            <rFont val="Tahoma"/>
            <family val="2"/>
          </rPr>
          <t xml:space="preserve">The difference between the projected net income at the time the hedge is placed and the net income after the transaction is complete (hedge is lifted and grain is sold) will always be the difference in the estimated basis before the transaction and the acutal basis at the time of the transaction.  If the estimated basis and actual basis are the same, net incomes will also be the same, </t>
        </r>
        <r>
          <rPr>
            <b/>
            <sz val="9"/>
            <color indexed="10"/>
            <rFont val="Tahoma"/>
            <family val="2"/>
          </rPr>
          <t xml:space="preserve">i.e. the hedge works except for changes in basis from the time the hedge is place to the time it is lifted.
</t>
        </r>
        <r>
          <rPr>
            <b/>
            <sz val="9"/>
            <rFont val="Tahoma"/>
            <family val="2"/>
          </rPr>
          <t xml:space="preserve">
The Net Inc. @ Sale/Trade $/bu results have been adjusted for the interest and brokerage fees you entered.
</t>
        </r>
      </text>
    </comment>
    <comment ref="A17" authorId="0">
      <text>
        <r>
          <rPr>
            <b/>
            <sz val="9"/>
            <rFont val="Tahoma"/>
            <family val="2"/>
          </rPr>
          <t>The graph to the left shows the price protection established when you enter "Futures@Purchase."  The red line shows how price protection varies as the basis changes.  The point where the red line crosses the blue line is the price protection level established using the "Futures@Purchase" you entered</t>
        </r>
        <r>
          <rPr>
            <b/>
            <sz val="9"/>
            <color indexed="10"/>
            <rFont val="Tahoma"/>
            <family val="2"/>
          </rPr>
          <t xml:space="preserve"> and adjusting for the basis, interest and brokerage fees. </t>
        </r>
        <r>
          <rPr>
            <b/>
            <sz val="9"/>
            <rFont val="Tahoma"/>
            <family val="2"/>
          </rPr>
          <t xml:space="preserve">
Note:  You can hold the end of your mouse pointer on the red line and it will show you the price protection level offered for the basis shown on the X axis below the line.
This graph can be used to show price protection levels for short or long futures positions. </t>
        </r>
      </text>
    </comment>
    <comment ref="C40" authorId="0">
      <text>
        <r>
          <rPr>
            <b/>
            <sz val="9"/>
            <rFont val="Tahoma"/>
            <family val="2"/>
          </rPr>
          <t>This value controls the incremental change in basis that is displayed on the X axis of the graph.  For example, a value of .2 here would cause the basis to change in $.20 increments on the graph.  Note that the numbers displayed along X axis of the graph may not correspond to the increments but the "tick marks" on the graph do correspond to the increments.</t>
        </r>
      </text>
    </comment>
    <comment ref="A26" authorId="0">
      <text>
        <r>
          <rPr>
            <b/>
            <sz val="9"/>
            <rFont val="Tahoma"/>
            <family val="2"/>
          </rPr>
          <t>You can use the box at the right (inside red line) to do some what if analysis that will show the possible outcomes of a futures transaction.  Enter the numbers is blue text to evaluate any possible scenario.  Experimenting with these what ifs will help you understand how hedging works.  
The results for the what if analysis are valid only for short hedges.</t>
        </r>
      </text>
    </comment>
    <comment ref="C16" authorId="0">
      <text>
        <r>
          <rPr>
            <b/>
            <sz val="9"/>
            <rFont val="Tahoma"/>
            <family val="2"/>
          </rPr>
          <t>A long hedge is used to protect input prices.  Since this type of hedge is protecting prices for an input into a production process, it is difficult (here) to estimate the outcome of the all the possible production processes that might take place.  Hence, the results here show only the price protection level established with a long hedge.  This is shown by the red line on the graph. See the Short Hedge help also.</t>
        </r>
      </text>
    </comment>
    <comment ref="B16" authorId="0">
      <text>
        <r>
          <rPr>
            <b/>
            <sz val="9"/>
            <rFont val="Tahoma"/>
            <family val="2"/>
          </rPr>
          <t>A short hedge is used to protect output prices.  Commodity producers use the short hedge (sell position in futures) to protect the price of a commodity they are growing.  The graph at right shows the level of price protection available given the data entered below.  This price protection can be combined with cost of production information to estimate net incomes.  The red lined box below allows users to analyze the results of a short hedge and look at many different possible outcomes/scenarios.  
There are to many possible scenarios for which a producer may wish to use a long hedge, hence net income from the production process is not analyzed.  Only the price protection from the long hedge is shown.  See Long Hedge.</t>
        </r>
      </text>
    </comment>
    <comment ref="A35" authorId="0">
      <text>
        <r>
          <rPr>
            <b/>
            <sz val="9"/>
            <rFont val="Tahoma"/>
            <family val="2"/>
          </rPr>
          <t>Changing the percent hedged will show the results of taking a hedge position that does not match the actual production levels.  Example, you grow 42,000 bushels annually and hedge this production with 9 contracts or 45,000 bushels.  You are 107% hedged.</t>
        </r>
      </text>
    </comment>
    <comment ref="D24" authorId="0">
      <text>
        <r>
          <rPr>
            <b/>
            <sz val="9"/>
            <rFont val="Tahoma"/>
            <family val="2"/>
          </rPr>
          <t>Applicable only if this is a short hedge.</t>
        </r>
      </text>
    </comment>
    <comment ref="D20" authorId="0">
      <text>
        <r>
          <rPr>
            <b/>
            <sz val="9"/>
            <rFont val="Tahoma"/>
            <family val="2"/>
          </rPr>
          <t>See the basis data included in this spreadsheet for average basis by month and type of grain.</t>
        </r>
      </text>
    </comment>
  </commentList>
</comments>
</file>

<file path=xl/comments3.xml><?xml version="1.0" encoding="utf-8"?>
<comments xmlns="http://schemas.openxmlformats.org/spreadsheetml/2006/main">
  <authors>
    <author>Duane Griffith</author>
  </authors>
  <commentList>
    <comment ref="B49" authorId="0">
      <text>
        <r>
          <rPr>
            <b/>
            <sz val="9"/>
            <rFont val="Tahoma"/>
            <family val="2"/>
          </rPr>
          <t xml:space="preserve">This type of an option would be exercised/offset only if the strike price was below the futures price at the time the commodity was needed.  </t>
        </r>
      </text>
    </comment>
    <comment ref="B47" authorId="0">
      <text>
        <r>
          <rPr>
            <b/>
            <sz val="9"/>
            <rFont val="Tahoma"/>
            <family val="2"/>
          </rPr>
          <t xml:space="preserve">The basis at sale time is calculated from the futures price and cash price entered at sale time.  </t>
        </r>
      </text>
    </comment>
    <comment ref="B36" authorId="0">
      <text>
        <r>
          <rPr>
            <b/>
            <sz val="9"/>
            <rFont val="Tahoma"/>
            <family val="2"/>
          </rPr>
          <t>Typically, call options are used by producers who wish to protect the price of an input into the production process.  An example might be a cattle feeder that wishes to  protect (lock in) the price of feeders as an input in the production of fat cattle, or lock in the price of corn as an input into the production of fat cattle.  While this is a typical situation, it in  no way begins to describe the possible uses of options.  This graph shows only the potential for profits as futures prices change relative to the strike price entered when a call option is purchased.
The Estimated Cash line was calculated using the basis entered and futures price along the x axis.
The Cash + Opt. line has been adjusted for brokerage and interest fees.</t>
        </r>
      </text>
    </comment>
    <comment ref="B15" authorId="0">
      <text>
        <r>
          <rPr>
            <b/>
            <sz val="9"/>
            <rFont val="Tahoma"/>
            <family val="2"/>
          </rPr>
          <t xml:space="preserve">Note:  The graph to the right is based on the numbers you enter for strike price, premium, current futures and expected basis, </t>
        </r>
        <r>
          <rPr>
            <b/>
            <sz val="9"/>
            <color indexed="12"/>
            <rFont val="Tahoma"/>
            <family val="2"/>
          </rPr>
          <t>shown in blue text to the right</t>
        </r>
        <r>
          <rPr>
            <b/>
            <sz val="9"/>
            <rFont val="Tahoma"/>
            <family val="2"/>
          </rPr>
          <t>.  The graph shows</t>
        </r>
        <r>
          <rPr>
            <b/>
            <sz val="9"/>
            <color indexed="10"/>
            <rFont val="Tahoma"/>
            <family val="2"/>
          </rPr>
          <t xml:space="preserve"> revenue expectations</t>
        </r>
        <r>
          <rPr>
            <b/>
            <sz val="9"/>
            <rFont val="Tahoma"/>
            <family val="2"/>
          </rPr>
          <t xml:space="preserve"> for a commodity when the option is purchased for: 1) purchase of an option only, 2) Cash price at sale time (only) using futures and basis to project cash price, 3) combining the option and cash price together to get the price received with an option contract.  Only the revenue side (price expectations) are shown in the garph.  Cost of prod. nor net income are shown.
The Cash + Opt line (red line) of the graph has been adjusted for brokerage and interest fees. 
If you hold the tip of your mouse pointer on the lines in the graph, the program will tell you the price level for each of the three lines given the futures price on the X axis.
</t>
        </r>
        <r>
          <rPr>
            <b/>
            <sz val="11"/>
            <color indexed="10"/>
            <rFont val="Tahoma"/>
            <family val="2"/>
          </rPr>
          <t>Be vary careful not to delete any part of the graph accidentally since this sheet is unprotected.</t>
        </r>
      </text>
    </comment>
    <comment ref="E49" authorId="0">
      <text>
        <r>
          <rPr>
            <b/>
            <sz val="9"/>
            <rFont val="Tahoma"/>
            <family val="2"/>
          </rPr>
          <t>Price paid has been adjusted for brokerage and interest fees.</t>
        </r>
      </text>
    </comment>
    <comment ref="E29" authorId="0">
      <text>
        <r>
          <rPr>
            <b/>
            <sz val="9"/>
            <rFont val="Tahoma"/>
            <family val="2"/>
          </rPr>
          <t>The net price received has been adjusted for brokerage, interest, basis and the option premium paid.</t>
        </r>
      </text>
    </comment>
    <comment ref="E30" authorId="0">
      <text>
        <r>
          <rPr>
            <b/>
            <sz val="9"/>
            <rFont val="Tahoma"/>
            <family val="2"/>
          </rPr>
          <t>Calculated based on net price received, i.e. it has been adjusted for premium, brokerage fees and interest.</t>
        </r>
      </text>
    </comment>
    <comment ref="E130" authorId="0">
      <text>
        <r>
          <rPr>
            <b/>
            <sz val="8"/>
            <rFont val="Tahoma"/>
            <family val="0"/>
          </rPr>
          <t>You can enter the increment value you wish to use to change the futures prices along the X axis of the graphs above.</t>
        </r>
      </text>
    </comment>
  </commentList>
</comments>
</file>

<file path=xl/comments4.xml><?xml version="1.0" encoding="utf-8"?>
<comments xmlns="http://schemas.openxmlformats.org/spreadsheetml/2006/main">
  <authors>
    <author>Duane Griffith</author>
  </authors>
  <commentList>
    <comment ref="E54" authorId="0">
      <text>
        <r>
          <rPr>
            <b/>
            <sz val="8"/>
            <rFont val="Tahoma"/>
            <family val="0"/>
          </rPr>
          <t>Enter the total dollar amount of insurance paid for each item across all enterprises on this operation.</t>
        </r>
        <r>
          <rPr>
            <sz val="8"/>
            <rFont val="Tahoma"/>
            <family val="0"/>
          </rPr>
          <t xml:space="preserve">
</t>
        </r>
      </text>
    </comment>
    <comment ref="E60" authorId="0">
      <text>
        <r>
          <rPr>
            <b/>
            <sz val="8"/>
            <rFont val="Tahoma"/>
            <family val="0"/>
          </rPr>
          <t>Enter the total dollar amount of taxes paid for each item across all enterprises on this operation.</t>
        </r>
        <r>
          <rPr>
            <sz val="8"/>
            <rFont val="Tahoma"/>
            <family val="0"/>
          </rPr>
          <t xml:space="preserve">
</t>
        </r>
      </text>
    </comment>
    <comment ref="F66" authorId="0">
      <text>
        <r>
          <rPr>
            <b/>
            <sz val="8"/>
            <rFont val="Tahoma"/>
            <family val="0"/>
          </rPr>
          <t>The real rate of interest is the nominal rate (the rate the bank quotes you) minus the inflation rate.  For example, if the bank quotes are rate of 10% and the inflation rate is 4%, the real rate of interest is 6%.</t>
        </r>
      </text>
    </comment>
    <comment ref="C67" authorId="0">
      <text>
        <r>
          <rPr>
            <b/>
            <sz val="8"/>
            <rFont val="Tahoma"/>
            <family val="0"/>
          </rPr>
          <t xml:space="preserve">Since Buildings and Improvements are depreciable items, the opportunity cost calculated here is based on average value.  The average value is the total cost plus salvage value divided by two. </t>
        </r>
      </text>
    </comment>
    <comment ref="C68" authorId="0">
      <text>
        <r>
          <rPr>
            <b/>
            <sz val="8"/>
            <rFont val="Tahoma"/>
            <family val="0"/>
          </rPr>
          <t xml:space="preserve">Since Machinery and Equipment are depreciable items, the opportunity cost calculated here is based on average value.  The average value is the total cost plus salvage value divided by two. </t>
        </r>
      </text>
    </comment>
    <comment ref="C69" authorId="0">
      <text>
        <r>
          <rPr>
            <b/>
            <sz val="8"/>
            <rFont val="Tahoma"/>
            <family val="0"/>
          </rPr>
          <t>Opportunity costs is charged on the full value of real estate entered.</t>
        </r>
      </text>
    </comment>
    <comment ref="D80" authorId="0">
      <text>
        <r>
          <rPr>
            <b/>
            <sz val="8"/>
            <rFont val="Tahoma"/>
            <family val="0"/>
          </rPr>
          <t>If there is more than one enterprise on the operation, do not allocate 100% of family living to this enterprise.</t>
        </r>
        <r>
          <rPr>
            <sz val="8"/>
            <rFont val="Tahoma"/>
            <family val="0"/>
          </rPr>
          <t xml:space="preserve">
</t>
        </r>
      </text>
    </comment>
    <comment ref="H82" authorId="0">
      <text>
        <r>
          <rPr>
            <b/>
            <sz val="8"/>
            <rFont val="Tahoma"/>
            <family val="0"/>
          </rPr>
          <t xml:space="preserve">Remember, this break-even includes the total cost of production and only the amount of family living allocated to this enterprise.  </t>
        </r>
      </text>
    </comment>
  </commentList>
</comments>
</file>

<file path=xl/comments5.xml><?xml version="1.0" encoding="utf-8"?>
<comments xmlns="http://schemas.openxmlformats.org/spreadsheetml/2006/main">
  <authors>
    <author>Duane Griffith</author>
  </authors>
  <commentList>
    <comment ref="F66" authorId="0">
      <text>
        <r>
          <rPr>
            <b/>
            <sz val="8"/>
            <rFont val="Tahoma"/>
            <family val="0"/>
          </rPr>
          <t>The real rate of interest is the nominal rate (the rate the bank quotes you) minus the inflation rate.  For example, if the bank quotes are rate of 10% and the inflation rate is 4%, the real rate of interest is 6%.</t>
        </r>
      </text>
    </comment>
    <comment ref="C67" authorId="0">
      <text>
        <r>
          <rPr>
            <b/>
            <sz val="8"/>
            <rFont val="Tahoma"/>
            <family val="0"/>
          </rPr>
          <t xml:space="preserve">Since Buildings and Improvements are depreciable items, the opportunity cost calculated here is based on average value.  The average value is the total cost plus salvage value divided by two. </t>
        </r>
      </text>
    </comment>
    <comment ref="C68" authorId="0">
      <text>
        <r>
          <rPr>
            <b/>
            <sz val="8"/>
            <rFont val="Tahoma"/>
            <family val="0"/>
          </rPr>
          <t xml:space="preserve">Since Machinery and Equipment are depreciable items, the opportunity cost calculated here is based on average value.  The average value is the total cost plus salvage value divided by two. </t>
        </r>
      </text>
    </comment>
    <comment ref="C69" authorId="0">
      <text>
        <r>
          <rPr>
            <b/>
            <sz val="8"/>
            <rFont val="Tahoma"/>
            <family val="0"/>
          </rPr>
          <t>Opportunity costs is charged on the full value of real estate entered.</t>
        </r>
      </text>
    </comment>
    <comment ref="D80" authorId="0">
      <text>
        <r>
          <rPr>
            <b/>
            <sz val="8"/>
            <rFont val="Tahoma"/>
            <family val="0"/>
          </rPr>
          <t>If there is more than one enterprise on the operation, do not allocate 100% of family living to this enterprise.</t>
        </r>
        <r>
          <rPr>
            <sz val="8"/>
            <rFont val="Tahoma"/>
            <family val="0"/>
          </rPr>
          <t xml:space="preserve">
</t>
        </r>
      </text>
    </comment>
    <comment ref="H82" authorId="0">
      <text>
        <r>
          <rPr>
            <b/>
            <sz val="8"/>
            <rFont val="Tahoma"/>
            <family val="0"/>
          </rPr>
          <t xml:space="preserve">Remember, this break-even includes the total cost of production and only the amount of family living allocated to this enterprise.  </t>
        </r>
      </text>
    </comment>
    <comment ref="E54" authorId="0">
      <text>
        <r>
          <rPr>
            <b/>
            <sz val="8"/>
            <rFont val="Tahoma"/>
            <family val="0"/>
          </rPr>
          <t>Enter the total dollar amount of insurance paid for each item across all enterprises on this operation.</t>
        </r>
        <r>
          <rPr>
            <sz val="8"/>
            <rFont val="Tahoma"/>
            <family val="0"/>
          </rPr>
          <t xml:space="preserve">
</t>
        </r>
      </text>
    </comment>
    <comment ref="E60" authorId="0">
      <text>
        <r>
          <rPr>
            <b/>
            <sz val="8"/>
            <rFont val="Tahoma"/>
            <family val="0"/>
          </rPr>
          <t>Enter the total dollar amount of taxes paid for each item across all enterprises on this operation.</t>
        </r>
        <r>
          <rPr>
            <sz val="8"/>
            <rFont val="Tahoma"/>
            <family val="0"/>
          </rPr>
          <t xml:space="preserve">
</t>
        </r>
      </text>
    </comment>
  </commentList>
</comments>
</file>

<file path=xl/comments6.xml><?xml version="1.0" encoding="utf-8"?>
<comments xmlns="http://schemas.openxmlformats.org/spreadsheetml/2006/main">
  <authors>
    <author>Duane Griffith</author>
  </authors>
  <commentList>
    <comment ref="A22" authorId="0">
      <text>
        <r>
          <rPr>
            <b/>
            <sz val="8"/>
            <rFont val="Tahoma"/>
            <family val="0"/>
          </rPr>
          <t>Miscellaneous costs might include the cost of treating grain to prevent insect damage, grain drying after binning, insurance to protect the value of the grain while in storage, etc.  These costs should all be listed in dollars per unit (bu, cwt, tons, etc.)</t>
        </r>
      </text>
    </comment>
  </commentList>
</comments>
</file>

<file path=xl/comments7.xml><?xml version="1.0" encoding="utf-8"?>
<comments xmlns="http://schemas.openxmlformats.org/spreadsheetml/2006/main">
  <authors>
    <author>Duane Griffith</author>
  </authors>
  <commentList>
    <comment ref="A27" authorId="0">
      <text>
        <r>
          <rPr>
            <b/>
            <sz val="8"/>
            <rFont val="Tahoma"/>
            <family val="0"/>
          </rPr>
          <t xml:space="preserve">Miscellaneous costs might include the cost of treating grain to prevent insect damage, grain drying after binning, insurance to protect the value of the grain while in storage, etc.  These costs should all be listed in dollars per unit (bu, cwt, tons, etc.)
</t>
        </r>
      </text>
    </comment>
  </commentList>
</comments>
</file>

<file path=xl/sharedStrings.xml><?xml version="1.0" encoding="utf-8"?>
<sst xmlns="http://schemas.openxmlformats.org/spreadsheetml/2006/main" count="1226" uniqueCount="296">
  <si>
    <t>Aug</t>
  </si>
  <si>
    <t>Avgerage Basis</t>
  </si>
  <si>
    <t>Cost of Prod</t>
  </si>
  <si>
    <t>Predicted Cash</t>
  </si>
  <si>
    <t>Basis</t>
  </si>
  <si>
    <t>Conditions At Time</t>
  </si>
  <si>
    <t>Futures</t>
  </si>
  <si>
    <t>Cash</t>
  </si>
  <si>
    <t>Net Income</t>
  </si>
  <si>
    <t>Strike Price</t>
  </si>
  <si>
    <t>Futures Price</t>
  </si>
  <si>
    <t>Put Option Establishes a Floor Price</t>
  </si>
  <si>
    <t>Call Option Establishes a Ceiling Price</t>
  </si>
  <si>
    <t xml:space="preserve">Floor = </t>
  </si>
  <si>
    <t>Ceiling =</t>
  </si>
  <si>
    <t>Cost of Production</t>
  </si>
  <si>
    <t xml:space="preserve">Conditions When </t>
  </si>
  <si>
    <t>Option Exercised/Offset</t>
  </si>
  <si>
    <t>Table values show possible cash price potential with a put or call option</t>
  </si>
  <si>
    <t>Secondary Y Axis Labels =</t>
  </si>
  <si>
    <t>Data for Graphs</t>
  </si>
  <si>
    <t>BuyPut</t>
  </si>
  <si>
    <t>BuyCall</t>
  </si>
  <si>
    <t>SellPut</t>
  </si>
  <si>
    <t>Sell Put Option</t>
  </si>
  <si>
    <t>Sell Call Option</t>
  </si>
  <si>
    <t>SellCall</t>
  </si>
  <si>
    <t>Basis at Sale Time</t>
  </si>
  <si>
    <t>Interest &amp; Broker Fee</t>
  </si>
  <si>
    <t>Option Is Exercised/Offset</t>
  </si>
  <si>
    <t>X Axis Increment Value</t>
  </si>
  <si>
    <t>Premium</t>
  </si>
  <si>
    <t>Name of Page Tab</t>
  </si>
  <si>
    <t>FutGraph</t>
  </si>
  <si>
    <t>OptGraph</t>
  </si>
  <si>
    <t>Description of what this page of spreadsheet does.</t>
  </si>
  <si>
    <t>This page presents a graphical look at the very basics of a hedge.</t>
  </si>
  <si>
    <t>It can be used to help understand the basic mechanics and concepts of hedging.</t>
  </si>
  <si>
    <t>This page also uses graphs to demonstrate how options markets can be</t>
  </si>
  <si>
    <t>Options Purchased</t>
  </si>
  <si>
    <t>Options Sold</t>
  </si>
  <si>
    <t>$/bu</t>
  </si>
  <si>
    <t>Grain</t>
  </si>
  <si>
    <t>Spring Wheat</t>
  </si>
  <si>
    <t>Yield/Acre</t>
  </si>
  <si>
    <t>Operating Costs (Variable Costs) Per Acre</t>
  </si>
  <si>
    <t>Type of</t>
  </si>
  <si>
    <t>Price Per</t>
  </si>
  <si>
    <t xml:space="preserve">    A. PREHARVEST</t>
  </si>
  <si>
    <t>Unit</t>
  </si>
  <si>
    <t>Quantity</t>
  </si>
  <si>
    <t>Value</t>
  </si>
  <si>
    <t>1. Seed</t>
  </si>
  <si>
    <t>Bushel</t>
  </si>
  <si>
    <t>2. Chemicals _____________</t>
  </si>
  <si>
    <t xml:space="preserve">    ______________________</t>
  </si>
  <si>
    <t>3. Chemical Application</t>
  </si>
  <si>
    <t>Hours</t>
  </si>
  <si>
    <t>4. Fertilizer</t>
  </si>
  <si>
    <t>nitrogen</t>
  </si>
  <si>
    <t>Lbs</t>
  </si>
  <si>
    <t>phos</t>
  </si>
  <si>
    <t>other</t>
  </si>
  <si>
    <t>5. Fertilizer Application</t>
  </si>
  <si>
    <t xml:space="preserve">6. Insurance </t>
  </si>
  <si>
    <t xml:space="preserve">   (Federal Crop, Hail, Multiperil, Etc.)</t>
  </si>
  <si>
    <t/>
  </si>
  <si>
    <t>7. Tractor Operating Costs</t>
  </si>
  <si>
    <t xml:space="preserve">   (Fuel, Oil, Grease, Repairs)</t>
  </si>
  <si>
    <t>8. Machinery Operating Costs</t>
  </si>
  <si>
    <t>9. Hired Labor</t>
  </si>
  <si>
    <t xml:space="preserve">   A. Wages</t>
  </si>
  <si>
    <t xml:space="preserve">   B. Social Security</t>
  </si>
  <si>
    <t xml:space="preserve">   C. Workman's Comp</t>
  </si>
  <si>
    <t>10. Misceillaneous</t>
  </si>
  <si>
    <t>11. Interest on Operating Costs</t>
  </si>
  <si>
    <t>Dollars</t>
  </si>
  <si>
    <t xml:space="preserve"> A. Average Number of Months Outstanding</t>
  </si>
  <si>
    <t xml:space="preserve">   Subtotal - Preharvest Costs</t>
  </si>
  <si>
    <t xml:space="preserve">   B. HARVEST COSTS</t>
  </si>
  <si>
    <t>1. Combine Operating Costs</t>
  </si>
  <si>
    <t>Acre</t>
  </si>
  <si>
    <t>2. Truck Operating Costs</t>
  </si>
  <si>
    <t>3. Interest on Operating Costs</t>
  </si>
  <si>
    <t xml:space="preserve"> A. Average Number of Months Loan Outstanding</t>
  </si>
  <si>
    <t xml:space="preserve">   Subtotal - Harvest Costs</t>
  </si>
  <si>
    <t xml:space="preserve">   C. TOTAL VARIABLE COSTS PER ACRE</t>
  </si>
  <si>
    <t>(Preharvest Costs Plus Harvest Costs)</t>
  </si>
  <si>
    <t>Breakeven Price to Cover Operating Costs Per Bushel</t>
  </si>
  <si>
    <t xml:space="preserve">    (Total Variable Costs/Yield Per Acre)</t>
  </si>
  <si>
    <t xml:space="preserve">Enter the Requested Information In any Units Desired.  </t>
  </si>
  <si>
    <t>Make Sure ALL Enteries Are In the Same Units. (Bushels, Tons, CWT, Etc.)</t>
  </si>
  <si>
    <t>Harvest Price</t>
  </si>
  <si>
    <t>Length of Six Storage Periods (Months)</t>
  </si>
  <si>
    <t xml:space="preserve">     Storage Period #1 (Length in Months)</t>
  </si>
  <si>
    <t xml:space="preserve">     Storage Period #2 (Length in Months)</t>
  </si>
  <si>
    <t xml:space="preserve">     Storage Period #3 (Length in Months)</t>
  </si>
  <si>
    <t xml:space="preserve">     Storage Period #4 (Length in Months)</t>
  </si>
  <si>
    <t xml:space="preserve">     Storage Period #5 (Length in Months)</t>
  </si>
  <si>
    <t xml:space="preserve">     Storage Period #6 (Length in Months)</t>
  </si>
  <si>
    <t>Local Mill Levy</t>
  </si>
  <si>
    <t>Annual Cost of Existing Storage ($/Unit)</t>
  </si>
  <si>
    <t>Grain Type</t>
  </si>
  <si>
    <t>Wheat</t>
  </si>
  <si>
    <t>Interest on Stored Grain</t>
  </si>
  <si>
    <t>Trucking Charges in Dollars/Unit (Bu, Cwt, Ton)</t>
  </si>
  <si>
    <t xml:space="preserve">   Field to Bin</t>
  </si>
  <si>
    <t xml:space="preserve">   Bin to Town</t>
  </si>
  <si>
    <t xml:space="preserve">   Field to Town</t>
  </si>
  <si>
    <t>Initial Shrink</t>
  </si>
  <si>
    <t xml:space="preserve">Percent Annual Storage Shrink </t>
  </si>
  <si>
    <t>Misc. Cost in Dollars/Unit  (Bu, CWT, Etc.)</t>
  </si>
  <si>
    <t>Intermediate Calculations:</t>
  </si>
  <si>
    <t xml:space="preserve">Hauling Costs Calculation:  </t>
  </si>
  <si>
    <t>&gt;&gt;Includes Those EXTRA Hauling Costs Due to Storage Decision</t>
  </si>
  <si>
    <t>Shrink Calculations for Monthly Shrink Costs</t>
  </si>
  <si>
    <t>&gt;&gt;Initial Shrink (Taken Imediately)</t>
  </si>
  <si>
    <t>&gt;&gt;Monthly Storage Shrink Due to Moisture Loss, Insects, Etc.</t>
  </si>
  <si>
    <t xml:space="preserve">Monthly Interest Costs On Stored Grain </t>
  </si>
  <si>
    <t>&gt;&gt;Opportunity Costs</t>
  </si>
  <si>
    <t>Results</t>
  </si>
  <si>
    <t>Months of Storage Considered</t>
  </si>
  <si>
    <t>Cost Item Included in Total Storage Costs</t>
  </si>
  <si>
    <t>Hauling/Transportation Costs</t>
  </si>
  <si>
    <t>Initial Shrink + Storage Shrink</t>
  </si>
  <si>
    <t>Miscellaneous Costs</t>
  </si>
  <si>
    <t>Interest Charge</t>
  </si>
  <si>
    <t>Storage Costs (Prorated over Storage Period)</t>
  </si>
  <si>
    <t>Total Costs of Storing Grain ($/Unit)</t>
  </si>
  <si>
    <t>Breakeven Price to Cover Storage Costs</t>
  </si>
  <si>
    <t>On Farm Storage Costs for New Farm Storage Construction</t>
  </si>
  <si>
    <t>Cost of New Bin Construction</t>
  </si>
  <si>
    <t>Expected Life of New Bin</t>
  </si>
  <si>
    <t>Capacity (Number of Units)</t>
  </si>
  <si>
    <t>Interest Rate on Investment</t>
  </si>
  <si>
    <t>Appraised Value For Tax Purposes</t>
  </si>
  <si>
    <t>Annual Costs for New Grain Storage ($/Unit)</t>
  </si>
  <si>
    <t>&gt;&gt;Depreciation</t>
  </si>
  <si>
    <t>&gt;&gt;Interest</t>
  </si>
  <si>
    <t>&gt;&gt;Taxes</t>
  </si>
  <si>
    <t>Based on Taxable Value Rate of</t>
  </si>
  <si>
    <t>&gt;&gt;Insurance</t>
  </si>
  <si>
    <t>Total Annual Costs Per Unit</t>
  </si>
  <si>
    <t>September</t>
  </si>
  <si>
    <t>BASIS</t>
  </si>
  <si>
    <t>Month</t>
  </si>
  <si>
    <t>ORD</t>
  </si>
  <si>
    <t>11%</t>
  </si>
  <si>
    <t>G12%</t>
  </si>
  <si>
    <t>G13%</t>
  </si>
  <si>
    <t>13%</t>
  </si>
  <si>
    <t>14%</t>
  </si>
  <si>
    <t>15%</t>
  </si>
  <si>
    <t>Jan</t>
  </si>
  <si>
    <t>Feb</t>
  </si>
  <si>
    <t>Mar</t>
  </si>
  <si>
    <t>Apr</t>
  </si>
  <si>
    <t>May</t>
  </si>
  <si>
    <t>Jun</t>
  </si>
  <si>
    <t>Jul</t>
  </si>
  <si>
    <t>Sep</t>
  </si>
  <si>
    <t>Oct</t>
  </si>
  <si>
    <t>Nov</t>
  </si>
  <si>
    <t>Dec</t>
  </si>
  <si>
    <t>Average Monthly Basis Tables for Hard Red Winter Wheat and Dark Northern Spring Wheat</t>
  </si>
  <si>
    <t>Pacific North West Cash Minus Kansas City Futures</t>
  </si>
  <si>
    <t>Average Monthly Basis by Wheat Type and Protein.</t>
  </si>
  <si>
    <t>January</t>
  </si>
  <si>
    <t>February</t>
  </si>
  <si>
    <t>March</t>
  </si>
  <si>
    <t>April</t>
  </si>
  <si>
    <t>June</t>
  </si>
  <si>
    <t>July</t>
  </si>
  <si>
    <t>August</t>
  </si>
  <si>
    <t>October</t>
  </si>
  <si>
    <t>November</t>
  </si>
  <si>
    <t>December</t>
  </si>
  <si>
    <t>Oct.</t>
  </si>
  <si>
    <t>Apri</t>
  </si>
  <si>
    <t>OCt</t>
  </si>
  <si>
    <t>&gt;0</t>
  </si>
  <si>
    <t>HRW- Basis is (PNW - KCBT)</t>
  </si>
  <si>
    <t>DNS- Basis is (PNW - MGE)</t>
  </si>
  <si>
    <t>Cents Per Bushel</t>
  </si>
  <si>
    <t>Help</t>
  </si>
  <si>
    <t>Other/Misc. Cost in Dollars/Unit  (Bu, CWT, Etc.)</t>
  </si>
  <si>
    <t>Storage Costs for Existing On Farm or Commercial Elevator</t>
  </si>
  <si>
    <t>OldStorage</t>
  </si>
  <si>
    <t>New Storage</t>
  </si>
  <si>
    <t>WhtBasis</t>
  </si>
  <si>
    <t xml:space="preserve">This page helps calculate the breakeven costs necessary at the end of 6 </t>
  </si>
  <si>
    <t>different storage periods when using existing farm storage</t>
  </si>
  <si>
    <t>This page allows the user to calculate breakeven cost necessary if grain is</t>
  </si>
  <si>
    <t>to be stored in a new facility (bin, shed, etc.)</t>
  </si>
  <si>
    <t>This page provide average basis estimates for wheat around the state of Montana</t>
  </si>
  <si>
    <t>Basis Kansas City</t>
  </si>
  <si>
    <t>Basis MGE</t>
  </si>
  <si>
    <t>Data</t>
  </si>
  <si>
    <t>Billings</t>
  </si>
  <si>
    <t>Triangle Area</t>
  </si>
  <si>
    <t>Great Falls</t>
  </si>
  <si>
    <t>North Eastern Montana</t>
  </si>
  <si>
    <t>HRW-ORD</t>
  </si>
  <si>
    <t>HRW11%</t>
  </si>
  <si>
    <t>HRW12%</t>
  </si>
  <si>
    <t>HRW13%</t>
  </si>
  <si>
    <t>DNS13%</t>
  </si>
  <si>
    <t>DNS14%</t>
  </si>
  <si>
    <t>DNS15%</t>
  </si>
  <si>
    <t>Table Values are Basis Stated in Cents Per Bushel</t>
  </si>
  <si>
    <t>Avg 97-93</t>
  </si>
  <si>
    <t>W/O Option</t>
  </si>
  <si>
    <t>With Option</t>
  </si>
  <si>
    <t>Option Only</t>
  </si>
  <si>
    <t>Futures @ Exer/Offset</t>
  </si>
  <si>
    <t>Note:</t>
  </si>
  <si>
    <t>Net Inc. Futures Only</t>
  </si>
  <si>
    <t>Net Inc. Cash Only</t>
  </si>
  <si>
    <t>South Eastern Montana</t>
  </si>
  <si>
    <t>Expected Basis</t>
  </si>
  <si>
    <t>Current Futures Price</t>
  </si>
  <si>
    <t>Cash Price at Sale Time</t>
  </si>
  <si>
    <t>Graph</t>
  </si>
  <si>
    <t>Expected Basis @ Sale</t>
  </si>
  <si>
    <t>Interest and Brokerage</t>
  </si>
  <si>
    <t>Net Income Received</t>
  </si>
  <si>
    <t>Revenue</t>
  </si>
  <si>
    <t>Est. Cash</t>
  </si>
  <si>
    <t>Cash + Opt.</t>
  </si>
  <si>
    <t>Opt. Only</t>
  </si>
  <si>
    <t>Net Price Received</t>
  </si>
  <si>
    <t>Price Paid With Opt.</t>
  </si>
  <si>
    <t>This block does not control the graph</t>
  </si>
  <si>
    <t>Actual Basis@Sale</t>
  </si>
  <si>
    <t>Basis Increment</t>
  </si>
  <si>
    <t>Projected Cash</t>
  </si>
  <si>
    <t>Note</t>
  </si>
  <si>
    <t>D. Ownership Costs (Fixed Costs)</t>
  </si>
  <si>
    <t>Depreciation:</t>
  </si>
  <si>
    <t xml:space="preserve">   Machinery and Equipment</t>
  </si>
  <si>
    <t xml:space="preserve">   Buildings and Improvements</t>
  </si>
  <si>
    <t xml:space="preserve">   Other</t>
  </si>
  <si>
    <t>Insurance:</t>
  </si>
  <si>
    <t>Interest or Opportunity Costs:</t>
  </si>
  <si>
    <t>Taxes:</t>
  </si>
  <si>
    <t>Years Life</t>
  </si>
  <si>
    <t>Salvage Value</t>
  </si>
  <si>
    <t>Acres</t>
  </si>
  <si>
    <t>Total Value</t>
  </si>
  <si>
    <t>Cost/Ac.</t>
  </si>
  <si>
    <t>Futures @ hedge time</t>
  </si>
  <si>
    <t>Brokerage &amp; Int. Adjustment</t>
  </si>
  <si>
    <r>
      <t>Enter the numbers shown below, in</t>
    </r>
    <r>
      <rPr>
        <b/>
        <sz val="10"/>
        <color indexed="12"/>
        <rFont val="Arial"/>
        <family val="2"/>
      </rPr>
      <t xml:space="preserve"> blue text,</t>
    </r>
    <r>
      <rPr>
        <sz val="10"/>
        <rFont val="Arial"/>
        <family val="0"/>
      </rPr>
      <t xml:space="preserve"> to graph the situation you wish to analyze.</t>
    </r>
  </si>
  <si>
    <t>Buy Call Options</t>
  </si>
  <si>
    <t>Buy Put Options</t>
  </si>
  <si>
    <t>It can also be used for "what if" analysis showing the final results of a hedge transaction.</t>
  </si>
  <si>
    <t>PNWWHTBasis</t>
  </si>
  <si>
    <t>This page provides basis data for Pacifc North West Wheat basis for Montana.</t>
  </si>
  <si>
    <t>used to establish floors or ceilings on prices while not preventing a producer from</t>
  </si>
  <si>
    <t>sharing in a price move in a favorable direction.</t>
  </si>
  <si>
    <t>Brokerage and Interest $/bu.</t>
  </si>
  <si>
    <t>Percent to this enterprise</t>
  </si>
  <si>
    <t xml:space="preserve">   Real Estate</t>
  </si>
  <si>
    <t>Real Rate of Interest</t>
  </si>
  <si>
    <t>Total Cost/Item</t>
  </si>
  <si>
    <t>Total Acres in this enterprise</t>
  </si>
  <si>
    <t>Total ownership costs per acre for this enterprise</t>
  </si>
  <si>
    <t>Total operating and ownership costs per acre</t>
  </si>
  <si>
    <t>Family living costs allocated to this enterprise</t>
  </si>
  <si>
    <t>Percent to this Enterprise</t>
  </si>
  <si>
    <t>Family Living for this Enterprise</t>
  </si>
  <si>
    <t>Total Dollar Amount Paid</t>
  </si>
  <si>
    <t>Total Family Living/Year</t>
  </si>
  <si>
    <t>Winter Wheat</t>
  </si>
  <si>
    <t>Cost Per Acre</t>
  </si>
  <si>
    <t>Break-even per bushel necessary to cover total cost of production + family living ($/bu.)</t>
  </si>
  <si>
    <t>Total Value for the entire operation</t>
  </si>
  <si>
    <t>Cost_of_Prod1</t>
  </si>
  <si>
    <t>Cost_of_Prod2</t>
  </si>
  <si>
    <t>Break-even per bushel necessary to cover total costs (operating + ownership costs)</t>
  </si>
  <si>
    <t>Brokerage and Interest $/bu</t>
  </si>
  <si>
    <t>Estimated Net Income $/bu</t>
  </si>
  <si>
    <t>Cash@Sale               $/bu</t>
  </si>
  <si>
    <t>Futures@Sale           $/bu</t>
  </si>
  <si>
    <t>Net Inc. @ Sale-Total $/bu</t>
  </si>
  <si>
    <t>Futures@Purchase     $/bu.</t>
  </si>
  <si>
    <t>Click here to read the notes/helps in this column to help explain the graphs on this page.</t>
  </si>
  <si>
    <t>Percent hedged</t>
  </si>
  <si>
    <t xml:space="preserve">Net received adjusted for </t>
  </si>
  <si>
    <t>percent hedged is equal to &gt;</t>
  </si>
  <si>
    <t>a Hedge is Placed</t>
  </si>
  <si>
    <t>Net Price Received/Paid</t>
  </si>
  <si>
    <t>Short Hedge</t>
  </si>
  <si>
    <t>Long Hedge</t>
  </si>
  <si>
    <t>Conditions at the time a Short</t>
  </si>
  <si>
    <t>Hedge is lifted/offset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</si>
</sst>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0_)"/>
    <numFmt numFmtId="166" formatCode="0.00_)"/>
    <numFmt numFmtId="167" formatCode="&quot;$&quot;#,##0.00"/>
    <numFmt numFmtId="168" formatCode="&quot;$&quot;#,##0"/>
    <numFmt numFmtId="169" formatCode="General_)"/>
    <numFmt numFmtId="170" formatCode="mmmm\ d\,\ yyyy"/>
    <numFmt numFmtId="171" formatCode="#,##0.0_);[Red]\(#,##0.0\)"/>
    <numFmt numFmtId="172" formatCode="#,##0.000_);\(#,##0.000\)"/>
    <numFmt numFmtId="173" formatCode="&quot;$&quot;#,##0.0000_);\(&quot;$&quot;#,##0.0000\)"/>
    <numFmt numFmtId="174" formatCode="0.0000_)"/>
    <numFmt numFmtId="175" formatCode="&quot;$&quot;#,##0.000_);\(&quot;$&quot;#,##0.000\)"/>
    <numFmt numFmtId="176" formatCode="0.000%"/>
    <numFmt numFmtId="177" formatCode="_(&quot;$&quot;* #,##0.000_);_(&quot;$&quot;* \(#,##0.000\);_(&quot;$&quot;* &quot;-&quot;???_);_(@_)"/>
    <numFmt numFmtId="178" formatCode="0.00;[Red]0.00"/>
    <numFmt numFmtId="179" formatCode="0.000"/>
    <numFmt numFmtId="180" formatCode="&quot;$&quot;#,##0.00;[Red]&quot;$&quot;#,##0.00"/>
    <numFmt numFmtId="181" formatCode="0.00_);[Red]\(0.00\)"/>
    <numFmt numFmtId="182" formatCode="#,##0.00;[Red]#,##0.00"/>
  </numFmts>
  <fonts count="55">
    <font>
      <sz val="10"/>
      <name val="Arial"/>
      <family val="0"/>
    </font>
    <font>
      <b/>
      <sz val="10"/>
      <name val="Arial"/>
      <family val="2"/>
    </font>
    <font>
      <sz val="10"/>
      <name val="Times New Roman"/>
      <family val="1"/>
    </font>
    <font>
      <sz val="9"/>
      <name val="Times New Roman"/>
      <family val="1"/>
    </font>
    <font>
      <b/>
      <sz val="12"/>
      <name val="Times New Roman"/>
      <family val="1"/>
    </font>
    <font>
      <b/>
      <sz val="8"/>
      <name val="Tahoma"/>
      <family val="0"/>
    </font>
    <font>
      <sz val="8"/>
      <name val="Tahoma"/>
      <family val="0"/>
    </font>
    <font>
      <b/>
      <sz val="10"/>
      <color indexed="12"/>
      <name val="Arial"/>
      <family val="2"/>
    </font>
    <font>
      <b/>
      <sz val="11.5"/>
      <color indexed="10"/>
      <name val="Times New Roman"/>
      <family val="1"/>
    </font>
    <font>
      <b/>
      <sz val="10"/>
      <color indexed="10"/>
      <name val="Arial"/>
      <family val="2"/>
    </font>
    <font>
      <b/>
      <sz val="11.5"/>
      <name val="Times New Roman"/>
      <family val="0"/>
    </font>
    <font>
      <sz val="9.75"/>
      <name val="Times New Roman"/>
      <family val="0"/>
    </font>
    <font>
      <b/>
      <sz val="11.75"/>
      <name val="Times New Roman"/>
      <family val="0"/>
    </font>
    <font>
      <b/>
      <sz val="9.75"/>
      <name val="Times New Roman"/>
      <family val="0"/>
    </font>
    <font>
      <b/>
      <sz val="11.75"/>
      <color indexed="12"/>
      <name val="Times New Roman"/>
      <family val="1"/>
    </font>
    <font>
      <b/>
      <sz val="8.5"/>
      <name val="Times New Roman"/>
      <family val="1"/>
    </font>
    <font>
      <b/>
      <sz val="8"/>
      <name val="Times New Roman"/>
      <family val="1"/>
    </font>
    <font>
      <b/>
      <sz val="9"/>
      <name val="Times New Roman"/>
      <family val="0"/>
    </font>
    <font>
      <sz val="10"/>
      <name val="TIMES"/>
      <family val="0"/>
    </font>
    <font>
      <b/>
      <sz val="12"/>
      <name val="Helv"/>
      <family val="0"/>
    </font>
    <font>
      <b/>
      <sz val="10"/>
      <name val="Helv"/>
      <family val="0"/>
    </font>
    <font>
      <b/>
      <sz val="10"/>
      <color indexed="12"/>
      <name val="Helv"/>
      <family val="2"/>
    </font>
    <font>
      <sz val="12"/>
      <name val="Helv"/>
      <family val="0"/>
    </font>
    <font>
      <b/>
      <sz val="10"/>
      <color indexed="17"/>
      <name val="Helv"/>
      <family val="2"/>
    </font>
    <font>
      <b/>
      <sz val="10"/>
      <color indexed="18"/>
      <name val="Helv"/>
      <family val="2"/>
    </font>
    <font>
      <sz val="10"/>
      <name val="Helv"/>
      <family val="0"/>
    </font>
    <font>
      <sz val="12"/>
      <color indexed="12"/>
      <name val="Arial MT"/>
      <family val="2"/>
    </font>
    <font>
      <b/>
      <sz val="12"/>
      <name val="Arial MT"/>
      <family val="2"/>
    </font>
    <font>
      <b/>
      <sz val="10"/>
      <name val="Arial MT"/>
      <family val="2"/>
    </font>
    <font>
      <b/>
      <sz val="8"/>
      <name val="Arial MT"/>
      <family val="2"/>
    </font>
    <font>
      <sz val="12"/>
      <color indexed="10"/>
      <name val="Arial MT"/>
      <family val="2"/>
    </font>
    <font>
      <sz val="12"/>
      <color indexed="8"/>
      <name val="Arial MT"/>
      <family val="2"/>
    </font>
    <font>
      <sz val="12"/>
      <name val="Arial"/>
      <family val="2"/>
    </font>
    <font>
      <sz val="12"/>
      <name val="Arial MT"/>
      <family val="2"/>
    </font>
    <font>
      <sz val="8"/>
      <name val="Arial"/>
      <family val="2"/>
    </font>
    <font>
      <sz val="9"/>
      <name val="Arial"/>
      <family val="2"/>
    </font>
    <font>
      <b/>
      <sz val="9"/>
      <name val="Arial"/>
      <family val="2"/>
    </font>
    <font>
      <sz val="9.75"/>
      <name val="Arial"/>
      <family val="0"/>
    </font>
    <font>
      <b/>
      <sz val="10.25"/>
      <name val="Arial"/>
      <family val="2"/>
    </font>
    <font>
      <b/>
      <sz val="10.25"/>
      <color indexed="10"/>
      <name val="Arial"/>
      <family val="2"/>
    </font>
    <font>
      <sz val="9.5"/>
      <name val="Arial"/>
      <family val="2"/>
    </font>
    <font>
      <sz val="9.25"/>
      <name val="Times New Roman"/>
      <family val="1"/>
    </font>
    <font>
      <sz val="9.5"/>
      <name val="Times New Roman"/>
      <family val="1"/>
    </font>
    <font>
      <b/>
      <sz val="9"/>
      <name val="Tahoma"/>
      <family val="2"/>
    </font>
    <font>
      <b/>
      <sz val="9"/>
      <color indexed="10"/>
      <name val="Tahoma"/>
      <family val="2"/>
    </font>
    <font>
      <sz val="12"/>
      <name val="Times New Roman"/>
      <family val="1"/>
    </font>
    <font>
      <sz val="11"/>
      <name val="Times New Roman"/>
      <family val="1"/>
    </font>
    <font>
      <b/>
      <sz val="9"/>
      <color indexed="12"/>
      <name val="Tahoma"/>
      <family val="2"/>
    </font>
    <font>
      <b/>
      <sz val="11"/>
      <color indexed="10"/>
      <name val="Times New Roman"/>
      <family val="1"/>
    </font>
    <font>
      <b/>
      <sz val="12"/>
      <color indexed="10"/>
      <name val="Times New Roman"/>
      <family val="1"/>
    </font>
    <font>
      <b/>
      <sz val="11.75"/>
      <color indexed="10"/>
      <name val="Times New Roman"/>
      <family val="1"/>
    </font>
    <font>
      <b/>
      <sz val="8.5"/>
      <color indexed="10"/>
      <name val="Times New Roman"/>
      <family val="1"/>
    </font>
    <font>
      <b/>
      <sz val="8.5"/>
      <color indexed="12"/>
      <name val="Times New Roman"/>
      <family val="1"/>
    </font>
    <font>
      <b/>
      <sz val="11"/>
      <color indexed="10"/>
      <name val="Tahoma"/>
      <family val="2"/>
    </font>
    <font>
      <b/>
      <sz val="8"/>
      <name val="Arial"/>
      <family val="2"/>
    </font>
  </fonts>
  <fills count="18">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s>
  <borders count="56">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double">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style="double"/>
      <top style="double"/>
      <bottom style="double"/>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medium"/>
      <right>
        <color indexed="63"/>
      </right>
      <top style="medium"/>
      <bottom style="medium"/>
    </border>
    <border>
      <left style="double">
        <color indexed="10"/>
      </left>
      <right>
        <color indexed="63"/>
      </right>
      <top style="medium"/>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medium"/>
    </border>
    <border>
      <left>
        <color indexed="63"/>
      </left>
      <right style="double">
        <color indexed="10"/>
      </right>
      <top>
        <color indexed="63"/>
      </top>
      <bottom style="double">
        <color indexed="10"/>
      </bottom>
    </border>
    <border>
      <left style="thin"/>
      <right style="thin"/>
      <top style="thin"/>
      <bottom style="thin"/>
    </border>
    <border>
      <left style="double">
        <color indexed="10"/>
      </left>
      <right>
        <color indexed="63"/>
      </right>
      <top>
        <color indexed="63"/>
      </top>
      <bottom style="medium"/>
    </border>
    <border>
      <left style="medium"/>
      <right style="double">
        <color indexed="10"/>
      </right>
      <top style="medium"/>
      <bottom style="mediu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0" fillId="2" borderId="0" xfId="0" applyFill="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left"/>
    </xf>
    <xf numFmtId="0" fontId="0" fillId="0" borderId="0" xfId="0" applyAlignment="1" applyProtection="1">
      <alignment horizontal="left"/>
      <protection/>
    </xf>
    <xf numFmtId="0" fontId="1" fillId="0" borderId="0" xfId="0" applyFont="1" applyAlignment="1">
      <alignment horizontal="center"/>
    </xf>
    <xf numFmtId="0" fontId="7" fillId="0" borderId="0" xfId="0" applyFont="1" applyAlignment="1">
      <alignment horizontal="center"/>
    </xf>
    <xf numFmtId="0" fontId="7" fillId="0" borderId="0" xfId="0" applyFont="1" applyBorder="1" applyAlignment="1">
      <alignment/>
    </xf>
    <xf numFmtId="0" fontId="9" fillId="0" borderId="0" xfId="0" applyFont="1" applyAlignment="1">
      <alignment/>
    </xf>
    <xf numFmtId="0" fontId="1" fillId="0" borderId="0" xfId="0" applyFont="1" applyAlignment="1">
      <alignment/>
    </xf>
    <xf numFmtId="169" fontId="18" fillId="0" borderId="0" xfId="0" applyNumberFormat="1" applyFont="1" applyAlignment="1" applyProtection="1">
      <alignment/>
      <protection/>
    </xf>
    <xf numFmtId="169" fontId="19" fillId="0" borderId="0" xfId="0" applyNumberFormat="1" applyFont="1" applyAlignment="1" applyProtection="1">
      <alignment horizontal="left"/>
      <protection/>
    </xf>
    <xf numFmtId="169" fontId="19" fillId="0" borderId="0" xfId="0" applyNumberFormat="1" applyFont="1" applyAlignment="1" applyProtection="1">
      <alignment/>
      <protection/>
    </xf>
    <xf numFmtId="169" fontId="22" fillId="0" borderId="0" xfId="0" applyNumberFormat="1" applyFont="1" applyAlignment="1" applyProtection="1">
      <alignment/>
      <protection/>
    </xf>
    <xf numFmtId="169" fontId="20" fillId="3" borderId="0" xfId="0" applyNumberFormat="1" applyFont="1" applyFill="1" applyAlignment="1" applyProtection="1">
      <alignment/>
      <protection/>
    </xf>
    <xf numFmtId="169" fontId="20" fillId="0" borderId="0" xfId="0" applyNumberFormat="1" applyFont="1" applyAlignment="1" applyProtection="1">
      <alignment/>
      <protection/>
    </xf>
    <xf numFmtId="169" fontId="0" fillId="0" borderId="0" xfId="0" applyNumberFormat="1" applyAlignment="1" applyProtection="1">
      <alignment/>
      <protection/>
    </xf>
    <xf numFmtId="169" fontId="19" fillId="0" borderId="0" xfId="0" applyNumberFormat="1" applyFont="1" applyAlignment="1" applyProtection="1">
      <alignment horizontal="centerContinuous"/>
      <protection/>
    </xf>
    <xf numFmtId="169" fontId="19" fillId="4" borderId="0" xfId="0" applyNumberFormat="1" applyFont="1" applyFill="1" applyAlignment="1" applyProtection="1">
      <alignment horizontal="centerContinuous"/>
      <protection/>
    </xf>
    <xf numFmtId="169" fontId="20" fillId="0" borderId="1" xfId="0" applyNumberFormat="1" applyFont="1" applyBorder="1" applyAlignment="1" applyProtection="1">
      <alignment horizontal="left"/>
      <protection/>
    </xf>
    <xf numFmtId="169" fontId="19" fillId="0" borderId="1" xfId="0" applyNumberFormat="1" applyFont="1" applyBorder="1" applyAlignment="1" applyProtection="1">
      <alignment horizontal="center"/>
      <protection/>
    </xf>
    <xf numFmtId="169" fontId="0" fillId="0" borderId="2" xfId="0" applyNumberFormat="1" applyBorder="1" applyAlignment="1" applyProtection="1">
      <alignment horizontal="left"/>
      <protection/>
    </xf>
    <xf numFmtId="174" fontId="0" fillId="0" borderId="2" xfId="0" applyNumberFormat="1" applyBorder="1" applyAlignment="1" applyProtection="1">
      <alignment/>
      <protection/>
    </xf>
    <xf numFmtId="169" fontId="23" fillId="0" borderId="3" xfId="0" applyNumberFormat="1" applyFont="1" applyBorder="1" applyAlignment="1" applyProtection="1">
      <alignment horizontal="left"/>
      <protection/>
    </xf>
    <xf numFmtId="173" fontId="23" fillId="0" borderId="3" xfId="0" applyNumberFormat="1" applyFont="1" applyBorder="1" applyAlignment="1" applyProtection="1">
      <alignment/>
      <protection/>
    </xf>
    <xf numFmtId="169" fontId="24" fillId="0" borderId="4" xfId="0" applyNumberFormat="1" applyFont="1" applyBorder="1" applyAlignment="1" applyProtection="1">
      <alignment horizontal="left"/>
      <protection/>
    </xf>
    <xf numFmtId="175" fontId="24" fillId="0" borderId="4" xfId="0" applyNumberFormat="1" applyFont="1" applyBorder="1" applyAlignment="1" applyProtection="1">
      <alignment/>
      <protection/>
    </xf>
    <xf numFmtId="169" fontId="0" fillId="0" borderId="0" xfId="0" applyNumberFormat="1" applyAlignment="1" applyProtection="1">
      <alignment/>
      <protection/>
    </xf>
    <xf numFmtId="169" fontId="0" fillId="3" borderId="0" xfId="0" applyNumberFormat="1" applyFill="1" applyAlignment="1" applyProtection="1">
      <alignment/>
      <protection/>
    </xf>
    <xf numFmtId="7" fontId="21" fillId="0" borderId="0" xfId="0" applyNumberFormat="1" applyFont="1" applyAlignment="1" applyProtection="1">
      <alignment/>
      <protection locked="0"/>
    </xf>
    <xf numFmtId="10" fontId="21" fillId="0" borderId="0" xfId="0" applyNumberFormat="1" applyFont="1" applyAlignment="1" applyProtection="1">
      <alignment/>
      <protection locked="0"/>
    </xf>
    <xf numFmtId="169" fontId="20" fillId="0" borderId="5" xfId="0" applyNumberFormat="1" applyFont="1" applyBorder="1" applyAlignment="1" applyProtection="1">
      <alignment/>
      <protection/>
    </xf>
    <xf numFmtId="169" fontId="22" fillId="0" borderId="5" xfId="0" applyNumberFormat="1" applyFont="1" applyBorder="1" applyAlignment="1" applyProtection="1">
      <alignment/>
      <protection/>
    </xf>
    <xf numFmtId="169" fontId="0" fillId="0" borderId="5" xfId="0" applyNumberFormat="1" applyBorder="1" applyAlignment="1" applyProtection="1">
      <alignment/>
      <protection/>
    </xf>
    <xf numFmtId="169" fontId="0" fillId="0" borderId="0" xfId="0" applyNumberFormat="1" applyAlignment="1" applyProtection="1">
      <alignment horizontal="left"/>
      <protection/>
    </xf>
    <xf numFmtId="7" fontId="21" fillId="0" borderId="0" xfId="0" applyNumberFormat="1" applyFont="1" applyAlignment="1" applyProtection="1">
      <alignment horizontal="center"/>
      <protection locked="0"/>
    </xf>
    <xf numFmtId="169" fontId="21" fillId="0" borderId="0" xfId="0" applyNumberFormat="1" applyFont="1" applyAlignment="1" applyProtection="1">
      <alignment horizontal="center"/>
      <protection locked="0"/>
    </xf>
    <xf numFmtId="10" fontId="21" fillId="0" borderId="0" xfId="0" applyNumberFormat="1" applyFont="1" applyAlignment="1" applyProtection="1">
      <alignment horizontal="center"/>
      <protection locked="0"/>
    </xf>
    <xf numFmtId="7" fontId="0" fillId="5" borderId="0" xfId="0" applyNumberFormat="1" applyFill="1" applyAlignment="1" applyProtection="1">
      <alignment/>
      <protection/>
    </xf>
    <xf numFmtId="173" fontId="0" fillId="5" borderId="0" xfId="0" applyNumberFormat="1" applyFill="1" applyAlignment="1" applyProtection="1">
      <alignment/>
      <protection/>
    </xf>
    <xf numFmtId="173" fontId="0" fillId="5" borderId="6" xfId="0" applyNumberFormat="1" applyFill="1" applyBorder="1" applyAlignment="1" applyProtection="1">
      <alignment/>
      <protection/>
    </xf>
    <xf numFmtId="169" fontId="25" fillId="0" borderId="0" xfId="0" applyNumberFormat="1" applyFont="1" applyAlignment="1" applyProtection="1">
      <alignment horizontal="left"/>
      <protection/>
    </xf>
    <xf numFmtId="169" fontId="25" fillId="0" borderId="0" xfId="0" applyNumberFormat="1" applyFont="1" applyAlignment="1" applyProtection="1">
      <alignment/>
      <protection/>
    </xf>
    <xf numFmtId="169" fontId="25" fillId="0" borderId="5" xfId="0" applyNumberFormat="1" applyFont="1" applyBorder="1" applyAlignment="1" applyProtection="1">
      <alignment horizontal="left"/>
      <protection/>
    </xf>
    <xf numFmtId="169" fontId="0" fillId="6" borderId="0" xfId="0" applyNumberFormat="1" applyFill="1" applyAlignment="1" applyProtection="1">
      <alignment/>
      <protection/>
    </xf>
    <xf numFmtId="0" fontId="0" fillId="0" borderId="0" xfId="0" applyAlignment="1">
      <alignment horizontal="center"/>
    </xf>
    <xf numFmtId="169" fontId="21" fillId="0" borderId="7" xfId="0" applyNumberFormat="1" applyFont="1" applyBorder="1" applyAlignment="1" applyProtection="1">
      <alignment horizontal="center"/>
      <protection locked="0"/>
    </xf>
    <xf numFmtId="169" fontId="21" fillId="2" borderId="8" xfId="0" applyNumberFormat="1" applyFont="1" applyFill="1" applyBorder="1" applyAlignment="1" applyProtection="1">
      <alignment horizontal="center"/>
      <protection locked="0"/>
    </xf>
    <xf numFmtId="169" fontId="21" fillId="0" borderId="8" xfId="0" applyNumberFormat="1" applyFont="1" applyBorder="1" applyAlignment="1" applyProtection="1">
      <alignment horizontal="center"/>
      <protection locked="0"/>
    </xf>
    <xf numFmtId="7" fontId="21" fillId="0" borderId="8" xfId="0" applyNumberFormat="1" applyFont="1" applyBorder="1" applyAlignment="1" applyProtection="1">
      <alignment horizontal="center"/>
      <protection locked="0"/>
    </xf>
    <xf numFmtId="10" fontId="21" fillId="0" borderId="9" xfId="0" applyNumberFormat="1" applyFont="1" applyBorder="1" applyAlignment="1" applyProtection="1">
      <alignment horizontal="center"/>
      <protection locked="0"/>
    </xf>
    <xf numFmtId="7" fontId="21" fillId="0" borderId="10" xfId="0" applyNumberFormat="1" applyFont="1" applyBorder="1" applyAlignment="1" applyProtection="1">
      <alignment horizontal="center"/>
      <protection locked="0"/>
    </xf>
    <xf numFmtId="7" fontId="21" fillId="0" borderId="7" xfId="0" applyNumberFormat="1" applyFont="1" applyBorder="1" applyAlignment="1" applyProtection="1">
      <alignment horizontal="center"/>
      <protection locked="0"/>
    </xf>
    <xf numFmtId="10" fontId="21" fillId="0" borderId="8" xfId="0" applyNumberFormat="1" applyFont="1" applyBorder="1" applyAlignment="1" applyProtection="1">
      <alignment horizontal="center"/>
      <protection locked="0"/>
    </xf>
    <xf numFmtId="7" fontId="21" fillId="0" borderId="9" xfId="0" applyNumberFormat="1" applyFont="1" applyBorder="1" applyAlignment="1" applyProtection="1">
      <alignment horizontal="center"/>
      <protection locked="0"/>
    </xf>
    <xf numFmtId="7" fontId="0" fillId="7" borderId="0" xfId="0" applyNumberFormat="1" applyFill="1" applyAlignment="1" applyProtection="1">
      <alignment/>
      <protection/>
    </xf>
    <xf numFmtId="173" fontId="0" fillId="7" borderId="0" xfId="0" applyNumberFormat="1" applyFill="1" applyAlignment="1" applyProtection="1">
      <alignment/>
      <protection/>
    </xf>
    <xf numFmtId="174" fontId="0" fillId="7" borderId="2" xfId="0" applyNumberFormat="1" applyFill="1" applyBorder="1" applyAlignment="1" applyProtection="1">
      <alignment/>
      <protection/>
    </xf>
    <xf numFmtId="173" fontId="23" fillId="7" borderId="3" xfId="0" applyNumberFormat="1" applyFont="1" applyFill="1" applyBorder="1" applyAlignment="1" applyProtection="1">
      <alignment/>
      <protection/>
    </xf>
    <xf numFmtId="175" fontId="24" fillId="7" borderId="4" xfId="0" applyNumberFormat="1" applyFont="1" applyFill="1" applyBorder="1" applyAlignment="1" applyProtection="1">
      <alignment/>
      <protection/>
    </xf>
    <xf numFmtId="0" fontId="26" fillId="0" borderId="0" xfId="0" applyFont="1" applyAlignment="1" applyProtection="1">
      <alignment horizontal="right"/>
      <protection locked="0"/>
    </xf>
    <xf numFmtId="0" fontId="0" fillId="0" borderId="11" xfId="0" applyBorder="1" applyAlignment="1">
      <alignment/>
    </xf>
    <xf numFmtId="0" fontId="27" fillId="0" borderId="12" xfId="0" applyFont="1" applyBorder="1" applyAlignment="1">
      <alignment horizontal="centerContinuous"/>
    </xf>
    <xf numFmtId="0" fontId="27" fillId="0" borderId="13" xfId="0" applyFont="1" applyBorder="1" applyAlignment="1">
      <alignment horizontal="centerContinuous"/>
    </xf>
    <xf numFmtId="0" fontId="27" fillId="0" borderId="14" xfId="0" applyFont="1" applyBorder="1" applyAlignment="1">
      <alignment horizontal="centerContinuous"/>
    </xf>
    <xf numFmtId="0" fontId="0" fillId="0" borderId="15" xfId="0" applyBorder="1" applyAlignment="1">
      <alignment/>
    </xf>
    <xf numFmtId="0" fontId="27" fillId="0" borderId="16" xfId="0" applyFont="1" applyBorder="1" applyAlignment="1">
      <alignment/>
    </xf>
    <xf numFmtId="0" fontId="27" fillId="0" borderId="17" xfId="0" applyFont="1" applyBorder="1" applyAlignment="1">
      <alignment/>
    </xf>
    <xf numFmtId="0" fontId="27" fillId="0" borderId="18" xfId="0" applyFont="1" applyBorder="1" applyAlignment="1">
      <alignment/>
    </xf>
    <xf numFmtId="0" fontId="27" fillId="8" borderId="0" xfId="0" applyFont="1" applyFill="1" applyAlignment="1">
      <alignment horizontal="centerContinuous"/>
    </xf>
    <xf numFmtId="0" fontId="28" fillId="0" borderId="12" xfId="0" applyFont="1" applyBorder="1" applyAlignment="1">
      <alignment/>
    </xf>
    <xf numFmtId="0" fontId="28" fillId="0" borderId="12" xfId="0" applyFont="1" applyBorder="1" applyAlignment="1">
      <alignment horizontal="centerContinuous"/>
    </xf>
    <xf numFmtId="0" fontId="28" fillId="0" borderId="13" xfId="0" applyFont="1" applyBorder="1" applyAlignment="1">
      <alignment horizontal="centerContinuous"/>
    </xf>
    <xf numFmtId="0" fontId="28" fillId="0" borderId="14" xfId="0" applyFont="1" applyBorder="1" applyAlignment="1">
      <alignment horizontal="centerContinuous"/>
    </xf>
    <xf numFmtId="37" fontId="28" fillId="0" borderId="13" xfId="0" applyNumberFormat="1" applyFont="1" applyBorder="1" applyAlignment="1" applyProtection="1">
      <alignment horizontal="centerContinuous"/>
      <protection/>
    </xf>
    <xf numFmtId="37" fontId="28" fillId="0" borderId="14" xfId="0" applyNumberFormat="1" applyFont="1" applyBorder="1" applyAlignment="1" applyProtection="1">
      <alignment horizontal="centerContinuous"/>
      <protection/>
    </xf>
    <xf numFmtId="0" fontId="27" fillId="0" borderId="19" xfId="0" applyFont="1" applyBorder="1" applyAlignment="1">
      <alignment/>
    </xf>
    <xf numFmtId="0" fontId="27" fillId="0" borderId="0" xfId="0" applyFont="1" applyAlignment="1">
      <alignment/>
    </xf>
    <xf numFmtId="0" fontId="27" fillId="0" borderId="20" xfId="0" applyFont="1" applyBorder="1" applyAlignment="1">
      <alignment/>
    </xf>
    <xf numFmtId="37" fontId="27" fillId="0" borderId="0" xfId="0" applyNumberFormat="1" applyFont="1" applyAlignment="1" applyProtection="1">
      <alignment/>
      <protection/>
    </xf>
    <xf numFmtId="37" fontId="27" fillId="0" borderId="20" xfId="0" applyNumberFormat="1" applyFont="1" applyBorder="1" applyAlignment="1" applyProtection="1">
      <alignment/>
      <protection/>
    </xf>
    <xf numFmtId="0" fontId="28" fillId="0" borderId="12" xfId="0" applyFont="1" applyBorder="1" applyAlignment="1">
      <alignment horizontal="center"/>
    </xf>
    <xf numFmtId="0" fontId="29" fillId="0" borderId="21" xfId="0" applyFont="1" applyBorder="1" applyAlignment="1">
      <alignment horizontal="center"/>
    </xf>
    <xf numFmtId="37" fontId="29" fillId="0" borderId="21" xfId="0" applyNumberFormat="1" applyFont="1" applyBorder="1" applyAlignment="1" applyProtection="1">
      <alignment horizontal="center"/>
      <protection/>
    </xf>
    <xf numFmtId="0" fontId="30" fillId="0" borderId="0" xfId="0" applyFont="1" applyAlignment="1">
      <alignment/>
    </xf>
    <xf numFmtId="0" fontId="26" fillId="0" borderId="0" xfId="0" applyFont="1" applyAlignment="1">
      <alignment/>
    </xf>
    <xf numFmtId="0" fontId="31" fillId="0" borderId="0" xfId="0" applyFont="1" applyAlignment="1">
      <alignment/>
    </xf>
    <xf numFmtId="166" fontId="0" fillId="0" borderId="0" xfId="0" applyNumberFormat="1" applyAlignment="1" applyProtection="1">
      <alignment/>
      <protection/>
    </xf>
    <xf numFmtId="165" fontId="0" fillId="0" borderId="0" xfId="0" applyNumberFormat="1" applyAlignment="1" applyProtection="1">
      <alignment/>
      <protection/>
    </xf>
    <xf numFmtId="0" fontId="26" fillId="0" borderId="0" xfId="0" applyFont="1" applyAlignment="1" applyProtection="1">
      <alignment horizontal="center"/>
      <protection locked="0"/>
    </xf>
    <xf numFmtId="0" fontId="32" fillId="0" borderId="0" xfId="0" applyFont="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166" fontId="0" fillId="0" borderId="24" xfId="0" applyNumberFormat="1" applyBorder="1" applyAlignment="1" applyProtection="1">
      <alignment/>
      <protection/>
    </xf>
    <xf numFmtId="166" fontId="0" fillId="0" borderId="25" xfId="0" applyNumberFormat="1" applyBorder="1" applyAlignment="1" applyProtection="1">
      <alignment/>
      <protection/>
    </xf>
    <xf numFmtId="0" fontId="28" fillId="0" borderId="26" xfId="0" applyFont="1" applyBorder="1" applyAlignment="1">
      <alignment horizontal="centerContinuous"/>
    </xf>
    <xf numFmtId="0" fontId="28" fillId="0" borderId="27" xfId="0" applyFont="1" applyBorder="1" applyAlignment="1">
      <alignment horizontal="centerContinuous"/>
    </xf>
    <xf numFmtId="37" fontId="28" fillId="0" borderId="27" xfId="0" applyNumberFormat="1" applyFont="1" applyBorder="1" applyAlignment="1" applyProtection="1">
      <alignment horizontal="centerContinuous"/>
      <protection/>
    </xf>
    <xf numFmtId="37" fontId="28" fillId="0" borderId="28" xfId="0" applyNumberFormat="1" applyFont="1" applyBorder="1" applyAlignment="1" applyProtection="1">
      <alignment horizontal="centerContinuous"/>
      <protection/>
    </xf>
    <xf numFmtId="179" fontId="0" fillId="0" borderId="0" xfId="0" applyNumberFormat="1" applyAlignment="1">
      <alignment/>
    </xf>
    <xf numFmtId="0" fontId="1" fillId="9" borderId="0" xfId="0" applyFont="1" applyFill="1" applyAlignment="1">
      <alignment horizontal="center"/>
    </xf>
    <xf numFmtId="0" fontId="0" fillId="0" borderId="0" xfId="0" applyAlignment="1" applyProtection="1">
      <alignment/>
      <protection/>
    </xf>
    <xf numFmtId="2" fontId="0" fillId="0" borderId="0" xfId="0" applyNumberFormat="1" applyAlignment="1" applyProtection="1">
      <alignment/>
      <protection/>
    </xf>
    <xf numFmtId="0" fontId="0" fillId="0" borderId="29" xfId="0" applyBorder="1" applyAlignment="1" applyProtection="1">
      <alignment/>
      <protection/>
    </xf>
    <xf numFmtId="0" fontId="7" fillId="0" borderId="30" xfId="0" applyFont="1" applyBorder="1" applyAlignment="1" applyProtection="1">
      <alignment/>
      <protection locked="0"/>
    </xf>
    <xf numFmtId="0" fontId="7" fillId="0" borderId="0" xfId="0" applyFont="1" applyAlignment="1" applyProtection="1">
      <alignment horizontal="center"/>
      <protection locked="0"/>
    </xf>
    <xf numFmtId="44" fontId="7" fillId="0" borderId="0" xfId="0" applyNumberFormat="1" applyFont="1" applyAlignment="1" applyProtection="1">
      <alignment horizontal="center"/>
      <protection locked="0"/>
    </xf>
    <xf numFmtId="0" fontId="0" fillId="0" borderId="0" xfId="0" applyBorder="1" applyAlignment="1" applyProtection="1">
      <alignment/>
      <protection/>
    </xf>
    <xf numFmtId="0" fontId="0" fillId="2" borderId="0" xfId="0" applyFill="1" applyAlignment="1" applyProtection="1">
      <alignment/>
      <protection/>
    </xf>
    <xf numFmtId="0" fontId="33" fillId="0" borderId="0" xfId="0" applyFont="1" applyAlignment="1" applyProtection="1">
      <alignment horizontal="right"/>
      <protection locked="0"/>
    </xf>
    <xf numFmtId="2" fontId="33" fillId="0" borderId="0" xfId="0" applyNumberFormat="1" applyFont="1" applyAlignment="1" applyProtection="1">
      <alignment/>
      <protection locked="0"/>
    </xf>
    <xf numFmtId="2" fontId="33" fillId="0" borderId="0" xfId="0" applyNumberFormat="1" applyFont="1" applyAlignment="1" applyProtection="1">
      <alignment horizontal="center"/>
      <protection locked="0"/>
    </xf>
    <xf numFmtId="0" fontId="33" fillId="0" borderId="0" xfId="0" applyFont="1" applyAlignment="1">
      <alignment horizontal="right"/>
    </xf>
    <xf numFmtId="2" fontId="33" fillId="0" borderId="0" xfId="0" applyNumberFormat="1" applyFont="1" applyAlignment="1" applyProtection="1">
      <alignment/>
      <protection/>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right"/>
      <protection/>
    </xf>
    <xf numFmtId="0" fontId="0" fillId="0" borderId="0" xfId="0" applyFont="1" applyAlignment="1">
      <alignment/>
    </xf>
    <xf numFmtId="169" fontId="0" fillId="0" borderId="31" xfId="0" applyNumberFormat="1" applyBorder="1" applyAlignment="1" applyProtection="1">
      <alignment/>
      <protection/>
    </xf>
    <xf numFmtId="169" fontId="0" fillId="0" borderId="31" xfId="0" applyNumberFormat="1" applyBorder="1" applyAlignment="1" applyProtection="1">
      <alignment horizontal="right"/>
      <protection/>
    </xf>
    <xf numFmtId="176" fontId="20" fillId="0" borderId="32" xfId="0" applyNumberFormat="1" applyFont="1"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33" xfId="0" applyBorder="1" applyAlignment="1" applyProtection="1">
      <alignment/>
      <protection/>
    </xf>
    <xf numFmtId="7" fontId="7" fillId="0" borderId="0" xfId="0" applyNumberFormat="1" applyFont="1" applyAlignment="1" applyProtection="1">
      <alignment horizontal="center"/>
      <protection locked="0"/>
    </xf>
    <xf numFmtId="169" fontId="7" fillId="0" borderId="0" xfId="0" applyNumberFormat="1" applyFont="1" applyAlignment="1" applyProtection="1">
      <alignment horizontal="center"/>
      <protection locked="0"/>
    </xf>
    <xf numFmtId="10" fontId="7" fillId="0" borderId="0" xfId="0" applyNumberFormat="1" applyFont="1" applyAlignment="1" applyProtection="1">
      <alignment horizontal="center"/>
      <protection locked="0"/>
    </xf>
    <xf numFmtId="7" fontId="21" fillId="0" borderId="0" xfId="0" applyNumberFormat="1" applyFont="1" applyBorder="1" applyAlignment="1" applyProtection="1">
      <alignment horizontal="center"/>
      <protection/>
    </xf>
    <xf numFmtId="0" fontId="7" fillId="0" borderId="0" xfId="0" applyFont="1" applyBorder="1" applyAlignment="1">
      <alignment horizontal="center"/>
    </xf>
    <xf numFmtId="2" fontId="7" fillId="0" borderId="0" xfId="0" applyNumberFormat="1" applyFont="1" applyAlignment="1" applyProtection="1">
      <alignment horizontal="center"/>
      <protection locked="0"/>
    </xf>
    <xf numFmtId="2" fontId="1" fillId="0" borderId="0" xfId="0" applyNumberFormat="1" applyFont="1" applyBorder="1" applyAlignment="1">
      <alignment/>
    </xf>
    <xf numFmtId="44" fontId="7" fillId="0" borderId="0" xfId="0" applyNumberFormat="1" applyFont="1" applyAlignment="1">
      <alignment/>
    </xf>
    <xf numFmtId="0" fontId="34" fillId="0" borderId="0" xfId="0" applyFont="1" applyAlignment="1">
      <alignment/>
    </xf>
    <xf numFmtId="0" fontId="35" fillId="0" borderId="0" xfId="0" applyFont="1" applyAlignment="1">
      <alignment/>
    </xf>
    <xf numFmtId="44" fontId="35" fillId="0" borderId="0" xfId="0" applyNumberFormat="1" applyFont="1" applyAlignment="1">
      <alignment/>
    </xf>
    <xf numFmtId="2" fontId="0" fillId="10" borderId="0" xfId="0" applyNumberFormat="1" applyFill="1" applyAlignment="1">
      <alignment/>
    </xf>
    <xf numFmtId="2" fontId="0" fillId="7" borderId="0" xfId="0" applyNumberFormat="1" applyFill="1" applyAlignment="1">
      <alignment/>
    </xf>
    <xf numFmtId="2" fontId="35" fillId="0" borderId="0" xfId="0" applyNumberFormat="1" applyFont="1" applyAlignment="1">
      <alignment/>
    </xf>
    <xf numFmtId="0" fontId="0" fillId="0" borderId="34" xfId="0" applyBorder="1" applyAlignment="1">
      <alignment/>
    </xf>
    <xf numFmtId="44" fontId="7" fillId="0" borderId="35" xfId="0" applyNumberFormat="1" applyFont="1" applyBorder="1" applyAlignment="1">
      <alignment/>
    </xf>
    <xf numFmtId="0" fontId="0" fillId="2" borderId="0" xfId="0" applyFill="1" applyBorder="1" applyAlignment="1">
      <alignment/>
    </xf>
    <xf numFmtId="44" fontId="7" fillId="2" borderId="35" xfId="0" applyNumberFormat="1" applyFont="1" applyFill="1" applyBorder="1" applyAlignment="1">
      <alignment/>
    </xf>
    <xf numFmtId="44" fontId="1" fillId="7" borderId="35" xfId="0" applyNumberFormat="1" applyFont="1" applyFill="1" applyBorder="1" applyAlignment="1" applyProtection="1">
      <alignment horizontal="center"/>
      <protection locked="0"/>
    </xf>
    <xf numFmtId="44" fontId="7" fillId="0" borderId="35" xfId="0" applyNumberFormat="1" applyFont="1" applyBorder="1" applyAlignment="1" applyProtection="1">
      <alignment horizontal="center"/>
      <protection locked="0"/>
    </xf>
    <xf numFmtId="44" fontId="1" fillId="7" borderId="35" xfId="0" applyNumberFormat="1" applyFont="1" applyFill="1" applyBorder="1" applyAlignment="1">
      <alignment/>
    </xf>
    <xf numFmtId="44" fontId="7" fillId="0" borderId="35" xfId="0" applyNumberFormat="1" applyFont="1" applyBorder="1" applyAlignment="1" applyProtection="1">
      <alignment/>
      <protection locked="0"/>
    </xf>
    <xf numFmtId="44" fontId="1" fillId="7" borderId="35" xfId="0" applyNumberFormat="1" applyFont="1" applyFill="1" applyBorder="1" applyAlignment="1">
      <alignment horizontal="center"/>
    </xf>
    <xf numFmtId="2" fontId="0" fillId="5" borderId="0" xfId="0" applyNumberFormat="1" applyFill="1" applyAlignment="1" applyProtection="1">
      <alignment/>
      <protection/>
    </xf>
    <xf numFmtId="0" fontId="7" fillId="0" borderId="0" xfId="0" applyFont="1" applyAlignment="1" applyProtection="1">
      <alignment/>
      <protection locked="0"/>
    </xf>
    <xf numFmtId="0" fontId="0" fillId="9" borderId="36" xfId="0" applyFill="1" applyBorder="1" applyAlignment="1" applyProtection="1">
      <alignment/>
      <protection/>
    </xf>
    <xf numFmtId="0" fontId="0" fillId="0" borderId="34" xfId="0"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0" xfId="0" applyFont="1" applyAlignment="1" applyProtection="1">
      <alignment/>
      <protection/>
    </xf>
    <xf numFmtId="169" fontId="1" fillId="0" borderId="0" xfId="0" applyNumberFormat="1" applyFont="1" applyAlignment="1" applyProtection="1">
      <alignment horizontal="left"/>
      <protection/>
    </xf>
    <xf numFmtId="169" fontId="1" fillId="0" borderId="0" xfId="0" applyNumberFormat="1" applyFont="1" applyAlignment="1" applyProtection="1">
      <alignment/>
      <protection/>
    </xf>
    <xf numFmtId="169" fontId="0" fillId="0" borderId="0" xfId="0" applyNumberFormat="1" applyFont="1" applyAlignment="1" applyProtection="1">
      <alignment/>
      <protection/>
    </xf>
    <xf numFmtId="169" fontId="0" fillId="0" borderId="0" xfId="0" applyNumberFormat="1" applyFont="1" applyAlignment="1" applyProtection="1">
      <alignment horizontal="left"/>
      <protection/>
    </xf>
    <xf numFmtId="169" fontId="7" fillId="0" borderId="21" xfId="0" applyNumberFormat="1" applyFont="1" applyBorder="1" applyAlignment="1" applyProtection="1">
      <alignment horizontal="left"/>
      <protection locked="0"/>
    </xf>
    <xf numFmtId="169" fontId="7" fillId="0" borderId="21" xfId="0" applyNumberFormat="1" applyFont="1" applyBorder="1" applyAlignment="1" applyProtection="1">
      <alignment/>
      <protection locked="0"/>
    </xf>
    <xf numFmtId="169" fontId="0" fillId="0" borderId="0" xfId="0" applyNumberFormat="1" applyFont="1" applyAlignment="1" applyProtection="1">
      <alignment horizontal="right"/>
      <protection/>
    </xf>
    <xf numFmtId="169" fontId="1" fillId="11" borderId="0" xfId="0" applyNumberFormat="1" applyFont="1" applyFill="1" applyAlignment="1" applyProtection="1">
      <alignment horizontal="centerContinuous"/>
      <protection/>
    </xf>
    <xf numFmtId="169" fontId="0" fillId="11" borderId="0" xfId="0" applyNumberFormat="1" applyFont="1" applyFill="1" applyAlignment="1" applyProtection="1">
      <alignment horizontal="centerContinuous"/>
      <protection/>
    </xf>
    <xf numFmtId="169" fontId="0" fillId="0" borderId="0" xfId="0" applyNumberFormat="1" applyFont="1" applyAlignment="1" applyProtection="1">
      <alignment horizontal="center"/>
      <protection/>
    </xf>
    <xf numFmtId="169" fontId="7" fillId="0" borderId="21" xfId="0" applyNumberFormat="1" applyFont="1" applyBorder="1" applyAlignment="1" applyProtection="1">
      <alignment horizontal="center"/>
      <protection locked="0"/>
    </xf>
    <xf numFmtId="166" fontId="7" fillId="0" borderId="21" xfId="0" applyNumberFormat="1" applyFont="1" applyBorder="1" applyAlignment="1" applyProtection="1">
      <alignment/>
      <protection locked="0"/>
    </xf>
    <xf numFmtId="166" fontId="1" fillId="11" borderId="0" xfId="0" applyNumberFormat="1" applyFont="1" applyFill="1" applyAlignment="1" applyProtection="1">
      <alignment/>
      <protection/>
    </xf>
    <xf numFmtId="172" fontId="7" fillId="0" borderId="21" xfId="0" applyNumberFormat="1" applyFont="1" applyBorder="1" applyAlignment="1" applyProtection="1">
      <alignment/>
      <protection locked="0"/>
    </xf>
    <xf numFmtId="169" fontId="0" fillId="3" borderId="0" xfId="0" applyNumberFormat="1" applyFont="1" applyFill="1" applyAlignment="1" applyProtection="1">
      <alignment/>
      <protection/>
    </xf>
    <xf numFmtId="166" fontId="7" fillId="3" borderId="0" xfId="0" applyNumberFormat="1" applyFont="1" applyFill="1" applyAlignment="1" applyProtection="1">
      <alignment horizontal="center"/>
      <protection/>
    </xf>
    <xf numFmtId="169" fontId="7" fillId="3" borderId="0" xfId="0" applyNumberFormat="1" applyFont="1" applyFill="1" applyAlignment="1" applyProtection="1">
      <alignment/>
      <protection/>
    </xf>
    <xf numFmtId="169" fontId="7" fillId="0" borderId="0" xfId="0" applyNumberFormat="1" applyFont="1" applyAlignment="1" applyProtection="1">
      <alignment/>
      <protection/>
    </xf>
    <xf numFmtId="169" fontId="1" fillId="11" borderId="0" xfId="0" applyNumberFormat="1" applyFont="1" applyFill="1" applyAlignment="1" applyProtection="1">
      <alignment/>
      <protection/>
    </xf>
    <xf numFmtId="169" fontId="0" fillId="12" borderId="0" xfId="0" applyNumberFormat="1" applyFont="1" applyFill="1" applyAlignment="1" applyProtection="1">
      <alignment/>
      <protection/>
    </xf>
    <xf numFmtId="166" fontId="0" fillId="0" borderId="0" xfId="0" applyNumberFormat="1" applyFont="1" applyAlignment="1" applyProtection="1">
      <alignment/>
      <protection/>
    </xf>
    <xf numFmtId="169" fontId="1" fillId="9" borderId="0" xfId="0" applyNumberFormat="1" applyFont="1" applyFill="1" applyAlignment="1" applyProtection="1">
      <alignment horizontal="left"/>
      <protection/>
    </xf>
    <xf numFmtId="169" fontId="0" fillId="9" borderId="0" xfId="0" applyNumberFormat="1" applyFont="1" applyFill="1" applyAlignment="1" applyProtection="1">
      <alignment/>
      <protection/>
    </xf>
    <xf numFmtId="44" fontId="7" fillId="2" borderId="0" xfId="0" applyNumberFormat="1" applyFont="1" applyFill="1" applyAlignment="1" applyProtection="1">
      <alignment/>
      <protection locked="0"/>
    </xf>
    <xf numFmtId="44" fontId="1" fillId="7" borderId="0" xfId="0" applyNumberFormat="1" applyFont="1" applyFill="1" applyAlignment="1" applyProtection="1">
      <alignment/>
      <protection/>
    </xf>
    <xf numFmtId="44" fontId="1" fillId="7" borderId="35" xfId="0" applyNumberFormat="1" applyFont="1" applyFill="1" applyBorder="1" applyAlignment="1" applyProtection="1">
      <alignment/>
      <protection/>
    </xf>
    <xf numFmtId="44" fontId="1" fillId="7" borderId="40" xfId="0" applyNumberFormat="1" applyFont="1" applyFill="1" applyBorder="1" applyAlignment="1" applyProtection="1">
      <alignment/>
      <protection/>
    </xf>
    <xf numFmtId="44" fontId="1" fillId="7" borderId="41" xfId="0" applyNumberFormat="1" applyFont="1" applyFill="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43" fontId="1" fillId="7" borderId="0" xfId="0" applyNumberFormat="1" applyFont="1" applyFill="1" applyAlignment="1" applyProtection="1">
      <alignment/>
      <protection/>
    </xf>
    <xf numFmtId="3" fontId="0" fillId="0" borderId="0" xfId="0" applyNumberFormat="1" applyFont="1" applyAlignment="1" applyProtection="1">
      <alignment/>
      <protection/>
    </xf>
    <xf numFmtId="10" fontId="1" fillId="7" borderId="42" xfId="0" applyNumberFormat="1" applyFont="1" applyFill="1" applyBorder="1" applyAlignment="1" applyProtection="1">
      <alignment/>
      <protection/>
    </xf>
    <xf numFmtId="42" fontId="1" fillId="7" borderId="42" xfId="0" applyNumberFormat="1" applyFont="1" applyFill="1" applyBorder="1" applyAlignment="1" applyProtection="1">
      <alignment/>
      <protection/>
    </xf>
    <xf numFmtId="0" fontId="0" fillId="9" borderId="0" xfId="0" applyFill="1" applyAlignment="1" applyProtection="1">
      <alignment/>
      <protection/>
    </xf>
    <xf numFmtId="0" fontId="0" fillId="0" borderId="0" xfId="0" applyAlignment="1" applyProtection="1">
      <alignment horizontal="center" wrapText="1"/>
      <protection/>
    </xf>
    <xf numFmtId="42" fontId="7" fillId="0" borderId="42" xfId="0" applyNumberFormat="1" applyFont="1" applyBorder="1" applyAlignment="1" applyProtection="1">
      <alignment/>
      <protection locked="0"/>
    </xf>
    <xf numFmtId="10" fontId="7" fillId="0" borderId="42"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4" fontId="7" fillId="0" borderId="42" xfId="0" applyNumberFormat="1" applyFont="1" applyBorder="1" applyAlignment="1" applyProtection="1">
      <alignment/>
      <protection locked="0"/>
    </xf>
    <xf numFmtId="0" fontId="0" fillId="2" borderId="43" xfId="0" applyFill="1" applyBorder="1" applyAlignment="1" applyProtection="1">
      <alignment/>
      <protection/>
    </xf>
    <xf numFmtId="0" fontId="0" fillId="2" borderId="29" xfId="0" applyFill="1" applyBorder="1" applyAlignment="1" applyProtection="1">
      <alignment/>
      <protection/>
    </xf>
    <xf numFmtId="10" fontId="7" fillId="0" borderId="35" xfId="0" applyNumberFormat="1" applyFont="1" applyBorder="1" applyAlignment="1" applyProtection="1">
      <alignment/>
      <protection/>
    </xf>
    <xf numFmtId="0" fontId="0" fillId="7" borderId="35" xfId="0" applyFill="1" applyBorder="1" applyAlignment="1" applyProtection="1">
      <alignment/>
      <protection/>
    </xf>
    <xf numFmtId="0" fontId="0" fillId="9" borderId="44" xfId="0" applyFill="1" applyBorder="1" applyAlignment="1" applyProtection="1">
      <alignment/>
      <protection/>
    </xf>
    <xf numFmtId="0" fontId="0" fillId="0" borderId="43" xfId="0" applyBorder="1" applyAlignment="1" applyProtection="1">
      <alignment/>
      <protection/>
    </xf>
    <xf numFmtId="0" fontId="1" fillId="13" borderId="0" xfId="0" applyFont="1" applyFill="1" applyAlignment="1">
      <alignment/>
    </xf>
    <xf numFmtId="0" fontId="1" fillId="14" borderId="0" xfId="0" applyFont="1" applyFill="1" applyAlignment="1">
      <alignment/>
    </xf>
    <xf numFmtId="0" fontId="0" fillId="9" borderId="30" xfId="0" applyFill="1" applyBorder="1" applyAlignment="1" applyProtection="1">
      <alignment horizontal="center"/>
      <protection/>
    </xf>
    <xf numFmtId="0" fontId="1" fillId="0" borderId="33"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45" xfId="0" applyFont="1" applyBorder="1" applyAlignment="1" applyProtection="1">
      <alignment horizontal="center"/>
      <protection/>
    </xf>
    <xf numFmtId="0" fontId="1" fillId="0" borderId="46" xfId="0" applyFont="1" applyBorder="1" applyAlignment="1" applyProtection="1">
      <alignment horizontal="center"/>
      <protection/>
    </xf>
    <xf numFmtId="0" fontId="0" fillId="0" borderId="47" xfId="0" applyBorder="1" applyAlignment="1">
      <alignment/>
    </xf>
    <xf numFmtId="0" fontId="1" fillId="0" borderId="43" xfId="0" applyFont="1" applyBorder="1" applyAlignment="1" applyProtection="1">
      <alignment horizontal="center"/>
      <protection/>
    </xf>
    <xf numFmtId="0" fontId="1" fillId="0" borderId="29" xfId="0" applyFont="1" applyBorder="1" applyAlignment="1" applyProtection="1">
      <alignment horizontal="center"/>
      <protection/>
    </xf>
    <xf numFmtId="0" fontId="0" fillId="0" borderId="40" xfId="0" applyBorder="1" applyAlignment="1">
      <alignment/>
    </xf>
    <xf numFmtId="0" fontId="1" fillId="0" borderId="48" xfId="0" applyFont="1" applyBorder="1" applyAlignment="1" applyProtection="1">
      <alignment horizontal="center"/>
      <protection/>
    </xf>
    <xf numFmtId="0" fontId="0" fillId="0" borderId="49" xfId="0" applyBorder="1" applyAlignment="1">
      <alignment/>
    </xf>
    <xf numFmtId="0" fontId="0" fillId="0" borderId="50" xfId="0" applyBorder="1" applyAlignment="1">
      <alignment/>
    </xf>
    <xf numFmtId="0" fontId="1" fillId="0" borderId="51" xfId="0" applyFont="1" applyBorder="1" applyAlignment="1" applyProtection="1">
      <alignment horizontal="center"/>
      <protection/>
    </xf>
    <xf numFmtId="0" fontId="0" fillId="0" borderId="29" xfId="0" applyBorder="1" applyAlignment="1">
      <alignment/>
    </xf>
    <xf numFmtId="0" fontId="0" fillId="0" borderId="52" xfId="0" applyBorder="1" applyAlignment="1">
      <alignment/>
    </xf>
    <xf numFmtId="0" fontId="1" fillId="0" borderId="48"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29" xfId="0" applyFont="1" applyBorder="1" applyAlignment="1">
      <alignment horizontal="center"/>
    </xf>
    <xf numFmtId="0" fontId="1" fillId="0" borderId="52"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3" xfId="0" applyFont="1" applyBorder="1" applyAlignment="1">
      <alignment horizontal="center"/>
    </xf>
    <xf numFmtId="0" fontId="0" fillId="0" borderId="29" xfId="0" applyBorder="1" applyAlignment="1">
      <alignment horizontal="center"/>
    </xf>
    <xf numFmtId="0" fontId="0" fillId="0" borderId="40" xfId="0" applyBorder="1" applyAlignment="1">
      <alignment horizontal="center"/>
    </xf>
    <xf numFmtId="0" fontId="36" fillId="2" borderId="38" xfId="0" applyFont="1" applyFill="1"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1" fillId="0" borderId="40" xfId="0" applyFont="1" applyBorder="1" applyAlignment="1">
      <alignment horizontal="center"/>
    </xf>
    <xf numFmtId="0" fontId="1" fillId="0" borderId="0" xfId="0" applyFont="1" applyBorder="1" applyAlignment="1">
      <alignment horizontal="center"/>
    </xf>
    <xf numFmtId="0" fontId="1" fillId="9" borderId="0" xfId="0" applyFont="1" applyFill="1" applyAlignment="1">
      <alignment horizontal="left" textRotation="150"/>
    </xf>
    <xf numFmtId="169" fontId="25" fillId="11" borderId="0" xfId="0" applyNumberFormat="1" applyFont="1" applyFill="1" applyAlignment="1" applyProtection="1">
      <alignment horizontal="center"/>
      <protection/>
    </xf>
    <xf numFmtId="169" fontId="19" fillId="0" borderId="0" xfId="0" applyNumberFormat="1" applyFont="1" applyAlignment="1" applyProtection="1">
      <alignment horizontal="center"/>
      <protection/>
    </xf>
    <xf numFmtId="169" fontId="25" fillId="4" borderId="0" xfId="0" applyNumberFormat="1" applyFont="1" applyFill="1" applyAlignment="1" applyProtection="1">
      <alignment horizontal="center"/>
      <protection/>
    </xf>
    <xf numFmtId="0" fontId="0" fillId="15" borderId="0" xfId="0" applyFill="1" applyAlignment="1">
      <alignment horizontal="center"/>
    </xf>
    <xf numFmtId="0" fontId="0" fillId="0" borderId="30" xfId="0" applyBorder="1" applyAlignment="1">
      <alignment horizontal="center"/>
    </xf>
    <xf numFmtId="0" fontId="1" fillId="9" borderId="0" xfId="0" applyFont="1" applyFill="1" applyAlignment="1">
      <alignment horizontal="center"/>
    </xf>
    <xf numFmtId="0" fontId="0" fillId="16" borderId="0" xfId="0" applyFill="1" applyAlignment="1">
      <alignment horizontal="center"/>
    </xf>
    <xf numFmtId="0" fontId="0" fillId="7" borderId="0" xfId="0" applyFill="1" applyAlignment="1">
      <alignment horizontal="center"/>
    </xf>
    <xf numFmtId="0" fontId="0" fillId="17" borderId="0" xfId="0" applyFill="1" applyAlignment="1">
      <alignment horizontal="center"/>
    </xf>
    <xf numFmtId="0" fontId="28" fillId="0" borderId="53" xfId="0" applyFont="1" applyBorder="1" applyAlignment="1">
      <alignment horizontal="center"/>
    </xf>
    <xf numFmtId="0" fontId="28" fillId="0" borderId="54" xfId="0" applyFont="1" applyBorder="1" applyAlignment="1">
      <alignment horizontal="center"/>
    </xf>
    <xf numFmtId="0" fontId="28" fillId="0" borderId="55" xfId="0" applyFont="1" applyBorder="1" applyAlignment="1">
      <alignment horizontal="center"/>
    </xf>
  </cellXfs>
  <cellStyles count="7">
    <cellStyle name="Normal" xfId="0"/>
    <cellStyle name="Comma" xfId="15"/>
    <cellStyle name="Comma [0]" xfId="16"/>
    <cellStyle name="Currency" xfId="17"/>
    <cellStyle name="Currency [0]" xfId="18"/>
    <cellStyle name="Fixed"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FF0000"/>
                </a:solidFill>
                <a:latin typeface="Arial"/>
                <a:ea typeface="Arial"/>
                <a:cs typeface="Arial"/>
              </a:rPr>
              <a:t>Red Line</a:t>
            </a:r>
            <a:r>
              <a:rPr lang="en-US" cap="none" sz="1025" b="1" i="0" u="none" baseline="0">
                <a:latin typeface="Arial"/>
                <a:ea typeface="Arial"/>
                <a:cs typeface="Arial"/>
              </a:rPr>
              <a:t> is Projected Cash Price Given Basis, Adjusted for Brokerage and Interest Fees</a:t>
            </a:r>
          </a:p>
        </c:rich>
      </c:tx>
      <c:layout>
        <c:manualLayout>
          <c:xMode val="factor"/>
          <c:yMode val="factor"/>
          <c:x val="0.0265"/>
          <c:y val="-0.0075"/>
        </c:manualLayout>
      </c:layout>
      <c:spPr>
        <a:noFill/>
        <a:ln>
          <a:noFill/>
        </a:ln>
      </c:spPr>
    </c:title>
    <c:plotArea>
      <c:layout>
        <c:manualLayout>
          <c:xMode val="edge"/>
          <c:yMode val="edge"/>
          <c:x val="0.05625"/>
          <c:y val="0.13975"/>
          <c:w val="0.8985"/>
          <c:h val="0.7535"/>
        </c:manualLayout>
      </c:layout>
      <c:lineChart>
        <c:grouping val="standard"/>
        <c:varyColors val="0"/>
        <c:ser>
          <c:idx val="0"/>
          <c:order val="0"/>
          <c:tx>
            <c:strRef>
              <c:f>FutGraph!$A$44</c:f>
              <c:strCache>
                <c:ptCount val="1"/>
                <c:pt idx="0">
                  <c:v>Projected Cash</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FutGraph!$C$42:$S$42</c:f>
              <c:numCache>
                <c:ptCount val="17"/>
                <c:pt idx="0">
                  <c:v>-1.3</c:v>
                </c:pt>
                <c:pt idx="1">
                  <c:v>-1.2</c:v>
                </c:pt>
                <c:pt idx="2">
                  <c:v>-1.0999999999999999</c:v>
                </c:pt>
                <c:pt idx="3">
                  <c:v>-0.9999999999999999</c:v>
                </c:pt>
                <c:pt idx="4">
                  <c:v>-0.8999999999999999</c:v>
                </c:pt>
                <c:pt idx="5">
                  <c:v>-0.7999999999999999</c:v>
                </c:pt>
                <c:pt idx="6">
                  <c:v>-0.7</c:v>
                </c:pt>
                <c:pt idx="7">
                  <c:v>-0.6</c:v>
                </c:pt>
                <c:pt idx="8">
                  <c:v>-0.5</c:v>
                </c:pt>
                <c:pt idx="9">
                  <c:v>-0.4</c:v>
                </c:pt>
                <c:pt idx="10">
                  <c:v>-0.30000000000000004</c:v>
                </c:pt>
                <c:pt idx="11">
                  <c:v>-0.20000000000000004</c:v>
                </c:pt>
                <c:pt idx="12">
                  <c:v>-0.10000000000000003</c:v>
                </c:pt>
                <c:pt idx="13">
                  <c:v>0</c:v>
                </c:pt>
                <c:pt idx="14">
                  <c:v>0.1</c:v>
                </c:pt>
                <c:pt idx="15">
                  <c:v>0.2</c:v>
                </c:pt>
                <c:pt idx="16">
                  <c:v>0.30000000000000004</c:v>
                </c:pt>
              </c:numCache>
            </c:numRef>
          </c:cat>
          <c:val>
            <c:numRef>
              <c:f>FutGraph!$C$44:$S$44</c:f>
              <c:numCache>
                <c:ptCount val="17"/>
                <c:pt idx="0">
                  <c:v>2.18</c:v>
                </c:pt>
                <c:pt idx="1">
                  <c:v>2.28</c:v>
                </c:pt>
                <c:pt idx="2">
                  <c:v>2.3800000000000003</c:v>
                </c:pt>
                <c:pt idx="3">
                  <c:v>2.48</c:v>
                </c:pt>
                <c:pt idx="4">
                  <c:v>2.58</c:v>
                </c:pt>
                <c:pt idx="5">
                  <c:v>2.68</c:v>
                </c:pt>
                <c:pt idx="6">
                  <c:v>2.78</c:v>
                </c:pt>
                <c:pt idx="7">
                  <c:v>2.88</c:v>
                </c:pt>
                <c:pt idx="8">
                  <c:v>2.98</c:v>
                </c:pt>
                <c:pt idx="9">
                  <c:v>3.08</c:v>
                </c:pt>
                <c:pt idx="10">
                  <c:v>3.18</c:v>
                </c:pt>
                <c:pt idx="11">
                  <c:v>3.28</c:v>
                </c:pt>
                <c:pt idx="12">
                  <c:v>3.38</c:v>
                </c:pt>
                <c:pt idx="13">
                  <c:v>3.48</c:v>
                </c:pt>
                <c:pt idx="14">
                  <c:v>3.58</c:v>
                </c:pt>
                <c:pt idx="15">
                  <c:v>3.68</c:v>
                </c:pt>
                <c:pt idx="16">
                  <c:v>3.78</c:v>
                </c:pt>
              </c:numCache>
            </c:numRef>
          </c:val>
          <c:smooth val="0"/>
        </c:ser>
        <c:axId val="20198113"/>
        <c:axId val="47565290"/>
      </c:lineChart>
      <c:catAx>
        <c:axId val="20198113"/>
        <c:scaling>
          <c:orientation val="minMax"/>
        </c:scaling>
        <c:axPos val="b"/>
        <c:title>
          <c:tx>
            <c:rich>
              <a:bodyPr vert="horz" rot="0" anchor="ctr"/>
              <a:lstStyle/>
              <a:p>
                <a:pPr algn="ctr">
                  <a:defRPr/>
                </a:pPr>
                <a:r>
                  <a:rPr lang="en-US" cap="none" sz="1000" b="1" i="0" u="none" baseline="0">
                    <a:latin typeface="Arial"/>
                    <a:ea typeface="Arial"/>
                    <a:cs typeface="Arial"/>
                  </a:rPr>
                  <a:t>Basis at Sale Time</a:t>
                </a:r>
              </a:p>
            </c:rich>
          </c:tx>
          <c:layout/>
          <c:overlay val="0"/>
          <c:spPr>
            <a:noFill/>
            <a:ln>
              <a:noFill/>
            </a:ln>
          </c:spPr>
        </c:title>
        <c:delete val="0"/>
        <c:numFmt formatCode="0.00" sourceLinked="0"/>
        <c:majorTickMark val="in"/>
        <c:minorTickMark val="none"/>
        <c:tickLblPos val="nextTo"/>
        <c:txPr>
          <a:bodyPr vert="horz" rot="5400000"/>
          <a:lstStyle/>
          <a:p>
            <a:pPr>
              <a:defRPr lang="en-US" cap="none" sz="950" b="0" i="0" u="none" baseline="0">
                <a:latin typeface="Arial"/>
                <a:ea typeface="Arial"/>
                <a:cs typeface="Arial"/>
              </a:defRPr>
            </a:pPr>
          </a:p>
        </c:txPr>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sz="1000" b="1" i="0" u="none" baseline="0">
                    <a:latin typeface="Arial"/>
                    <a:ea typeface="Arial"/>
                    <a:cs typeface="Arial"/>
                  </a:rPr>
                  <a:t>Projected Cash Price</a:t>
                </a:r>
              </a:p>
            </c:rich>
          </c:tx>
          <c:layout>
            <c:manualLayout>
              <c:xMode val="factor"/>
              <c:yMode val="factor"/>
              <c:x val="0.270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0198113"/>
        <c:crosses val="max"/>
        <c:crossBetween val="midCat"/>
        <c:dispUnits/>
      </c:valAx>
      <c:spPr>
        <a:solidFill>
          <a:srgbClr val="FFFFFF"/>
        </a:solidFill>
        <a:ln w="12700">
          <a:solidFill>
            <a:srgbClr val="333333"/>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FF0000"/>
                </a:solidFill>
              </a:rPr>
              <a:t>Buying Put </a:t>
            </a:r>
            <a:r>
              <a:rPr lang="en-US" cap="none" sz="1150" b="1" i="0" u="none" baseline="0"/>
              <a:t>Option -</a:t>
            </a:r>
            <a:r>
              <a:rPr lang="en-US" cap="none" sz="1150" b="1" i="0" u="none" baseline="0"/>
              <a:t> You Pay the Premium
Protection From Falling Market</a:t>
            </a:r>
          </a:p>
        </c:rich>
      </c:tx>
      <c:layout>
        <c:manualLayout>
          <c:xMode val="factor"/>
          <c:yMode val="factor"/>
          <c:x val="0.00875"/>
          <c:y val="-0.0205"/>
        </c:manualLayout>
      </c:layout>
      <c:spPr>
        <a:noFill/>
        <a:ln>
          <a:noFill/>
        </a:ln>
      </c:spPr>
    </c:title>
    <c:plotArea>
      <c:layout>
        <c:manualLayout>
          <c:xMode val="edge"/>
          <c:yMode val="edge"/>
          <c:x val="0.02575"/>
          <c:y val="0.08225"/>
          <c:w val="0.8825"/>
          <c:h val="0.77525"/>
        </c:manualLayout>
      </c:layout>
      <c:lineChart>
        <c:grouping val="standard"/>
        <c:varyColors val="0"/>
        <c:ser>
          <c:idx val="0"/>
          <c:order val="0"/>
          <c:tx>
            <c:v>Option Only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OptGraph!$C$132:$AJ$132</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cat>
          <c:val>
            <c:numRef>
              <c:f>OptGraph!$C$133:$AJ$133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1"/>
          <c:tx>
            <c:strRef>
              <c:f>OptGraph!$B$135</c:f>
              <c:strCache>
                <c:ptCount val="1"/>
                <c:pt idx="0">
                  <c:v>Cash + Opt.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OptGraph!$C$135:$AJ$135</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2"/>
          <c:order val="2"/>
          <c:tx>
            <c:strRef>
              <c:f>OptGraph!$B$134</c:f>
              <c:strCache>
                <c:ptCount val="1"/>
                <c:pt idx="0">
                  <c:v>Est. Cash</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FF00"/>
              </a:solidFill>
              <a:ln>
                <a:solidFill>
                  <a:srgbClr val="FFFF00"/>
                </a:solidFill>
              </a:ln>
            </c:spPr>
          </c:marker>
          <c:val>
            <c:numRef>
              <c:f>OptGraph!$C$134:$AJ$134</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25434427"/>
        <c:axId val="27583252"/>
      </c:lineChart>
      <c:catAx>
        <c:axId val="25434427"/>
        <c:scaling>
          <c:orientation val="minMax"/>
        </c:scaling>
        <c:axPos val="b"/>
        <c:title>
          <c:tx>
            <c:rich>
              <a:bodyPr vert="horz" rot="0" anchor="ctr"/>
              <a:lstStyle/>
              <a:p>
                <a:pPr algn="ctr">
                  <a:defRPr/>
                </a:pPr>
                <a:r>
                  <a:rPr lang="en-US" cap="none" sz="900" b="1" i="0" u="none" baseline="0"/>
                  <a:t>Futures Price</a:t>
                </a:r>
              </a:p>
            </c:rich>
          </c:tx>
          <c:layout/>
          <c:overlay val="0"/>
          <c:spPr>
            <a:noFill/>
            <a:ln>
              <a:noFill/>
            </a:ln>
          </c:spPr>
        </c:title>
        <c:delete val="0"/>
        <c:numFmt formatCode="0.00" sourceLinked="0"/>
        <c:majorTickMark val="out"/>
        <c:minorTickMark val="in"/>
        <c:tickLblPos val="low"/>
        <c:txPr>
          <a:bodyPr vert="horz" rot="5400000"/>
          <a:lstStyle/>
          <a:p>
            <a:pPr>
              <a:defRPr lang="en-US" cap="none" sz="950" b="0" i="0" u="none" baseline="0"/>
            </a:pPr>
          </a:p>
        </c:txPr>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cap="none" sz="975" b="1" i="0" u="none" baseline="0"/>
                  <a:t>Revenue ($/Bu)</a:t>
                </a:r>
              </a:p>
            </c:rich>
          </c:tx>
          <c:layout>
            <c:manualLayout>
              <c:xMode val="factor"/>
              <c:yMode val="factor"/>
              <c:x val="-0.07875"/>
              <c:y val="0"/>
            </c:manualLayout>
          </c:layout>
          <c:overlay val="0"/>
          <c:spPr>
            <a:noFill/>
            <a:ln>
              <a:noFill/>
            </a:ln>
          </c:spPr>
        </c:title>
        <c:majorGridlines/>
        <c:delete val="0"/>
        <c:numFmt formatCode="#,##0.00;[Red](#,##0.00)" sourceLinked="0"/>
        <c:majorTickMark val="out"/>
        <c:minorTickMark val="none"/>
        <c:tickLblPos val="nextTo"/>
        <c:crossAx val="25434427"/>
        <c:crosses val="max"/>
        <c:crossBetween val="midCat"/>
        <c:dispUnits/>
      </c:valAx>
      <c:spPr>
        <a:solidFill>
          <a:srgbClr val="FFFFFF"/>
        </a:solidFill>
        <a:ln w="12700">
          <a:solidFill>
            <a:srgbClr val="808080"/>
          </a:solidFill>
        </a:ln>
      </c:spPr>
    </c:plotArea>
    <c:legend>
      <c:legendPos val="b"/>
      <c:layout>
        <c:manualLayout>
          <c:xMode val="edge"/>
          <c:yMode val="edge"/>
          <c:x val="0.1315"/>
          <c:y val="0.9155"/>
        </c:manualLayout>
      </c:layout>
      <c:overlay val="0"/>
    </c:legend>
    <c:plotVisOnly val="1"/>
    <c:dispBlanksAs val="gap"/>
    <c:showDLblsOverMax val="0"/>
  </c:chart>
  <c:txPr>
    <a:bodyPr vert="horz" rot="0"/>
    <a:lstStyle/>
    <a:p>
      <a:pPr>
        <a:defRPr lang="en-US" cap="none" sz="9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FF0000"/>
                </a:solidFill>
              </a:rPr>
              <a:t>Buying Call</a:t>
            </a:r>
            <a:r>
              <a:rPr lang="en-US" cap="none" sz="1175" b="1" i="0" u="none" baseline="0"/>
              <a:t> Option -</a:t>
            </a:r>
            <a:r>
              <a:rPr lang="en-US" cap="none" sz="1175" b="1" i="0" u="none" baseline="0"/>
              <a:t> You Pay The Premium
Protection From Rising Prices</a:t>
            </a:r>
          </a:p>
        </c:rich>
      </c:tx>
      <c:layout>
        <c:manualLayout>
          <c:xMode val="factor"/>
          <c:yMode val="factor"/>
          <c:x val="0.0065"/>
          <c:y val="0.02175"/>
        </c:manualLayout>
      </c:layout>
      <c:spPr>
        <a:noFill/>
        <a:ln>
          <a:noFill/>
        </a:ln>
      </c:spPr>
    </c:title>
    <c:plotArea>
      <c:layout>
        <c:manualLayout>
          <c:xMode val="edge"/>
          <c:yMode val="edge"/>
          <c:x val="0.02375"/>
          <c:y val="0.1195"/>
          <c:w val="0.88875"/>
          <c:h val="0.7295"/>
        </c:manualLayout>
      </c:layout>
      <c:lineChart>
        <c:grouping val="standard"/>
        <c:varyColors val="0"/>
        <c:ser>
          <c:idx val="2"/>
          <c:order val="0"/>
          <c:tx>
            <c:strRef>
              <c:f>OptGraph!$B$138</c:f>
              <c:strCache>
                <c:ptCount val="1"/>
                <c:pt idx="0">
                  <c:v>Option Only</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OptGraph!$C$137:$AJ$137</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cat>
          <c:val>
            <c:numRef>
              <c:f>OptGraph!$C$138:$AJ$138</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0"/>
          <c:order val="1"/>
          <c:tx>
            <c:strRef>
              <c:f>OptGraph!$B$139</c:f>
              <c:strCache>
                <c:ptCount val="1"/>
                <c:pt idx="0">
                  <c:v>Est. Cash</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00"/>
              </a:solidFill>
              <a:ln>
                <a:solidFill>
                  <a:srgbClr val="FFFF00"/>
                </a:solidFill>
              </a:ln>
            </c:spPr>
          </c:marker>
          <c:val>
            <c:numRef>
              <c:f>OptGraph!$C$139:$AJ$139</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2"/>
          <c:tx>
            <c:strRef>
              <c:f>OptGraph!$B$140</c:f>
              <c:strCache>
                <c:ptCount val="1"/>
                <c:pt idx="0">
                  <c:v>Cash + Opt.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OptGraph!$C$140:$AJ$140</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46922677"/>
        <c:axId val="19650910"/>
      </c:lineChart>
      <c:catAx>
        <c:axId val="46922677"/>
        <c:scaling>
          <c:orientation val="minMax"/>
        </c:scaling>
        <c:axPos val="b"/>
        <c:title>
          <c:tx>
            <c:rich>
              <a:bodyPr vert="horz" rot="0" anchor="ctr"/>
              <a:lstStyle/>
              <a:p>
                <a:pPr algn="ctr">
                  <a:defRPr/>
                </a:pPr>
                <a:r>
                  <a:rPr lang="en-US" cap="none" sz="975" b="1" i="0" u="none" baseline="0"/>
                  <a:t>Futures Price</a:t>
                </a:r>
              </a:p>
            </c:rich>
          </c:tx>
          <c:layout/>
          <c:overlay val="0"/>
          <c:spPr>
            <a:noFill/>
            <a:ln>
              <a:noFill/>
            </a:ln>
          </c:spPr>
        </c:title>
        <c:delete val="0"/>
        <c:numFmt formatCode="0.00" sourceLinked="0"/>
        <c:majorTickMark val="out"/>
        <c:minorTickMark val="in"/>
        <c:tickLblPos val="nextTo"/>
        <c:txPr>
          <a:bodyPr vert="horz" rot="5400000"/>
          <a:lstStyle/>
          <a:p>
            <a:pPr>
              <a:defRPr lang="en-US" cap="none" sz="925" b="0" i="0" u="none" baseline="0"/>
            </a:pPr>
          </a:p>
        </c:txPr>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sz="850" b="1" i="0" u="none" baseline="0"/>
                  <a:t>Dollars Per </a:t>
                </a:r>
                <a:r>
                  <a:rPr lang="en-US" cap="none" sz="850" b="1" i="0" u="none" baseline="0">
                    <a:solidFill>
                      <a:srgbClr val="FF0000"/>
                    </a:solidFill>
                  </a:rPr>
                  <a:t>Unit Paid</a:t>
                </a:r>
                <a:r>
                  <a:rPr lang="en-US" cap="none" sz="850" b="1" i="0" u="none" baseline="0"/>
                  <a:t> </a:t>
                </a:r>
                <a:r>
                  <a:rPr lang="en-US" cap="none" sz="850" b="1" i="0" u="none" baseline="0">
                    <a:solidFill>
                      <a:srgbClr val="0000FF"/>
                    </a:solidFill>
                  </a:rPr>
                  <a:t>or Received</a:t>
                </a:r>
              </a:p>
            </c:rich>
          </c:tx>
          <c:layout>
            <c:manualLayout>
              <c:xMode val="factor"/>
              <c:yMode val="factor"/>
              <c:x val="-0.092"/>
              <c:y val="-0.01575"/>
            </c:manualLayout>
          </c:layout>
          <c:overlay val="0"/>
          <c:spPr>
            <a:noFill/>
            <a:ln>
              <a:noFill/>
            </a:ln>
          </c:spPr>
        </c:title>
        <c:majorGridlines/>
        <c:delete val="0"/>
        <c:numFmt formatCode="0.00_);[Red]\(0.00\)" sourceLinked="0"/>
        <c:majorTickMark val="out"/>
        <c:minorTickMark val="none"/>
        <c:tickLblPos val="nextTo"/>
        <c:txPr>
          <a:bodyPr/>
          <a:lstStyle/>
          <a:p>
            <a:pPr>
              <a:defRPr lang="en-US" cap="none" sz="925" b="0" i="0" u="none" baseline="0"/>
            </a:pPr>
          </a:p>
        </c:txPr>
        <c:crossAx val="46922677"/>
        <c:crosses val="max"/>
        <c:crossBetween val="midCat"/>
        <c:dispUnits/>
      </c:valAx>
      <c:spPr>
        <a:solidFill>
          <a:srgbClr val="FFFFFF"/>
        </a:solidFill>
        <a:ln w="12700">
          <a:solidFill>
            <a:srgbClr val="808080"/>
          </a:solidFill>
        </a:ln>
      </c:spPr>
    </c:plotArea>
    <c:legend>
      <c:legendPos val="b"/>
      <c:layout>
        <c:manualLayout>
          <c:xMode val="edge"/>
          <c:yMode val="edge"/>
          <c:x val="0.1525"/>
          <c:y val="0.91975"/>
        </c:manualLayout>
      </c:layout>
      <c:overlay val="0"/>
    </c:legend>
    <c:plotVisOnly val="1"/>
    <c:dispBlanksAs val="gap"/>
    <c:showDLblsOverMax val="0"/>
  </c:chart>
  <c:txPr>
    <a:bodyPr vert="horz" rot="0"/>
    <a:lstStyle/>
    <a:p>
      <a:pPr>
        <a:defRPr lang="en-US" cap="none" sz="9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FF0000"/>
                </a:solidFill>
              </a:rPr>
              <a:t>Selling A Put</a:t>
            </a:r>
            <a:r>
              <a:rPr lang="en-US" cap="none" sz="1175" b="1" i="0" u="none" baseline="0">
                <a:solidFill>
                  <a:srgbClr val="0000FF"/>
                </a:solidFill>
              </a:rPr>
              <a:t> - </a:t>
            </a:r>
            <a:r>
              <a:rPr lang="en-US" cap="none" sz="1175" b="1" i="0" u="none" baseline="0"/>
              <a:t>You Receive the Premium
Your Outlook is Bullish, Upward Market</a:t>
            </a:r>
          </a:p>
        </c:rich>
      </c:tx>
      <c:layout>
        <c:manualLayout>
          <c:xMode val="factor"/>
          <c:yMode val="factor"/>
          <c:x val="0.0065"/>
          <c:y val="0.02175"/>
        </c:manualLayout>
      </c:layout>
      <c:spPr>
        <a:noFill/>
        <a:ln>
          <a:noFill/>
        </a:ln>
      </c:spPr>
    </c:title>
    <c:plotArea>
      <c:layout>
        <c:manualLayout>
          <c:xMode val="edge"/>
          <c:yMode val="edge"/>
          <c:x val="0.02275"/>
          <c:y val="0.1285"/>
          <c:w val="0.92775"/>
          <c:h val="0.7515"/>
        </c:manualLayout>
      </c:layout>
      <c:lineChart>
        <c:grouping val="stacke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OptGraph!$C$143:$AJ$143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cat>
          <c:val>
            <c:numRef>
              <c:f>OptGraph!$C$144:$AJ$144</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42640463"/>
        <c:axId val="48219848"/>
      </c:lineChart>
      <c:catAx>
        <c:axId val="42640463"/>
        <c:scaling>
          <c:orientation val="minMax"/>
        </c:scaling>
        <c:axPos val="b"/>
        <c:title>
          <c:tx>
            <c:rich>
              <a:bodyPr vert="horz" rot="0" anchor="ctr"/>
              <a:lstStyle/>
              <a:p>
                <a:pPr algn="ctr">
                  <a:defRPr/>
                </a:pPr>
                <a:r>
                  <a:rPr lang="en-US" cap="none" sz="975" b="1" i="0" u="none" baseline="0"/>
                  <a:t>Futures Price</a:t>
                </a:r>
              </a:p>
            </c:rich>
          </c:tx>
          <c:layout/>
          <c:overlay val="0"/>
          <c:spPr>
            <a:noFill/>
            <a:ln>
              <a:noFill/>
            </a:ln>
          </c:spPr>
        </c:title>
        <c:delete val="0"/>
        <c:numFmt formatCode="General" sourceLinked="1"/>
        <c:majorTickMark val="out"/>
        <c:minorTickMark val="in"/>
        <c:tickLblPos val="low"/>
        <c:txPr>
          <a:bodyPr vert="horz" rot="5400000"/>
          <a:lstStyle/>
          <a:p>
            <a:pPr>
              <a:defRPr lang="en-US" cap="none" sz="925" b="0" i="0" u="none" baseline="0"/>
            </a:pPr>
          </a:p>
        </c:txPr>
        <c:crossAx val="48219848"/>
        <c:crosses val="autoZero"/>
        <c:auto val="1"/>
        <c:lblOffset val="100"/>
        <c:noMultiLvlLbl val="0"/>
      </c:catAx>
      <c:valAx>
        <c:axId val="48219848"/>
        <c:scaling>
          <c:orientation val="minMax"/>
        </c:scaling>
        <c:axPos val="l"/>
        <c:title>
          <c:tx>
            <c:rich>
              <a:bodyPr vert="horz" rot="-5400000" anchor="ctr"/>
              <a:lstStyle/>
              <a:p>
                <a:pPr algn="ctr">
                  <a:defRPr/>
                </a:pPr>
                <a:r>
                  <a:rPr lang="en-US" cap="none" sz="800" b="1" i="0" u="none" baseline="0"/>
                  <a:t>Profit as Futures Price Changes</a:t>
                </a:r>
              </a:p>
            </c:rich>
          </c:tx>
          <c:layout>
            <c:manualLayout>
              <c:xMode val="factor"/>
              <c:yMode val="factor"/>
              <c:x val="-0.00125"/>
              <c:y val="0.0035"/>
            </c:manualLayout>
          </c:layout>
          <c:overlay val="0"/>
          <c:spPr>
            <a:noFill/>
            <a:ln>
              <a:noFill/>
            </a:ln>
          </c:spPr>
        </c:title>
        <c:majorGridlines/>
        <c:delete val="0"/>
        <c:numFmt formatCode="#,##0.00;[Red](#,##0.00)" sourceLinked="0"/>
        <c:majorTickMark val="out"/>
        <c:minorTickMark val="none"/>
        <c:tickLblPos val="nextTo"/>
        <c:txPr>
          <a:bodyPr/>
          <a:lstStyle/>
          <a:p>
            <a:pPr>
              <a:defRPr lang="en-US" cap="none" sz="925" b="0" i="0" u="none" baseline="0"/>
            </a:pPr>
          </a:p>
        </c:txPr>
        <c:crossAx val="42640463"/>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rPr>
              <a:t>Selling A Call</a:t>
            </a:r>
            <a:r>
              <a:rPr lang="en-US" cap="none" sz="1200" b="1" i="0" u="none" baseline="0"/>
              <a:t> - </a:t>
            </a:r>
            <a:r>
              <a:rPr lang="en-US" cap="none" sz="1200" b="1" i="0" u="none" baseline="0"/>
              <a:t>You Receive the Premium
Your Outlook is Bearish, Downward Market</a:t>
            </a:r>
          </a:p>
        </c:rich>
      </c:tx>
      <c:layout>
        <c:manualLayout>
          <c:xMode val="factor"/>
          <c:yMode val="factor"/>
          <c:x val="0.0065"/>
          <c:y val="0.02175"/>
        </c:manualLayout>
      </c:layout>
      <c:spPr>
        <a:noFill/>
        <a:ln>
          <a:noFill/>
        </a:ln>
      </c:spPr>
    </c:title>
    <c:plotArea>
      <c:layout>
        <c:manualLayout>
          <c:xMode val="edge"/>
          <c:yMode val="edge"/>
          <c:x val="0.0275"/>
          <c:y val="0.144"/>
          <c:w val="0.87625"/>
          <c:h val="0.732"/>
        </c:manualLayout>
      </c:layout>
      <c:lineChart>
        <c:grouping val="stacked"/>
        <c:varyColors val="0"/>
        <c:ser>
          <c:idx val="0"/>
          <c:order val="0"/>
          <c:tx>
            <c:strRef>
              <c:f>OptGraph!$B$150</c:f>
              <c:strCache>
                <c:ptCount val="1"/>
                <c:pt idx="0">
                  <c:v>Option Only</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OptGraph!$C$149:$AJ$149</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cat>
          <c:val>
            <c:numRef>
              <c:f>OptGraph!$C$150:$AJ$150</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31325449"/>
        <c:axId val="13493586"/>
      </c:lineChart>
      <c:catAx>
        <c:axId val="31325449"/>
        <c:scaling>
          <c:orientation val="minMax"/>
        </c:scaling>
        <c:axPos val="b"/>
        <c:title>
          <c:tx>
            <c:rich>
              <a:bodyPr vert="horz" rot="0" anchor="ctr"/>
              <a:lstStyle/>
              <a:p>
                <a:pPr algn="ctr">
                  <a:defRPr/>
                </a:pPr>
                <a:r>
                  <a:rPr lang="en-US" cap="none" sz="975" b="1" i="0" u="none" baseline="0"/>
                  <a:t>Futures Price</a:t>
                </a:r>
              </a:p>
            </c:rich>
          </c:tx>
          <c:layout/>
          <c:overlay val="0"/>
          <c:spPr>
            <a:noFill/>
            <a:ln>
              <a:noFill/>
            </a:ln>
          </c:spPr>
        </c:title>
        <c:delete val="0"/>
        <c:numFmt formatCode="0.00_);[Red]\(0.00\)" sourceLinked="0"/>
        <c:majorTickMark val="out"/>
        <c:minorTickMark val="in"/>
        <c:tickLblPos val="low"/>
        <c:txPr>
          <a:bodyPr vert="horz" rot="5400000"/>
          <a:lstStyle/>
          <a:p>
            <a:pPr>
              <a:defRPr lang="en-US" cap="none" sz="925" b="0" i="0" u="none" baseline="0"/>
            </a:pPr>
          </a:p>
        </c:txPr>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sz="975" b="1" i="0" u="none" baseline="0"/>
                  <a:t>Profit as Futures Price Changes</a:t>
                </a:r>
              </a:p>
            </c:rich>
          </c:tx>
          <c:layout/>
          <c:overlay val="0"/>
          <c:spPr>
            <a:noFill/>
            <a:ln>
              <a:noFill/>
            </a:ln>
          </c:spPr>
        </c:title>
        <c:majorGridlines/>
        <c:delete val="0"/>
        <c:numFmt formatCode="0.00_);[Red]\(0.00\)" sourceLinked="0"/>
        <c:majorTickMark val="out"/>
        <c:minorTickMark val="none"/>
        <c:tickLblPos val="nextTo"/>
        <c:txPr>
          <a:bodyPr/>
          <a:lstStyle/>
          <a:p>
            <a:pPr>
              <a:defRPr lang="en-US" cap="none" sz="925" b="0" i="0" u="none" baseline="0"/>
            </a:pPr>
          </a:p>
        </c:txPr>
        <c:crossAx val="31325449"/>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Breakeven Price-Existing Farm Storage</a:t>
            </a:r>
          </a:p>
        </c:rich>
      </c:tx>
      <c:layout/>
      <c:spPr>
        <a:noFill/>
        <a:ln>
          <a:noFill/>
        </a:ln>
      </c:spPr>
    </c:title>
    <c:plotArea>
      <c:layout>
        <c:manualLayout>
          <c:xMode val="edge"/>
          <c:yMode val="edge"/>
          <c:x val="0.02225"/>
          <c:y val="0.128"/>
          <c:w val="0.874"/>
          <c:h val="0.7405"/>
        </c:manualLayout>
      </c:layout>
      <c:lineChart>
        <c:grouping val="standard"/>
        <c:varyColors val="0"/>
        <c:ser>
          <c:idx val="0"/>
          <c:order val="0"/>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noFill/>
              </a:ln>
            </c:spPr>
          </c:marker>
          <c:dLbls>
            <c:dLbl>
              <c:idx val="0"/>
              <c:numFmt formatCode="&quot;$&quot;#,##0.00_);\(&quot;$&quot;#,##0.00\)" sourceLinked="0"/>
              <c:showLegendKey val="0"/>
              <c:showVal val="1"/>
              <c:showBubbleSize val="0"/>
              <c:showCatName val="0"/>
              <c:showSerName val="0"/>
              <c:showPercent val="0"/>
            </c:dLbl>
            <c:numFmt formatCode="&quot;$&quot;#,##0.00_);\(&quot;$&quot;#,##0.00\)" sourceLinked="0"/>
            <c:showLegendKey val="0"/>
            <c:showVal val="1"/>
            <c:showBubbleSize val="0"/>
            <c:showCatName val="0"/>
            <c:showSerName val="0"/>
            <c:showLeaderLines val="1"/>
            <c:showPercent val="0"/>
          </c:dLbls>
          <c:cat>
            <c:numRef>
              <c:f>OldStorage!$B$7:$B$12</c:f>
              <c:numCache>
                <c:ptCount val="6"/>
                <c:pt idx="0">
                  <c:v>0</c:v>
                </c:pt>
                <c:pt idx="1">
                  <c:v>0</c:v>
                </c:pt>
                <c:pt idx="2">
                  <c:v>0</c:v>
                </c:pt>
                <c:pt idx="3">
                  <c:v>0</c:v>
                </c:pt>
                <c:pt idx="4">
                  <c:v>0</c:v>
                </c:pt>
                <c:pt idx="5">
                  <c:v>0</c:v>
                </c:pt>
              </c:numCache>
            </c:numRef>
          </c:cat>
          <c:val>
            <c:numRef>
              <c:f>OldStorage!$B$47:$G$47</c:f>
              <c:numCache>
                <c:ptCount val="6"/>
                <c:pt idx="0">
                  <c:v>0</c:v>
                </c:pt>
                <c:pt idx="1">
                  <c:v>0</c:v>
                </c:pt>
                <c:pt idx="2">
                  <c:v>0</c:v>
                </c:pt>
                <c:pt idx="3">
                  <c:v>0</c:v>
                </c:pt>
                <c:pt idx="4">
                  <c:v>0</c:v>
                </c:pt>
                <c:pt idx="5">
                  <c:v>0</c:v>
                </c:pt>
              </c:numCache>
            </c:numRef>
          </c:val>
          <c:smooth val="0"/>
        </c:ser>
        <c:marker val="1"/>
        <c:axId val="54333411"/>
        <c:axId val="19238652"/>
      </c:lineChart>
      <c:catAx>
        <c:axId val="54333411"/>
        <c:scaling>
          <c:orientation val="minMax"/>
        </c:scaling>
        <c:axPos val="b"/>
        <c:title>
          <c:tx>
            <c:rich>
              <a:bodyPr vert="horz" rot="0" anchor="ctr"/>
              <a:lstStyle/>
              <a:p>
                <a:pPr algn="ctr">
                  <a:defRPr/>
                </a:pPr>
                <a:r>
                  <a:rPr lang="en-US"/>
                  <a:t>Months of Storage</a:t>
                </a:r>
              </a:p>
            </c:rich>
          </c:tx>
          <c:layout/>
          <c:overlay val="0"/>
          <c:spPr>
            <a:noFill/>
            <a:ln>
              <a:noFill/>
            </a:ln>
          </c:spPr>
        </c:title>
        <c:delete val="0"/>
        <c:numFmt formatCode="General" sourceLinked="1"/>
        <c:majorTickMark val="in"/>
        <c:minorTickMark val="none"/>
        <c:tickLblPos val="low"/>
        <c:crossAx val="19238652"/>
        <c:crosses val="autoZero"/>
        <c:auto val="0"/>
        <c:lblOffset val="100"/>
        <c:noMultiLvlLbl val="0"/>
      </c:catAx>
      <c:valAx>
        <c:axId val="19238652"/>
        <c:scaling>
          <c:orientation val="minMax"/>
        </c:scaling>
        <c:axPos val="l"/>
        <c:title>
          <c:tx>
            <c:rich>
              <a:bodyPr vert="horz" rot="-5400000" anchor="ctr"/>
              <a:lstStyle/>
              <a:p>
                <a:pPr algn="ctr">
                  <a:defRPr/>
                </a:pPr>
                <a:r>
                  <a:rPr lang="en-US"/>
                  <a:t>Dollars Per Unit</a:t>
                </a:r>
              </a:p>
            </c:rich>
          </c:tx>
          <c:layout/>
          <c:overlay val="0"/>
          <c:spPr>
            <a:noFill/>
            <a:ln>
              <a:noFill/>
            </a:ln>
          </c:spPr>
        </c:title>
        <c:majorGridlines/>
        <c:delete val="0"/>
        <c:numFmt formatCode="General" sourceLinked="1"/>
        <c:majorTickMark val="out"/>
        <c:minorTickMark val="none"/>
        <c:tickLblPos val="nextTo"/>
        <c:crossAx val="54333411"/>
        <c:crosses val="max"/>
        <c:crossBetween val="midCat"/>
        <c:dispUnits/>
      </c:valAx>
      <c:spPr>
        <a:solidFill>
          <a:srgbClr val="C0C0C0"/>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Breakeven Price For New Farm Storage</a:t>
            </a:r>
          </a:p>
        </c:rich>
      </c:tx>
      <c:layout/>
      <c:spPr>
        <a:noFill/>
        <a:ln>
          <a:noFill/>
        </a:ln>
      </c:spPr>
    </c:title>
    <c:plotArea>
      <c:layout>
        <c:manualLayout>
          <c:xMode val="edge"/>
          <c:yMode val="edge"/>
          <c:x val="0.033"/>
          <c:y val="0.11825"/>
          <c:w val="0.8805"/>
          <c:h val="0.7425"/>
        </c:manualLayout>
      </c:layout>
      <c:lineChart>
        <c:grouping val="standard"/>
        <c:varyColors val="0"/>
        <c:ser>
          <c:idx val="0"/>
          <c:order val="0"/>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noFill/>
              </a:ln>
            </c:spPr>
          </c:marker>
          <c:dLbls>
            <c:dLbl>
              <c:idx val="0"/>
              <c:numFmt formatCode="&quot;$&quot;#,##0.00_);\(&quot;$&quot;#,##0.00\)" sourceLinked="0"/>
              <c:showLegendKey val="0"/>
              <c:showVal val="1"/>
              <c:showBubbleSize val="0"/>
              <c:showCatName val="0"/>
              <c:showSerName val="0"/>
              <c:showPercent val="0"/>
            </c:dLbl>
            <c:numFmt formatCode="&quot;$&quot;#,##0.00_);\(&quot;$&quot;#,##0.00\)" sourceLinked="0"/>
            <c:showLegendKey val="0"/>
            <c:showVal val="1"/>
            <c:showBubbleSize val="0"/>
            <c:showCatName val="0"/>
            <c:showSerName val="0"/>
            <c:showLeaderLines val="1"/>
            <c:showPercent val="0"/>
          </c:dLbls>
          <c:cat>
            <c:numRef>
              <c:f>NewStorage!$B$7:$B$12</c:f>
              <c:numCache>
                <c:ptCount val="6"/>
                <c:pt idx="0">
                  <c:v>0</c:v>
                </c:pt>
                <c:pt idx="1">
                  <c:v>0</c:v>
                </c:pt>
                <c:pt idx="2">
                  <c:v>0</c:v>
                </c:pt>
                <c:pt idx="3">
                  <c:v>0</c:v>
                </c:pt>
                <c:pt idx="4">
                  <c:v>0</c:v>
                </c:pt>
                <c:pt idx="5">
                  <c:v>0</c:v>
                </c:pt>
              </c:numCache>
            </c:numRef>
          </c:cat>
          <c:val>
            <c:numRef>
              <c:f>NewStorage!$B$60:$G$60</c:f>
              <c:numCache>
                <c:ptCount val="6"/>
                <c:pt idx="0">
                  <c:v>0</c:v>
                </c:pt>
                <c:pt idx="1">
                  <c:v>0</c:v>
                </c:pt>
                <c:pt idx="2">
                  <c:v>0</c:v>
                </c:pt>
                <c:pt idx="3">
                  <c:v>0</c:v>
                </c:pt>
                <c:pt idx="4">
                  <c:v>0</c:v>
                </c:pt>
                <c:pt idx="5">
                  <c:v>0</c:v>
                </c:pt>
              </c:numCache>
            </c:numRef>
          </c:val>
          <c:smooth val="0"/>
        </c:ser>
        <c:marker val="1"/>
        <c:axId val="38930141"/>
        <c:axId val="14826950"/>
      </c:lineChart>
      <c:catAx>
        <c:axId val="38930141"/>
        <c:scaling>
          <c:orientation val="minMax"/>
        </c:scaling>
        <c:axPos val="b"/>
        <c:title>
          <c:tx>
            <c:rich>
              <a:bodyPr vert="horz" rot="0" anchor="ctr"/>
              <a:lstStyle/>
              <a:p>
                <a:pPr algn="ctr">
                  <a:defRPr/>
                </a:pPr>
                <a:r>
                  <a:rPr lang="en-US"/>
                  <a:t>Months of Storage</a:t>
                </a:r>
              </a:p>
            </c:rich>
          </c:tx>
          <c:layout/>
          <c:overlay val="0"/>
          <c:spPr>
            <a:noFill/>
            <a:ln>
              <a:noFill/>
            </a:ln>
          </c:spPr>
        </c:title>
        <c:delete val="0"/>
        <c:numFmt formatCode="General" sourceLinked="1"/>
        <c:majorTickMark val="in"/>
        <c:minorTickMark val="none"/>
        <c:tickLblPos val="low"/>
        <c:crossAx val="14826950"/>
        <c:crosses val="autoZero"/>
        <c:auto val="0"/>
        <c:lblOffset val="100"/>
        <c:noMultiLvlLbl val="0"/>
      </c:catAx>
      <c:valAx>
        <c:axId val="14826950"/>
        <c:scaling>
          <c:orientation val="minMax"/>
        </c:scaling>
        <c:axPos val="l"/>
        <c:title>
          <c:tx>
            <c:rich>
              <a:bodyPr vert="horz" rot="-5400000" anchor="ctr"/>
              <a:lstStyle/>
              <a:p>
                <a:pPr algn="ctr">
                  <a:defRPr/>
                </a:pPr>
                <a:r>
                  <a:rPr lang="en-US"/>
                  <a:t>Dollars Per Unit</a:t>
                </a:r>
              </a:p>
            </c:rich>
          </c:tx>
          <c:layout/>
          <c:overlay val="0"/>
          <c:spPr>
            <a:noFill/>
            <a:ln>
              <a:noFill/>
            </a:ln>
          </c:spPr>
        </c:title>
        <c:majorGridlines/>
        <c:delete val="0"/>
        <c:numFmt formatCode="General" sourceLinked="1"/>
        <c:majorTickMark val="out"/>
        <c:minorTickMark val="none"/>
        <c:tickLblPos val="nextTo"/>
        <c:crossAx val="38930141"/>
        <c:crosses val="max"/>
        <c:crossBetween val="midCat"/>
        <c:dispUnits/>
      </c:valAx>
      <c:spPr>
        <a:solidFill>
          <a:srgbClr val="C0C0C0"/>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57150</xdr:rowOff>
    </xdr:from>
    <xdr:to>
      <xdr:col>8</xdr:col>
      <xdr:colOff>228600</xdr:colOff>
      <xdr:row>9</xdr:row>
      <xdr:rowOff>38100</xdr:rowOff>
    </xdr:to>
    <xdr:sp>
      <xdr:nvSpPr>
        <xdr:cNvPr id="1" name="TextBox 1"/>
        <xdr:cNvSpPr txBox="1">
          <a:spLocks noChangeArrowheads="1"/>
        </xdr:cNvSpPr>
      </xdr:nvSpPr>
      <xdr:spPr>
        <a:xfrm>
          <a:off x="266700" y="57150"/>
          <a:ext cx="483870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This spreadsheet is designed to help you evaluate marketing alternatives using futures and options as well as evaluate cash marketing alternatives.  Users can look at hedging grain or retained ownership (storing grain).  Listed below are the names of the page tabs (bottom of the screen) in this spreadsheet and what each tab is designed to do.  Simply click on the page tabs to move from one page to another.  Scroll pages by using the set of arrow keys that scroll the the page tabs rather than scrolling the screen itself.  These may be in different locations in different spreadsheets. 
</a:t>
          </a:r>
          <a:r>
            <a:rPr lang="en-US" cap="none" sz="900" b="0" i="0" u="none" baseline="0">
              <a:latin typeface="Times New Roman"/>
              <a:ea typeface="Times New Roman"/>
              <a:cs typeface="Times New Roman"/>
            </a:rPr>
            <a:t>Written by Duane Griffith, Montana State University </a:t>
          </a:r>
          <a:r>
            <a:rPr lang="en-US" cap="none" sz="1000" b="0" i="0" u="none" baseline="0">
              <a:latin typeface="Times New Roman"/>
              <a:ea typeface="Times New Roman"/>
              <a:cs typeface="Times New Roman"/>
            </a:rPr>
            <a:t>
</a:t>
          </a:r>
        </a:p>
      </xdr:txBody>
    </xdr:sp>
    <xdr:clientData/>
  </xdr:twoCellAnchor>
  <xdr:oneCellAnchor>
    <xdr:from>
      <xdr:col>2</xdr:col>
      <xdr:colOff>47625</xdr:colOff>
      <xdr:row>17</xdr:row>
      <xdr:rowOff>19050</xdr:rowOff>
    </xdr:from>
    <xdr:ext cx="5143500" cy="1228725"/>
    <xdr:sp>
      <xdr:nvSpPr>
        <xdr:cNvPr id="2" name="TextBox 3"/>
        <xdr:cNvSpPr txBox="1">
          <a:spLocks noChangeArrowheads="1"/>
        </xdr:cNvSpPr>
      </xdr:nvSpPr>
      <xdr:spPr>
        <a:xfrm>
          <a:off x="1266825" y="2771775"/>
          <a:ext cx="5143500" cy="12287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pages allow the user to estimate the cost of production for a small grain enterprise.  Break-evens are calculated for variable costs, fixed plus variable (total costs), and total costs plus family living costs.  These pages are identical.  They simple allow calculation of two different enterprise cost of production estimates at the same time.  Please note, these are simple cost of production estimating routines.  Much more accurate and detailed ones are available.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0.17025</cdr:y>
    </cdr:from>
    <cdr:to>
      <cdr:x>0.47275</cdr:x>
      <cdr:y>0.7655</cdr:y>
    </cdr:to>
    <cdr:sp>
      <cdr:nvSpPr>
        <cdr:cNvPr id="1" name="Line 1"/>
        <cdr:cNvSpPr>
          <a:spLocks/>
        </cdr:cNvSpPr>
      </cdr:nvSpPr>
      <cdr:spPr>
        <a:xfrm flipH="1" flipV="1">
          <a:off x="1809750" y="514350"/>
          <a:ext cx="0" cy="1800225"/>
        </a:xfrm>
        <a:prstGeom prst="line">
          <a:avLst/>
        </a:prstGeom>
        <a:noFill/>
        <a:ln w="38100" cmpd="sng">
          <a:solidFill>
            <a:srgbClr val="0000FF"/>
          </a:solidFill>
          <a:headEnd type="arrow"/>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19050</xdr:rowOff>
    </xdr:from>
    <xdr:to>
      <xdr:col>9</xdr:col>
      <xdr:colOff>285750</xdr:colOff>
      <xdr:row>12</xdr:row>
      <xdr:rowOff>85725</xdr:rowOff>
    </xdr:to>
    <xdr:sp>
      <xdr:nvSpPr>
        <xdr:cNvPr id="1" name="TextBox 5"/>
        <xdr:cNvSpPr txBox="1">
          <a:spLocks noChangeArrowheads="1"/>
        </xdr:cNvSpPr>
      </xdr:nvSpPr>
      <xdr:spPr>
        <a:xfrm>
          <a:off x="561975" y="180975"/>
          <a:ext cx="55245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The data and graph below are intended for you to </a:t>
          </a:r>
          <a:r>
            <a:rPr lang="en-US" cap="none" sz="1200" b="1" i="0" u="none" baseline="0">
              <a:latin typeface="Times New Roman"/>
              <a:ea typeface="Times New Roman"/>
              <a:cs typeface="Times New Roman"/>
            </a:rPr>
            <a:t>"play"</a:t>
          </a:r>
          <a:r>
            <a:rPr lang="en-US" cap="none" sz="1200" b="0" i="0" u="none" baseline="0">
              <a:latin typeface="Times New Roman"/>
              <a:ea typeface="Times New Roman"/>
              <a:cs typeface="Times New Roman"/>
            </a:rPr>
            <a:t> with futures and cash prices at the time a hedge is placed. The graph is intended to analyze the price protect levels offered by a specific hedging opportunity.   Information available at the time the hedge is placed and again at the time of the sale is displayed in blue text below.  To change this information, simply enter the numbers displayed in blue text.  </a:t>
          </a:r>
          <a:r>
            <a:rPr lang="en-US" cap="none" sz="900" b="0" i="0" u="none" baseline="0">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Note: </a:t>
          </a:r>
          <a:r>
            <a:rPr lang="en-US" cap="none" sz="1200" b="0" i="0" u="none" baseline="0">
              <a:latin typeface="Times New Roman"/>
              <a:ea typeface="Times New Roman"/>
              <a:cs typeface="Times New Roman"/>
            </a:rPr>
            <a:t>This sheet is unprotected to allow using the mouse pointer on the red line in the graph.  Be careful that you enter numbers only where there is blue text to prevent deleting formulas.  </a:t>
          </a:r>
        </a:p>
      </xdr:txBody>
    </xdr:sp>
    <xdr:clientData/>
  </xdr:twoCellAnchor>
  <xdr:twoCellAnchor>
    <xdr:from>
      <xdr:col>4</xdr:col>
      <xdr:colOff>38100</xdr:colOff>
      <xdr:row>15</xdr:row>
      <xdr:rowOff>142875</xdr:rowOff>
    </xdr:from>
    <xdr:to>
      <xdr:col>9</xdr:col>
      <xdr:colOff>533400</xdr:colOff>
      <xdr:row>34</xdr:row>
      <xdr:rowOff>0</xdr:rowOff>
    </xdr:to>
    <xdr:graphicFrame>
      <xdr:nvGraphicFramePr>
        <xdr:cNvPr id="2" name="Chart 18"/>
        <xdr:cNvGraphicFramePr/>
      </xdr:nvGraphicFramePr>
      <xdr:xfrm>
        <a:off x="2495550" y="2571750"/>
        <a:ext cx="3838575" cy="3028950"/>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25</xdr:row>
      <xdr:rowOff>161925</xdr:rowOff>
    </xdr:from>
    <xdr:to>
      <xdr:col>8</xdr:col>
      <xdr:colOff>542925</xdr:colOff>
      <xdr:row>28</xdr:row>
      <xdr:rowOff>28575</xdr:rowOff>
    </xdr:to>
    <xdr:sp>
      <xdr:nvSpPr>
        <xdr:cNvPr id="3" name="TextBox 19"/>
        <xdr:cNvSpPr txBox="1">
          <a:spLocks noChangeArrowheads="1"/>
        </xdr:cNvSpPr>
      </xdr:nvSpPr>
      <xdr:spPr>
        <a:xfrm>
          <a:off x="4695825" y="4248150"/>
          <a:ext cx="10382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Strengthening
Basis</a:t>
          </a:r>
        </a:p>
      </xdr:txBody>
    </xdr:sp>
    <xdr:clientData/>
  </xdr:twoCellAnchor>
  <xdr:twoCellAnchor>
    <xdr:from>
      <xdr:col>4</xdr:col>
      <xdr:colOff>495300</xdr:colOff>
      <xdr:row>19</xdr:row>
      <xdr:rowOff>38100</xdr:rowOff>
    </xdr:from>
    <xdr:to>
      <xdr:col>6</xdr:col>
      <xdr:colOff>28575</xdr:colOff>
      <xdr:row>21</xdr:row>
      <xdr:rowOff>66675</xdr:rowOff>
    </xdr:to>
    <xdr:sp>
      <xdr:nvSpPr>
        <xdr:cNvPr id="4" name="TextBox 20"/>
        <xdr:cNvSpPr txBox="1">
          <a:spLocks noChangeArrowheads="1"/>
        </xdr:cNvSpPr>
      </xdr:nvSpPr>
      <xdr:spPr>
        <a:xfrm>
          <a:off x="2952750" y="3143250"/>
          <a:ext cx="94297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Weakening
Basis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123825</xdr:rowOff>
    </xdr:from>
    <xdr:to>
      <xdr:col>13</xdr:col>
      <xdr:colOff>371475</xdr:colOff>
      <xdr:row>31</xdr:row>
      <xdr:rowOff>152400</xdr:rowOff>
    </xdr:to>
    <xdr:graphicFrame>
      <xdr:nvGraphicFramePr>
        <xdr:cNvPr id="1" name="Chart 3"/>
        <xdr:cNvGraphicFramePr/>
      </xdr:nvGraphicFramePr>
      <xdr:xfrm>
        <a:off x="3162300" y="2066925"/>
        <a:ext cx="3981450" cy="31623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32</xdr:row>
      <xdr:rowOff>123825</xdr:rowOff>
    </xdr:from>
    <xdr:to>
      <xdr:col>13</xdr:col>
      <xdr:colOff>400050</xdr:colOff>
      <xdr:row>52</xdr:row>
      <xdr:rowOff>133350</xdr:rowOff>
    </xdr:to>
    <xdr:graphicFrame>
      <xdr:nvGraphicFramePr>
        <xdr:cNvPr id="2" name="Chart 4"/>
        <xdr:cNvGraphicFramePr/>
      </xdr:nvGraphicFramePr>
      <xdr:xfrm>
        <a:off x="3171825" y="5372100"/>
        <a:ext cx="4000500" cy="33147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55</xdr:row>
      <xdr:rowOff>0</xdr:rowOff>
    </xdr:from>
    <xdr:to>
      <xdr:col>13</xdr:col>
      <xdr:colOff>428625</xdr:colOff>
      <xdr:row>73</xdr:row>
      <xdr:rowOff>142875</xdr:rowOff>
    </xdr:to>
    <xdr:graphicFrame>
      <xdr:nvGraphicFramePr>
        <xdr:cNvPr id="3" name="Chart 5"/>
        <xdr:cNvGraphicFramePr/>
      </xdr:nvGraphicFramePr>
      <xdr:xfrm>
        <a:off x="3152775" y="9039225"/>
        <a:ext cx="4048125" cy="30765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77</xdr:row>
      <xdr:rowOff>0</xdr:rowOff>
    </xdr:from>
    <xdr:to>
      <xdr:col>14</xdr:col>
      <xdr:colOff>19050</xdr:colOff>
      <xdr:row>97</xdr:row>
      <xdr:rowOff>9525</xdr:rowOff>
    </xdr:to>
    <xdr:graphicFrame>
      <xdr:nvGraphicFramePr>
        <xdr:cNvPr id="4" name="Chart 6"/>
        <xdr:cNvGraphicFramePr/>
      </xdr:nvGraphicFramePr>
      <xdr:xfrm>
        <a:off x="3152775" y="12620625"/>
        <a:ext cx="4086225" cy="3267075"/>
      </xdr:xfrm>
      <a:graphic>
        <a:graphicData uri="http://schemas.openxmlformats.org/drawingml/2006/chart">
          <c:chart xmlns:c="http://schemas.openxmlformats.org/drawingml/2006/chart" r:id="rId4"/>
        </a:graphicData>
      </a:graphic>
    </xdr:graphicFrame>
    <xdr:clientData/>
  </xdr:twoCellAnchor>
  <xdr:oneCellAnchor>
    <xdr:from>
      <xdr:col>0</xdr:col>
      <xdr:colOff>285750</xdr:colOff>
      <xdr:row>0</xdr:row>
      <xdr:rowOff>142875</xdr:rowOff>
    </xdr:from>
    <xdr:ext cx="6400800" cy="1590675"/>
    <xdr:sp>
      <xdr:nvSpPr>
        <xdr:cNvPr id="5" name="TextBox 7"/>
        <xdr:cNvSpPr txBox="1">
          <a:spLocks noChangeArrowheads="1"/>
        </xdr:cNvSpPr>
      </xdr:nvSpPr>
      <xdr:spPr>
        <a:xfrm>
          <a:off x="285750" y="142875"/>
          <a:ext cx="6400800" cy="1590675"/>
        </a:xfrm>
        <a:prstGeom prst="rect">
          <a:avLst/>
        </a:prstGeom>
        <a:noFill/>
        <a:ln w="9525" cmpd="sng">
          <a:solidFill>
            <a:srgbClr val="FF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4 graphs below show the profit potential for put and call options as futures price varies around the strike price and premium entered.  These graphs show only the revenue or price side of the equation, they do not show net income for an enterprise.  The buying put and buying call alternatives do allow some additional analysis next to the graphs.  This additional analysis does not control the looks of the graph in any manner.  The graphs are controlled by entering the stirke price, premium, current futures price, and expected basis for the first two graphs shown.  This page is intended only to help understand what an option is and what kind of price protection it provides.  
</a:t>
          </a:r>
          <a:r>
            <a:rPr lang="en-US" cap="none" sz="1100" b="1" i="0" u="none" baseline="0">
              <a:solidFill>
                <a:srgbClr val="FF0000"/>
              </a:solidFill>
              <a:latin typeface="Times New Roman"/>
              <a:ea typeface="Times New Roman"/>
              <a:cs typeface="Times New Roman"/>
            </a:rPr>
            <a:t>Note:</a:t>
          </a:r>
          <a:r>
            <a:rPr lang="en-US" cap="none" sz="1100" b="0" i="0" u="none" baseline="0">
              <a:latin typeface="Times New Roman"/>
              <a:ea typeface="Times New Roman"/>
              <a:cs typeface="Times New Roman"/>
            </a:rPr>
            <a:t> This sheet is unprotected to allow using the mouse pointer on the lines in the graph.  Be careful that you enter numbers only where there is blue text.  </a:t>
          </a:r>
        </a:p>
      </xdr:txBody>
    </xdr:sp>
    <xdr:clientData/>
  </xdr:oneCellAnchor>
  <xdr:twoCellAnchor>
    <xdr:from>
      <xdr:col>1</xdr:col>
      <xdr:colOff>219075</xdr:colOff>
      <xdr:row>11</xdr:row>
      <xdr:rowOff>85725</xdr:rowOff>
    </xdr:from>
    <xdr:to>
      <xdr:col>1</xdr:col>
      <xdr:colOff>523875</xdr:colOff>
      <xdr:row>13</xdr:row>
      <xdr:rowOff>114300</xdr:rowOff>
    </xdr:to>
    <xdr:sp>
      <xdr:nvSpPr>
        <xdr:cNvPr id="6" name="Line 12"/>
        <xdr:cNvSpPr>
          <a:spLocks/>
        </xdr:cNvSpPr>
      </xdr:nvSpPr>
      <xdr:spPr>
        <a:xfrm flipH="1">
          <a:off x="571500" y="1866900"/>
          <a:ext cx="304800" cy="3619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xdr:rowOff>
    </xdr:from>
    <xdr:to>
      <xdr:col>7</xdr:col>
      <xdr:colOff>352425</xdr:colOff>
      <xdr:row>5</xdr:row>
      <xdr:rowOff>104775</xdr:rowOff>
    </xdr:to>
    <xdr:sp>
      <xdr:nvSpPr>
        <xdr:cNvPr id="1" name="TextBox 1"/>
        <xdr:cNvSpPr txBox="1">
          <a:spLocks noChangeArrowheads="1"/>
        </xdr:cNvSpPr>
      </xdr:nvSpPr>
      <xdr:spPr>
        <a:xfrm>
          <a:off x="209550" y="19050"/>
          <a:ext cx="52101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twoCellAnchor>
    <xdr:from>
      <xdr:col>0</xdr:col>
      <xdr:colOff>209550</xdr:colOff>
      <xdr:row>0</xdr:row>
      <xdr:rowOff>19050</xdr:rowOff>
    </xdr:from>
    <xdr:to>
      <xdr:col>7</xdr:col>
      <xdr:colOff>352425</xdr:colOff>
      <xdr:row>5</xdr:row>
      <xdr:rowOff>104775</xdr:rowOff>
    </xdr:to>
    <xdr:sp>
      <xdr:nvSpPr>
        <xdr:cNvPr id="2" name="TextBox 8"/>
        <xdr:cNvSpPr txBox="1">
          <a:spLocks noChangeArrowheads="1"/>
        </xdr:cNvSpPr>
      </xdr:nvSpPr>
      <xdr:spPr>
        <a:xfrm>
          <a:off x="209550" y="19050"/>
          <a:ext cx="52101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twoCellAnchor>
    <xdr:from>
      <xdr:col>0</xdr:col>
      <xdr:colOff>209550</xdr:colOff>
      <xdr:row>0</xdr:row>
      <xdr:rowOff>19050</xdr:rowOff>
    </xdr:from>
    <xdr:to>
      <xdr:col>7</xdr:col>
      <xdr:colOff>352425</xdr:colOff>
      <xdr:row>5</xdr:row>
      <xdr:rowOff>104775</xdr:rowOff>
    </xdr:to>
    <xdr:sp>
      <xdr:nvSpPr>
        <xdr:cNvPr id="3" name="TextBox 9"/>
        <xdr:cNvSpPr txBox="1">
          <a:spLocks noChangeArrowheads="1"/>
        </xdr:cNvSpPr>
      </xdr:nvSpPr>
      <xdr:spPr>
        <a:xfrm>
          <a:off x="209550" y="19050"/>
          <a:ext cx="52101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twoCellAnchor>
    <xdr:from>
      <xdr:col>0</xdr:col>
      <xdr:colOff>209550</xdr:colOff>
      <xdr:row>0</xdr:row>
      <xdr:rowOff>19050</xdr:rowOff>
    </xdr:from>
    <xdr:to>
      <xdr:col>7</xdr:col>
      <xdr:colOff>352425</xdr:colOff>
      <xdr:row>5</xdr:row>
      <xdr:rowOff>104775</xdr:rowOff>
    </xdr:to>
    <xdr:sp>
      <xdr:nvSpPr>
        <xdr:cNvPr id="4" name="TextBox 12"/>
        <xdr:cNvSpPr txBox="1">
          <a:spLocks noChangeArrowheads="1"/>
        </xdr:cNvSpPr>
      </xdr:nvSpPr>
      <xdr:spPr>
        <a:xfrm>
          <a:off x="209550" y="19050"/>
          <a:ext cx="52101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twoCellAnchor>
    <xdr:from>
      <xdr:col>0</xdr:col>
      <xdr:colOff>209550</xdr:colOff>
      <xdr:row>0</xdr:row>
      <xdr:rowOff>19050</xdr:rowOff>
    </xdr:from>
    <xdr:to>
      <xdr:col>7</xdr:col>
      <xdr:colOff>352425</xdr:colOff>
      <xdr:row>5</xdr:row>
      <xdr:rowOff>104775</xdr:rowOff>
    </xdr:to>
    <xdr:sp>
      <xdr:nvSpPr>
        <xdr:cNvPr id="5" name="TextBox 13"/>
        <xdr:cNvSpPr txBox="1">
          <a:spLocks noChangeArrowheads="1"/>
        </xdr:cNvSpPr>
      </xdr:nvSpPr>
      <xdr:spPr>
        <a:xfrm>
          <a:off x="209550" y="19050"/>
          <a:ext cx="52101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xdr:rowOff>
    </xdr:from>
    <xdr:to>
      <xdr:col>7</xdr:col>
      <xdr:colOff>342900</xdr:colOff>
      <xdr:row>5</xdr:row>
      <xdr:rowOff>104775</xdr:rowOff>
    </xdr:to>
    <xdr:sp>
      <xdr:nvSpPr>
        <xdr:cNvPr id="1" name="TextBox 1"/>
        <xdr:cNvSpPr txBox="1">
          <a:spLocks noChangeArrowheads="1"/>
        </xdr:cNvSpPr>
      </xdr:nvSpPr>
      <xdr:spPr>
        <a:xfrm>
          <a:off x="209550" y="19050"/>
          <a:ext cx="52578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twoCellAnchor>
    <xdr:from>
      <xdr:col>0</xdr:col>
      <xdr:colOff>209550</xdr:colOff>
      <xdr:row>0</xdr:row>
      <xdr:rowOff>19050</xdr:rowOff>
    </xdr:from>
    <xdr:to>
      <xdr:col>7</xdr:col>
      <xdr:colOff>342900</xdr:colOff>
      <xdr:row>5</xdr:row>
      <xdr:rowOff>104775</xdr:rowOff>
    </xdr:to>
    <xdr:sp>
      <xdr:nvSpPr>
        <xdr:cNvPr id="2" name="TextBox 7"/>
        <xdr:cNvSpPr txBox="1">
          <a:spLocks noChangeArrowheads="1"/>
        </xdr:cNvSpPr>
      </xdr:nvSpPr>
      <xdr:spPr>
        <a:xfrm>
          <a:off x="209550" y="19050"/>
          <a:ext cx="52578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This template is a very simple procedure to calculate the operating costs (variable costs), and ownership costs (fixed costs) for a given crop in a given year.  The template also allows for entry of family living.  Break-evens are calculated for variable costs, total costs (fixed + variable), and total costs plus family living.  Please note that this template does not allow for a complete crop rotation (grain, fallow, recrop, etc.) only a single enterprise estimation of production costs.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xdr:row>
      <xdr:rowOff>114300</xdr:rowOff>
    </xdr:from>
    <xdr:to>
      <xdr:col>6</xdr:col>
      <xdr:colOff>590550</xdr:colOff>
      <xdr:row>18</xdr:row>
      <xdr:rowOff>85725</xdr:rowOff>
    </xdr:to>
    <xdr:graphicFrame>
      <xdr:nvGraphicFramePr>
        <xdr:cNvPr id="1" name="Chart 3"/>
        <xdr:cNvGraphicFramePr/>
      </xdr:nvGraphicFramePr>
      <xdr:xfrm>
        <a:off x="3733800" y="866775"/>
        <a:ext cx="3514725" cy="2857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7</xdr:col>
      <xdr:colOff>600075</xdr:colOff>
      <xdr:row>19</xdr:row>
      <xdr:rowOff>0</xdr:rowOff>
    </xdr:to>
    <xdr:graphicFrame>
      <xdr:nvGraphicFramePr>
        <xdr:cNvPr id="1" name="Chart 1"/>
        <xdr:cNvGraphicFramePr/>
      </xdr:nvGraphicFramePr>
      <xdr:xfrm>
        <a:off x="3371850" y="914400"/>
        <a:ext cx="3648075" cy="2800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I32"/>
  <sheetViews>
    <sheetView showGridLines="0" workbookViewId="0" topLeftCell="A1">
      <selection activeCell="A12" sqref="A12"/>
    </sheetView>
  </sheetViews>
  <sheetFormatPr defaultColWidth="9.140625" defaultRowHeight="12.75"/>
  <sheetData>
    <row r="11" spans="1:9" ht="12.75">
      <c r="A11" s="206" t="s">
        <v>32</v>
      </c>
      <c r="B11" s="208"/>
      <c r="C11" s="206" t="s">
        <v>35</v>
      </c>
      <c r="D11" s="207"/>
      <c r="E11" s="207"/>
      <c r="F11" s="207"/>
      <c r="G11" s="207"/>
      <c r="H11" s="207"/>
      <c r="I11" s="208"/>
    </row>
    <row r="12" spans="1:3" ht="12.75">
      <c r="A12" s="10" t="s">
        <v>33</v>
      </c>
      <c r="C12" t="s">
        <v>36</v>
      </c>
    </row>
    <row r="13" ht="12.75">
      <c r="C13" t="s">
        <v>37</v>
      </c>
    </row>
    <row r="14" ht="12.75">
      <c r="C14" t="s">
        <v>255</v>
      </c>
    </row>
    <row r="15" spans="1:3" ht="12.75">
      <c r="A15" s="10" t="s">
        <v>34</v>
      </c>
      <c r="C15" t="s">
        <v>38</v>
      </c>
    </row>
    <row r="16" ht="12.75">
      <c r="C16" t="s">
        <v>258</v>
      </c>
    </row>
    <row r="17" ht="12.75">
      <c r="C17" t="s">
        <v>259</v>
      </c>
    </row>
    <row r="18" ht="12.75">
      <c r="A18" s="10" t="s">
        <v>277</v>
      </c>
    </row>
    <row r="21" ht="12.75">
      <c r="A21" s="10" t="s">
        <v>278</v>
      </c>
    </row>
    <row r="26" spans="1:3" ht="12.75">
      <c r="A26" s="10" t="s">
        <v>187</v>
      </c>
      <c r="C26" t="s">
        <v>190</v>
      </c>
    </row>
    <row r="27" spans="1:3" ht="12.75">
      <c r="A27" s="10"/>
      <c r="C27" t="s">
        <v>191</v>
      </c>
    </row>
    <row r="28" spans="1:3" ht="12.75">
      <c r="A28" s="10" t="s">
        <v>188</v>
      </c>
      <c r="C28" t="s">
        <v>192</v>
      </c>
    </row>
    <row r="29" spans="1:3" ht="12.75">
      <c r="A29" s="10"/>
      <c r="C29" t="s">
        <v>193</v>
      </c>
    </row>
    <row r="30" spans="1:3" ht="12.75">
      <c r="A30" s="10" t="s">
        <v>189</v>
      </c>
      <c r="C30" t="s">
        <v>194</v>
      </c>
    </row>
    <row r="31" spans="1:3" ht="12.75">
      <c r="A31" s="10" t="s">
        <v>256</v>
      </c>
      <c r="C31" t="s">
        <v>257</v>
      </c>
    </row>
    <row r="32" ht="12.75">
      <c r="A32" s="10"/>
    </row>
  </sheetData>
  <sheetProtection sheet="1" objects="1" scenarios="1"/>
  <mergeCells count="2">
    <mergeCell ref="C11:I11"/>
    <mergeCell ref="A11:B11"/>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48"/>
  <sheetViews>
    <sheetView showGridLines="0" tabSelected="1" zoomScale="90" zoomScaleNormal="90" workbookViewId="0" topLeftCell="A1">
      <selection activeCell="D19" sqref="D19"/>
    </sheetView>
  </sheetViews>
  <sheetFormatPr defaultColWidth="9.140625" defaultRowHeight="12.75"/>
  <cols>
    <col min="1" max="1" width="4.7109375" style="0" customWidth="1"/>
    <col min="2" max="2" width="11.7109375" style="0" customWidth="1"/>
    <col min="3" max="3" width="11.28125" style="0" customWidth="1"/>
    <col min="6" max="6" width="12.00390625" style="0" customWidth="1"/>
    <col min="7" max="7" width="10.7109375" style="0" customWidth="1"/>
  </cols>
  <sheetData>
    <row r="1" spans="1:21" ht="12.75">
      <c r="A1" s="102"/>
      <c r="B1" s="102"/>
      <c r="C1" s="102"/>
      <c r="D1" s="102"/>
      <c r="E1" s="102"/>
      <c r="F1" s="102"/>
      <c r="G1" s="102"/>
      <c r="H1" s="102"/>
      <c r="I1" s="102"/>
      <c r="J1" s="102"/>
      <c r="K1" s="102"/>
      <c r="L1" s="102"/>
      <c r="M1" s="102"/>
      <c r="N1" s="102"/>
      <c r="O1" s="102"/>
      <c r="P1" s="102"/>
      <c r="Q1" s="102"/>
      <c r="R1" s="102"/>
      <c r="S1" s="102"/>
      <c r="T1" s="102"/>
      <c r="U1" s="102"/>
    </row>
    <row r="2" spans="1:21" ht="12.75">
      <c r="A2" s="102"/>
      <c r="B2" s="102"/>
      <c r="C2" s="102"/>
      <c r="D2" s="102"/>
      <c r="E2" s="102"/>
      <c r="F2" s="102"/>
      <c r="G2" s="102"/>
      <c r="H2" s="102"/>
      <c r="I2" s="102"/>
      <c r="J2" s="102"/>
      <c r="K2" s="102"/>
      <c r="L2" s="102"/>
      <c r="M2" s="102"/>
      <c r="N2" s="102"/>
      <c r="O2" s="102"/>
      <c r="P2" s="102"/>
      <c r="Q2" s="102"/>
      <c r="R2" s="102"/>
      <c r="S2" s="102"/>
      <c r="T2" s="102"/>
      <c r="U2" s="102"/>
    </row>
    <row r="3" spans="1:21" ht="12.75">
      <c r="A3" s="102"/>
      <c r="B3" s="102"/>
      <c r="C3" s="102"/>
      <c r="D3" s="102"/>
      <c r="E3" s="102"/>
      <c r="F3" s="102"/>
      <c r="G3" s="102"/>
      <c r="H3" s="102"/>
      <c r="I3" s="102"/>
      <c r="J3" s="102"/>
      <c r="K3" s="102"/>
      <c r="L3" s="102"/>
      <c r="M3" s="102"/>
      <c r="N3" s="102"/>
      <c r="O3" s="102"/>
      <c r="P3" s="102"/>
      <c r="Q3" s="102"/>
      <c r="R3" s="102"/>
      <c r="S3" s="102"/>
      <c r="T3" s="102"/>
      <c r="U3" s="102"/>
    </row>
    <row r="4" spans="1:21" ht="12.75">
      <c r="A4" s="102"/>
      <c r="B4" s="102"/>
      <c r="C4" s="102"/>
      <c r="D4" s="102"/>
      <c r="E4" s="102"/>
      <c r="F4" s="102"/>
      <c r="G4" s="102"/>
      <c r="H4" s="102"/>
      <c r="I4" s="102"/>
      <c r="J4" s="102"/>
      <c r="K4" s="102"/>
      <c r="L4" s="102"/>
      <c r="M4" s="102"/>
      <c r="N4" s="102"/>
      <c r="O4" s="102"/>
      <c r="P4" s="102"/>
      <c r="Q4" s="102"/>
      <c r="R4" s="102"/>
      <c r="S4" s="102"/>
      <c r="T4" s="102"/>
      <c r="U4" s="102"/>
    </row>
    <row r="5" spans="1:21" ht="12.75">
      <c r="A5" s="102"/>
      <c r="B5" s="102"/>
      <c r="C5" s="102"/>
      <c r="D5" s="102"/>
      <c r="E5" s="102"/>
      <c r="F5" s="102"/>
      <c r="G5" s="102"/>
      <c r="H5" s="102"/>
      <c r="I5" s="102"/>
      <c r="J5" s="102"/>
      <c r="K5" s="102"/>
      <c r="L5" s="102"/>
      <c r="M5" s="102"/>
      <c r="N5" s="102"/>
      <c r="O5" s="102"/>
      <c r="P5" s="102"/>
      <c r="Q5" s="102"/>
      <c r="R5" s="102"/>
      <c r="S5" s="102"/>
      <c r="T5" s="102"/>
      <c r="U5" s="102"/>
    </row>
    <row r="6" spans="1:21" ht="12.75">
      <c r="A6" s="102"/>
      <c r="B6" s="102"/>
      <c r="C6" s="102"/>
      <c r="D6" s="102"/>
      <c r="E6" s="102"/>
      <c r="F6" s="102"/>
      <c r="G6" s="102"/>
      <c r="H6" s="102"/>
      <c r="I6" s="102"/>
      <c r="J6" s="102"/>
      <c r="K6" s="102"/>
      <c r="L6" s="102"/>
      <c r="M6" s="102"/>
      <c r="N6" s="102"/>
      <c r="O6" s="102"/>
      <c r="P6" s="102"/>
      <c r="Q6" s="102"/>
      <c r="R6" s="102"/>
      <c r="S6" s="102"/>
      <c r="T6" s="102"/>
      <c r="U6" s="102"/>
    </row>
    <row r="7" spans="1:21" ht="12.75">
      <c r="A7" s="102"/>
      <c r="B7" s="102"/>
      <c r="C7" s="102"/>
      <c r="D7" s="102"/>
      <c r="E7" s="102"/>
      <c r="F7" s="102"/>
      <c r="G7" s="102"/>
      <c r="H7" s="102"/>
      <c r="I7" s="102"/>
      <c r="J7" s="102"/>
      <c r="K7" s="102"/>
      <c r="L7" s="102"/>
      <c r="M7" s="102"/>
      <c r="N7" s="102"/>
      <c r="O7" s="102"/>
      <c r="P7" s="102"/>
      <c r="Q7" s="102" t="s">
        <v>6</v>
      </c>
      <c r="R7" s="102"/>
      <c r="S7" s="102"/>
      <c r="T7" s="102"/>
      <c r="U7" s="102"/>
    </row>
    <row r="8" spans="1:21" ht="12.75">
      <c r="A8" s="102"/>
      <c r="B8" s="102"/>
      <c r="C8" s="102"/>
      <c r="D8" s="102"/>
      <c r="E8" s="102"/>
      <c r="F8" s="102"/>
      <c r="G8" s="102"/>
      <c r="H8" s="102"/>
      <c r="I8" s="102"/>
      <c r="J8" s="102"/>
      <c r="K8" s="102"/>
      <c r="L8" s="102"/>
      <c r="M8" s="102"/>
      <c r="N8" s="102"/>
      <c r="O8" s="102"/>
      <c r="P8" s="102"/>
      <c r="Q8" s="102" t="s">
        <v>7</v>
      </c>
      <c r="R8" s="102"/>
      <c r="S8" s="102"/>
      <c r="T8" s="102"/>
      <c r="U8" s="102"/>
    </row>
    <row r="9" spans="1:21" ht="12.75">
      <c r="A9" s="102"/>
      <c r="B9" s="102"/>
      <c r="C9" s="102"/>
      <c r="D9" s="102"/>
      <c r="E9" s="102"/>
      <c r="F9" s="102"/>
      <c r="G9" s="102"/>
      <c r="H9" s="102"/>
      <c r="I9" s="102"/>
      <c r="J9" s="102"/>
      <c r="K9" s="102"/>
      <c r="L9" s="102"/>
      <c r="M9" s="102"/>
      <c r="N9" s="102"/>
      <c r="O9" s="102"/>
      <c r="P9" s="102"/>
      <c r="Q9" s="102" t="s">
        <v>2</v>
      </c>
      <c r="R9" s="102"/>
      <c r="S9" s="102"/>
      <c r="T9" s="102"/>
      <c r="U9" s="102"/>
    </row>
    <row r="10" spans="1:21" ht="12.75">
      <c r="A10" s="102"/>
      <c r="B10" s="102"/>
      <c r="C10" s="102"/>
      <c r="D10" s="102"/>
      <c r="E10" s="102"/>
      <c r="F10" s="102"/>
      <c r="G10" s="102"/>
      <c r="H10" s="102"/>
      <c r="I10" s="102"/>
      <c r="J10" s="102"/>
      <c r="K10" s="102"/>
      <c r="L10" s="102"/>
      <c r="M10" s="102"/>
      <c r="N10" s="102"/>
      <c r="O10" s="102"/>
      <c r="P10" s="102"/>
      <c r="Q10" s="102" t="s">
        <v>8</v>
      </c>
      <c r="R10" s="102"/>
      <c r="S10" s="102"/>
      <c r="T10" s="102"/>
      <c r="U10" s="102"/>
    </row>
    <row r="11" spans="1:21" ht="12.75">
      <c r="A11" s="102"/>
      <c r="B11" s="102"/>
      <c r="C11" s="102"/>
      <c r="D11" s="102"/>
      <c r="E11" s="102"/>
      <c r="F11" s="102"/>
      <c r="G11" s="102"/>
      <c r="H11" s="102"/>
      <c r="I11" s="102"/>
      <c r="J11" s="102"/>
      <c r="K11" s="102"/>
      <c r="L11" s="102"/>
      <c r="M11" s="102"/>
      <c r="N11" s="102"/>
      <c r="O11" s="102"/>
      <c r="P11" s="102"/>
      <c r="Q11" s="102" t="s">
        <v>4</v>
      </c>
      <c r="R11" s="102"/>
      <c r="S11" s="102"/>
      <c r="T11" s="102"/>
      <c r="U11" s="102"/>
    </row>
    <row r="12" spans="1:21" ht="12.75">
      <c r="A12" s="102"/>
      <c r="B12" s="102"/>
      <c r="C12" s="102"/>
      <c r="D12" s="102"/>
      <c r="E12" s="102"/>
      <c r="F12" s="102"/>
      <c r="G12" s="102"/>
      <c r="H12" s="102"/>
      <c r="I12" s="102"/>
      <c r="J12" s="102"/>
      <c r="K12" s="102"/>
      <c r="L12" s="102"/>
      <c r="M12" s="102"/>
      <c r="N12" s="102"/>
      <c r="O12" s="102"/>
      <c r="P12" s="102"/>
      <c r="Q12" s="102"/>
      <c r="R12" s="102"/>
      <c r="S12" s="102"/>
      <c r="T12" s="102"/>
      <c r="U12" s="102"/>
    </row>
    <row r="13" spans="1:21" ht="12.75">
      <c r="A13" s="102"/>
      <c r="B13" s="102"/>
      <c r="C13" s="102"/>
      <c r="D13" s="102"/>
      <c r="E13" s="102"/>
      <c r="F13" s="102"/>
      <c r="G13" s="102"/>
      <c r="H13" s="102"/>
      <c r="I13" s="102"/>
      <c r="J13" s="102"/>
      <c r="K13" s="102"/>
      <c r="L13" s="102"/>
      <c r="M13" s="102"/>
      <c r="N13" s="102"/>
      <c r="O13" s="102"/>
      <c r="P13" s="102"/>
      <c r="Q13" s="102"/>
      <c r="R13" s="102"/>
      <c r="S13" s="102"/>
      <c r="T13" s="102"/>
      <c r="U13" s="102"/>
    </row>
    <row r="14" spans="1:21" ht="12.75">
      <c r="A14" s="102"/>
      <c r="B14" s="102"/>
      <c r="C14" s="102"/>
      <c r="D14" s="102"/>
      <c r="E14" s="102"/>
      <c r="F14" s="102"/>
      <c r="G14" s="102"/>
      <c r="H14" s="102"/>
      <c r="I14" s="102"/>
      <c r="J14" s="102"/>
      <c r="K14" s="102"/>
      <c r="L14" s="102"/>
      <c r="M14" s="102"/>
      <c r="N14" s="102"/>
      <c r="O14" s="102"/>
      <c r="P14" s="102"/>
      <c r="Q14" s="102"/>
      <c r="R14" s="102"/>
      <c r="S14" s="102"/>
      <c r="T14" s="102"/>
      <c r="U14" s="102"/>
    </row>
    <row r="15" spans="1:21" ht="12.75">
      <c r="A15" s="102"/>
      <c r="B15" s="102" t="s">
        <v>252</v>
      </c>
      <c r="C15" s="102"/>
      <c r="D15" s="102"/>
      <c r="E15" s="102"/>
      <c r="F15" s="102"/>
      <c r="G15" s="102"/>
      <c r="H15" s="102"/>
      <c r="I15" s="102"/>
      <c r="J15" s="102"/>
      <c r="K15" s="102"/>
      <c r="L15" s="102"/>
      <c r="M15" s="102"/>
      <c r="N15" s="102"/>
      <c r="O15" s="102"/>
      <c r="P15" s="102"/>
      <c r="Q15" s="102"/>
      <c r="R15" s="102"/>
      <c r="S15" s="102"/>
      <c r="T15" s="102"/>
      <c r="U15" s="102"/>
    </row>
    <row r="16" spans="1:21" ht="13.5" thickBot="1">
      <c r="A16" s="102"/>
      <c r="B16" s="203" t="s">
        <v>292</v>
      </c>
      <c r="C16" s="204" t="s">
        <v>293</v>
      </c>
      <c r="E16" s="102"/>
      <c r="F16" s="102"/>
      <c r="G16" s="102"/>
      <c r="H16" s="102"/>
      <c r="I16" s="102"/>
      <c r="J16" s="102"/>
      <c r="K16" s="102"/>
      <c r="L16" s="102"/>
      <c r="M16" s="102"/>
      <c r="N16" s="102"/>
      <c r="O16" s="102"/>
      <c r="P16" s="102"/>
      <c r="Q16" s="102"/>
      <c r="R16" s="102"/>
      <c r="S16" s="102"/>
      <c r="T16" s="102"/>
      <c r="U16" s="102"/>
    </row>
    <row r="17" spans="1:21" ht="13.5" thickBot="1">
      <c r="A17" s="205" t="s">
        <v>236</v>
      </c>
      <c r="B17" s="215" t="s">
        <v>5</v>
      </c>
      <c r="C17" s="216"/>
      <c r="D17" s="217"/>
      <c r="E17" s="102"/>
      <c r="F17" s="102"/>
      <c r="G17" s="102"/>
      <c r="H17" s="102"/>
      <c r="I17" s="102"/>
      <c r="J17" s="102"/>
      <c r="K17" s="102"/>
      <c r="L17" s="102"/>
      <c r="M17" s="102"/>
      <c r="N17" s="102"/>
      <c r="O17" s="102"/>
      <c r="P17" s="102"/>
      <c r="Q17" s="102"/>
      <c r="R17" s="102"/>
      <c r="S17" s="102"/>
      <c r="T17" s="102"/>
      <c r="U17" s="102"/>
    </row>
    <row r="18" spans="1:21" ht="13.5" thickBot="1">
      <c r="A18" s="102"/>
      <c r="B18" s="218" t="s">
        <v>290</v>
      </c>
      <c r="C18" s="219"/>
      <c r="D18" s="220"/>
      <c r="E18" s="102"/>
      <c r="F18" s="102"/>
      <c r="G18" s="102"/>
      <c r="H18" s="102"/>
      <c r="I18" s="102"/>
      <c r="J18" s="102"/>
      <c r="K18" s="102"/>
      <c r="L18" s="102"/>
      <c r="M18" s="102"/>
      <c r="N18" s="102"/>
      <c r="O18" s="102"/>
      <c r="P18" s="102"/>
      <c r="Q18" s="102"/>
      <c r="R18" s="102"/>
      <c r="S18" s="102"/>
      <c r="T18" s="102"/>
      <c r="U18" s="102"/>
    </row>
    <row r="19" spans="1:21" ht="12.75">
      <c r="A19" s="102"/>
      <c r="B19" s="102" t="s">
        <v>285</v>
      </c>
      <c r="C19" s="102"/>
      <c r="D19" s="178">
        <v>3.5</v>
      </c>
      <c r="E19" s="102"/>
      <c r="F19" s="102"/>
      <c r="G19" s="102"/>
      <c r="H19" s="102"/>
      <c r="I19" s="102"/>
      <c r="J19" s="102"/>
      <c r="K19" s="102"/>
      <c r="L19" s="102"/>
      <c r="M19" s="102"/>
      <c r="N19" s="102"/>
      <c r="O19" s="102"/>
      <c r="P19" s="102"/>
      <c r="Q19" s="102"/>
      <c r="R19" s="102"/>
      <c r="S19" s="102"/>
      <c r="T19" s="102"/>
      <c r="U19" s="102"/>
    </row>
    <row r="20" spans="1:21" ht="12.75">
      <c r="A20" s="102"/>
      <c r="B20" s="102" t="s">
        <v>1</v>
      </c>
      <c r="C20" s="102"/>
      <c r="D20" s="178">
        <v>-0.5</v>
      </c>
      <c r="E20" s="102"/>
      <c r="F20" s="102"/>
      <c r="G20" s="102"/>
      <c r="H20" s="102"/>
      <c r="I20" s="102"/>
      <c r="J20" s="102"/>
      <c r="K20" s="102"/>
      <c r="L20" s="102"/>
      <c r="M20" s="102"/>
      <c r="N20" s="102"/>
      <c r="O20" s="102"/>
      <c r="P20" s="102"/>
      <c r="Q20" s="102"/>
      <c r="R20" s="102"/>
      <c r="S20" s="102"/>
      <c r="T20" s="102"/>
      <c r="U20" s="102"/>
    </row>
    <row r="21" spans="1:21" ht="12.75">
      <c r="A21" s="102"/>
      <c r="B21" t="s">
        <v>280</v>
      </c>
      <c r="D21" s="131">
        <v>0.02</v>
      </c>
      <c r="E21" s="102"/>
      <c r="F21" s="102"/>
      <c r="G21" s="102"/>
      <c r="H21" s="102"/>
      <c r="I21" s="102"/>
      <c r="J21" s="102"/>
      <c r="K21" s="102"/>
      <c r="L21" s="102"/>
      <c r="M21" s="102"/>
      <c r="N21" s="102"/>
      <c r="O21" s="102"/>
      <c r="P21" s="102"/>
      <c r="Q21" s="102"/>
      <c r="R21" s="102"/>
      <c r="S21" s="102"/>
      <c r="T21" s="102"/>
      <c r="U21" s="102"/>
    </row>
    <row r="22" spans="1:21" ht="12.75">
      <c r="A22" s="102"/>
      <c r="B22" s="102" t="s">
        <v>3</v>
      </c>
      <c r="C22" s="102"/>
      <c r="D22" s="179">
        <f>D19+D20-D21</f>
        <v>2.98</v>
      </c>
      <c r="E22" s="102"/>
      <c r="F22" s="102"/>
      <c r="G22" s="102"/>
      <c r="H22" s="102"/>
      <c r="I22" s="102"/>
      <c r="J22" s="102"/>
      <c r="K22" s="102"/>
      <c r="L22" s="102"/>
      <c r="M22" s="102"/>
      <c r="N22" s="102"/>
      <c r="O22" s="102"/>
      <c r="P22" s="102"/>
      <c r="Q22" s="102"/>
      <c r="R22" s="102"/>
      <c r="S22" s="102"/>
      <c r="T22" s="102"/>
      <c r="U22" s="102"/>
    </row>
    <row r="23" spans="1:21" ht="12.75">
      <c r="A23" s="102"/>
      <c r="B23" s="102" t="s">
        <v>2</v>
      </c>
      <c r="C23" s="102"/>
      <c r="D23" s="178">
        <v>2.7</v>
      </c>
      <c r="E23" s="102"/>
      <c r="F23" s="102"/>
      <c r="G23" s="102"/>
      <c r="H23" s="102"/>
      <c r="I23" s="102"/>
      <c r="J23" s="102"/>
      <c r="K23" s="102"/>
      <c r="L23" s="102"/>
      <c r="M23" s="102"/>
      <c r="N23" s="102"/>
      <c r="O23" s="102"/>
      <c r="P23" s="102"/>
      <c r="Q23" s="102"/>
      <c r="R23" s="102"/>
      <c r="S23" s="102"/>
      <c r="T23" s="102"/>
      <c r="U23" s="102"/>
    </row>
    <row r="24" spans="1:21" ht="12.75">
      <c r="A24" s="102"/>
      <c r="B24" s="102" t="s">
        <v>281</v>
      </c>
      <c r="C24" s="102"/>
      <c r="D24" s="179">
        <f>D22-D23</f>
        <v>0.2799999999999998</v>
      </c>
      <c r="E24" s="102"/>
      <c r="F24" s="102"/>
      <c r="G24" s="102"/>
      <c r="H24" s="102"/>
      <c r="I24" s="102"/>
      <c r="J24" s="102"/>
      <c r="K24" s="102"/>
      <c r="L24" s="102"/>
      <c r="M24" s="102"/>
      <c r="N24" s="102"/>
      <c r="O24" s="102"/>
      <c r="P24" s="102"/>
      <c r="Q24" s="102"/>
      <c r="R24" s="102"/>
      <c r="S24" s="102"/>
      <c r="T24" s="102"/>
      <c r="U24" s="102"/>
    </row>
    <row r="25" spans="1:21" ht="13.5" thickBot="1">
      <c r="A25" s="102"/>
      <c r="B25" s="102"/>
      <c r="D25" s="7"/>
      <c r="E25" s="102"/>
      <c r="F25" s="102"/>
      <c r="G25" s="102"/>
      <c r="H25" s="102"/>
      <c r="I25" s="102"/>
      <c r="J25" s="102"/>
      <c r="K25" s="102"/>
      <c r="L25" s="102"/>
      <c r="M25" s="102"/>
      <c r="N25" s="102"/>
      <c r="O25" s="102"/>
      <c r="P25" s="102"/>
      <c r="Q25" s="102"/>
      <c r="R25" s="102"/>
      <c r="S25" s="102"/>
      <c r="T25" s="102"/>
      <c r="U25" s="102"/>
    </row>
    <row r="26" spans="1:21" ht="14.25" thickBot="1" thickTop="1">
      <c r="A26" s="201" t="s">
        <v>184</v>
      </c>
      <c r="B26" s="209" t="s">
        <v>294</v>
      </c>
      <c r="C26" s="210"/>
      <c r="D26" s="211"/>
      <c r="E26" s="102"/>
      <c r="F26" s="102"/>
      <c r="G26" s="102"/>
      <c r="H26" s="102"/>
      <c r="I26" s="102"/>
      <c r="J26" s="102"/>
      <c r="K26" s="102"/>
      <c r="L26" s="102"/>
      <c r="M26" s="102"/>
      <c r="N26" s="102"/>
      <c r="O26" s="102"/>
      <c r="P26" s="102"/>
      <c r="Q26" s="102"/>
      <c r="R26" s="102"/>
      <c r="S26" s="102"/>
      <c r="T26" s="102"/>
      <c r="U26" s="102"/>
    </row>
    <row r="27" spans="1:21" ht="13.5" thickBot="1">
      <c r="A27" s="102"/>
      <c r="B27" s="212" t="s">
        <v>295</v>
      </c>
      <c r="C27" s="213"/>
      <c r="D27" s="214"/>
      <c r="E27" s="102"/>
      <c r="F27" s="102"/>
      <c r="G27" s="102"/>
      <c r="H27" s="102"/>
      <c r="I27" s="102"/>
      <c r="J27" s="102"/>
      <c r="K27" s="102"/>
      <c r="L27" s="102"/>
      <c r="M27" s="102"/>
      <c r="N27" s="102"/>
      <c r="O27" s="102"/>
      <c r="P27" s="102"/>
      <c r="Q27" s="102"/>
      <c r="R27" s="102"/>
      <c r="S27" s="102"/>
      <c r="T27" s="102"/>
      <c r="U27" s="102"/>
    </row>
    <row r="28" spans="1:21" ht="12.75">
      <c r="A28" s="102"/>
      <c r="B28" s="150" t="s">
        <v>282</v>
      </c>
      <c r="C28" s="108"/>
      <c r="D28" s="145">
        <v>3.8</v>
      </c>
      <c r="E28" s="102"/>
      <c r="F28" s="102"/>
      <c r="G28" s="102"/>
      <c r="H28" s="102"/>
      <c r="I28" s="102"/>
      <c r="J28" s="102"/>
      <c r="K28" s="102"/>
      <c r="L28" s="102"/>
      <c r="M28" s="102"/>
      <c r="N28" s="102"/>
      <c r="O28" s="102"/>
      <c r="P28" s="102"/>
      <c r="Q28" s="102"/>
      <c r="R28" s="102"/>
      <c r="S28" s="102"/>
      <c r="T28" s="102"/>
      <c r="U28" s="102"/>
    </row>
    <row r="29" spans="1:21" ht="12.75">
      <c r="A29" s="102"/>
      <c r="B29" s="150" t="s">
        <v>283</v>
      </c>
      <c r="C29" s="108"/>
      <c r="D29" s="145">
        <v>4</v>
      </c>
      <c r="E29" s="102"/>
      <c r="F29" s="102"/>
      <c r="G29" s="102"/>
      <c r="H29" s="102"/>
      <c r="I29" s="102"/>
      <c r="J29" s="102"/>
      <c r="K29" s="102"/>
      <c r="L29" s="102"/>
      <c r="M29" s="102"/>
      <c r="N29" s="102"/>
      <c r="O29" s="102"/>
      <c r="P29" s="102"/>
      <c r="Q29" s="102"/>
      <c r="R29" s="102"/>
      <c r="S29" s="102"/>
      <c r="T29" s="102"/>
      <c r="U29" s="102"/>
    </row>
    <row r="30" spans="1:21" ht="12.75">
      <c r="A30" s="102"/>
      <c r="B30" s="150" t="s">
        <v>233</v>
      </c>
      <c r="C30" s="108"/>
      <c r="D30" s="180">
        <f>D28-D29</f>
        <v>-0.20000000000000018</v>
      </c>
      <c r="E30" s="102"/>
      <c r="F30" s="102"/>
      <c r="G30" s="102"/>
      <c r="H30" s="102"/>
      <c r="I30" s="102"/>
      <c r="J30" s="102"/>
      <c r="K30" s="102"/>
      <c r="L30" s="102"/>
      <c r="M30" s="102"/>
      <c r="N30" s="102"/>
      <c r="O30" s="102"/>
      <c r="P30" s="102"/>
      <c r="Q30" s="102"/>
      <c r="R30" s="102"/>
      <c r="S30" s="102"/>
      <c r="T30" s="102"/>
      <c r="U30" s="102"/>
    </row>
    <row r="31" spans="1:21" ht="13.5" thickBot="1">
      <c r="A31" s="102"/>
      <c r="B31" s="197" t="s">
        <v>291</v>
      </c>
      <c r="C31" s="198"/>
      <c r="D31" s="181">
        <f>D28+(D19-D29-D21)</f>
        <v>3.28</v>
      </c>
      <c r="E31" s="102"/>
      <c r="F31" s="102"/>
      <c r="G31" s="102"/>
      <c r="H31" s="102"/>
      <c r="I31" s="102"/>
      <c r="J31" s="102"/>
      <c r="K31" s="102"/>
      <c r="L31" s="102"/>
      <c r="M31" s="102"/>
      <c r="N31" s="102"/>
      <c r="O31" s="102"/>
      <c r="P31" s="102"/>
      <c r="Q31" s="102"/>
      <c r="R31" s="102"/>
      <c r="S31" s="102"/>
      <c r="T31" s="102"/>
      <c r="U31" s="102"/>
    </row>
    <row r="32" spans="1:21" ht="13.5" thickBot="1">
      <c r="A32" s="149" t="s">
        <v>215</v>
      </c>
      <c r="B32" s="150" t="s">
        <v>284</v>
      </c>
      <c r="C32" s="104"/>
      <c r="D32" s="181">
        <f>(D28-D23-D21)+(D19-D29)</f>
        <v>0.5799999999999996</v>
      </c>
      <c r="E32" s="102"/>
      <c r="F32" s="102"/>
      <c r="G32" s="102"/>
      <c r="H32" s="102"/>
      <c r="I32" s="102"/>
      <c r="J32" s="102"/>
      <c r="K32" s="102"/>
      <c r="L32" s="102"/>
      <c r="M32" s="102"/>
      <c r="N32" s="102"/>
      <c r="O32" s="102"/>
      <c r="P32" s="102"/>
      <c r="Q32" s="102"/>
      <c r="R32" s="102"/>
      <c r="S32" s="102"/>
      <c r="T32" s="102"/>
      <c r="U32" s="102"/>
    </row>
    <row r="33" spans="1:21" ht="12.75">
      <c r="A33" s="102"/>
      <c r="B33" s="151" t="s">
        <v>216</v>
      </c>
      <c r="C33" s="108"/>
      <c r="D33" s="180">
        <f>D19-D29</f>
        <v>-0.5</v>
      </c>
      <c r="E33" s="102"/>
      <c r="F33" s="102"/>
      <c r="G33" s="102"/>
      <c r="H33" s="102"/>
      <c r="I33" s="102"/>
      <c r="J33" s="102"/>
      <c r="K33" s="102"/>
      <c r="L33" s="102"/>
      <c r="M33" s="102"/>
      <c r="N33" s="102"/>
      <c r="O33" s="102"/>
      <c r="P33" s="102"/>
      <c r="Q33" s="102"/>
      <c r="R33" s="102"/>
      <c r="S33" s="102"/>
      <c r="T33" s="102"/>
      <c r="U33" s="102"/>
    </row>
    <row r="34" spans="1:21" ht="13.5" thickBot="1">
      <c r="A34" s="102"/>
      <c r="B34" s="202" t="s">
        <v>217</v>
      </c>
      <c r="C34" s="104"/>
      <c r="D34" s="181">
        <f>D28-D23-D21</f>
        <v>1.0799999999999996</v>
      </c>
      <c r="E34" s="102"/>
      <c r="F34" s="102"/>
      <c r="G34" s="102"/>
      <c r="H34" s="102"/>
      <c r="I34" s="102"/>
      <c r="J34" s="102"/>
      <c r="K34" s="102"/>
      <c r="L34" s="102"/>
      <c r="M34" s="102"/>
      <c r="N34" s="102"/>
      <c r="O34" s="102"/>
      <c r="P34" s="102"/>
      <c r="Q34" s="102"/>
      <c r="R34" s="102"/>
      <c r="S34" s="102"/>
      <c r="T34" s="102"/>
      <c r="U34" s="102"/>
    </row>
    <row r="35" spans="1:21" ht="13.5" thickBot="1">
      <c r="A35" s="201" t="s">
        <v>184</v>
      </c>
      <c r="B35" s="150" t="s">
        <v>287</v>
      </c>
      <c r="C35" s="108"/>
      <c r="D35" s="199">
        <v>1.5</v>
      </c>
      <c r="E35" s="102"/>
      <c r="F35" s="102"/>
      <c r="G35" s="102"/>
      <c r="H35" s="102"/>
      <c r="I35" s="102"/>
      <c r="J35" s="102"/>
      <c r="K35" s="102"/>
      <c r="L35" s="102"/>
      <c r="M35" s="102"/>
      <c r="N35" s="102"/>
      <c r="O35" s="102"/>
      <c r="P35" s="102"/>
      <c r="Q35" s="102"/>
      <c r="R35" s="102"/>
      <c r="S35" s="102"/>
      <c r="T35" s="102"/>
      <c r="U35" s="102"/>
    </row>
    <row r="36" spans="1:21" ht="12.75">
      <c r="A36" s="102"/>
      <c r="B36" s="150" t="s">
        <v>288</v>
      </c>
      <c r="C36" s="108"/>
      <c r="D36" s="200"/>
      <c r="E36" s="102"/>
      <c r="F36" s="102"/>
      <c r="G36" s="102"/>
      <c r="H36" s="102"/>
      <c r="I36" s="102"/>
      <c r="J36" s="102"/>
      <c r="K36" s="102"/>
      <c r="L36" s="102"/>
      <c r="M36" s="102"/>
      <c r="N36" s="102"/>
      <c r="O36" s="102"/>
      <c r="P36" s="102"/>
      <c r="Q36" s="102"/>
      <c r="R36" s="102"/>
      <c r="S36" s="102"/>
      <c r="T36" s="102"/>
      <c r="U36" s="102"/>
    </row>
    <row r="37" spans="1:21" ht="13.5" thickBot="1">
      <c r="A37" s="102"/>
      <c r="B37" s="152" t="s">
        <v>289</v>
      </c>
      <c r="C37" s="153"/>
      <c r="D37" s="182">
        <f>D28+(D19-D29-D21)*D35</f>
        <v>3.0199999999999996</v>
      </c>
      <c r="E37" s="102"/>
      <c r="F37" s="102"/>
      <c r="G37" s="102"/>
      <c r="H37" s="102"/>
      <c r="I37" s="102"/>
      <c r="J37" s="102"/>
      <c r="K37" s="102"/>
      <c r="L37" s="102"/>
      <c r="M37" s="102"/>
      <c r="N37" s="102"/>
      <c r="O37" s="102"/>
      <c r="P37" s="102"/>
      <c r="Q37" s="102"/>
      <c r="R37" s="102"/>
      <c r="S37" s="102"/>
      <c r="T37" s="102"/>
      <c r="U37" s="102"/>
    </row>
    <row r="38" spans="1:21" ht="13.5" thickTop="1">
      <c r="A38" s="102"/>
      <c r="B38" s="102"/>
      <c r="C38" s="102"/>
      <c r="D38" s="102"/>
      <c r="E38" s="102"/>
      <c r="F38" s="102"/>
      <c r="G38" s="102"/>
      <c r="H38" s="102"/>
      <c r="I38" s="102"/>
      <c r="J38" s="102"/>
      <c r="K38" s="102"/>
      <c r="L38" s="102"/>
      <c r="M38" s="102"/>
      <c r="N38" s="102"/>
      <c r="O38" s="102"/>
      <c r="P38" s="102"/>
      <c r="Q38" s="102"/>
      <c r="R38" s="102"/>
      <c r="S38" s="102"/>
      <c r="T38" s="102"/>
      <c r="U38" s="102"/>
    </row>
    <row r="39" spans="1:21" ht="12.75">
      <c r="A39" s="102"/>
      <c r="B39" s="102"/>
      <c r="C39" s="102"/>
      <c r="D39" s="102"/>
      <c r="E39" s="102"/>
      <c r="F39" s="102"/>
      <c r="G39" s="102"/>
      <c r="H39" s="102"/>
      <c r="I39" s="102"/>
      <c r="J39" s="102"/>
      <c r="K39" s="102"/>
      <c r="L39" s="102"/>
      <c r="M39" s="102"/>
      <c r="N39" s="102"/>
      <c r="O39" s="102"/>
      <c r="P39" s="102"/>
      <c r="Q39" s="102"/>
      <c r="R39" s="102"/>
      <c r="S39" s="102"/>
      <c r="T39" s="102"/>
      <c r="U39" s="102"/>
    </row>
    <row r="40" spans="1:21" ht="12.75">
      <c r="A40" s="102" t="s">
        <v>234</v>
      </c>
      <c r="B40" s="102"/>
      <c r="C40" s="148">
        <v>0.1</v>
      </c>
      <c r="D40" s="102"/>
      <c r="E40" s="102"/>
      <c r="F40" s="102"/>
      <c r="G40" s="102"/>
      <c r="H40" s="102"/>
      <c r="I40" s="102"/>
      <c r="J40" s="102"/>
      <c r="K40" s="102"/>
      <c r="L40" s="102"/>
      <c r="M40" s="102"/>
      <c r="N40" s="102"/>
      <c r="O40" s="102"/>
      <c r="P40" s="102"/>
      <c r="Q40" s="102"/>
      <c r="R40" s="102"/>
      <c r="S40" s="102"/>
      <c r="T40" s="102"/>
      <c r="U40" s="102"/>
    </row>
    <row r="41" spans="1:21" ht="12.75">
      <c r="A41" s="102" t="s">
        <v>250</v>
      </c>
      <c r="B41" s="102"/>
      <c r="C41" s="147">
        <f>D19</f>
        <v>3.5</v>
      </c>
      <c r="D41" s="102"/>
      <c r="E41" s="102"/>
      <c r="F41" s="102"/>
      <c r="G41" s="102"/>
      <c r="H41" s="102"/>
      <c r="I41" s="102"/>
      <c r="J41" s="102"/>
      <c r="K41" s="102"/>
      <c r="L41" s="102"/>
      <c r="M41" s="102"/>
      <c r="N41" s="102"/>
      <c r="O41" s="102"/>
      <c r="P41" s="102"/>
      <c r="Q41" s="102"/>
      <c r="R41" s="102"/>
      <c r="S41" s="102"/>
      <c r="T41" s="102"/>
      <c r="U41" s="102"/>
    </row>
    <row r="42" spans="1:21" ht="12.75">
      <c r="A42" s="102" t="s">
        <v>4</v>
      </c>
      <c r="C42" s="103">
        <f aca="true" t="shared" si="0" ref="C42:I42">D42-$C$40</f>
        <v>-1.3</v>
      </c>
      <c r="D42" s="103">
        <f t="shared" si="0"/>
        <v>-1.2</v>
      </c>
      <c r="E42" s="103">
        <f t="shared" si="0"/>
        <v>-1.0999999999999999</v>
      </c>
      <c r="F42" s="103">
        <f t="shared" si="0"/>
        <v>-0.9999999999999999</v>
      </c>
      <c r="G42" s="103">
        <f t="shared" si="0"/>
        <v>-0.8999999999999999</v>
      </c>
      <c r="H42" s="103">
        <f t="shared" si="0"/>
        <v>-0.7999999999999999</v>
      </c>
      <c r="I42" s="103">
        <f t="shared" si="0"/>
        <v>-0.7</v>
      </c>
      <c r="J42" s="103">
        <f>K42-$C$40</f>
        <v>-0.6</v>
      </c>
      <c r="K42" s="147">
        <f>D20</f>
        <v>-0.5</v>
      </c>
      <c r="L42" s="103">
        <f>K42+$C$40</f>
        <v>-0.4</v>
      </c>
      <c r="M42" s="103">
        <f aca="true" t="shared" si="1" ref="M42:S42">L42+$C$40</f>
        <v>-0.30000000000000004</v>
      </c>
      <c r="N42" s="103">
        <f t="shared" si="1"/>
        <v>-0.20000000000000004</v>
      </c>
      <c r="O42" s="103">
        <f t="shared" si="1"/>
        <v>-0.10000000000000003</v>
      </c>
      <c r="P42" s="103">
        <f t="shared" si="1"/>
        <v>0</v>
      </c>
      <c r="Q42" s="103">
        <f t="shared" si="1"/>
        <v>0.1</v>
      </c>
      <c r="R42" s="103">
        <f t="shared" si="1"/>
        <v>0.2</v>
      </c>
      <c r="S42" s="103">
        <f t="shared" si="1"/>
        <v>0.30000000000000004</v>
      </c>
      <c r="T42" s="103"/>
      <c r="U42" s="102"/>
    </row>
    <row r="43" spans="1:21" ht="12.75">
      <c r="A43" s="102" t="s">
        <v>251</v>
      </c>
      <c r="C43" s="103">
        <f aca="true" t="shared" si="2" ref="C43:S43">$D$21</f>
        <v>0.02</v>
      </c>
      <c r="D43" s="103">
        <f t="shared" si="2"/>
        <v>0.02</v>
      </c>
      <c r="E43" s="103">
        <f t="shared" si="2"/>
        <v>0.02</v>
      </c>
      <c r="F43" s="103">
        <f t="shared" si="2"/>
        <v>0.02</v>
      </c>
      <c r="G43" s="103">
        <f t="shared" si="2"/>
        <v>0.02</v>
      </c>
      <c r="H43" s="103">
        <f t="shared" si="2"/>
        <v>0.02</v>
      </c>
      <c r="I43" s="103">
        <f t="shared" si="2"/>
        <v>0.02</v>
      </c>
      <c r="J43" s="103">
        <f t="shared" si="2"/>
        <v>0.02</v>
      </c>
      <c r="K43" s="103">
        <f t="shared" si="2"/>
        <v>0.02</v>
      </c>
      <c r="L43" s="103">
        <f t="shared" si="2"/>
        <v>0.02</v>
      </c>
      <c r="M43" s="103">
        <f t="shared" si="2"/>
        <v>0.02</v>
      </c>
      <c r="N43" s="103">
        <f t="shared" si="2"/>
        <v>0.02</v>
      </c>
      <c r="O43" s="103">
        <f t="shared" si="2"/>
        <v>0.02</v>
      </c>
      <c r="P43" s="103">
        <f t="shared" si="2"/>
        <v>0.02</v>
      </c>
      <c r="Q43" s="103">
        <f t="shared" si="2"/>
        <v>0.02</v>
      </c>
      <c r="R43" s="103">
        <f t="shared" si="2"/>
        <v>0.02</v>
      </c>
      <c r="S43" s="103">
        <f t="shared" si="2"/>
        <v>0.02</v>
      </c>
      <c r="T43" s="103"/>
      <c r="U43" s="102"/>
    </row>
    <row r="44" spans="1:21" ht="12.75">
      <c r="A44" s="102" t="s">
        <v>235</v>
      </c>
      <c r="C44" s="103">
        <f>$C$41+C42-C43</f>
        <v>2.18</v>
      </c>
      <c r="D44" s="103">
        <f aca="true" t="shared" si="3" ref="D44:S44">$C$41+D42-D43</f>
        <v>2.28</v>
      </c>
      <c r="E44" s="103">
        <f t="shared" si="3"/>
        <v>2.3800000000000003</v>
      </c>
      <c r="F44" s="103">
        <f t="shared" si="3"/>
        <v>2.48</v>
      </c>
      <c r="G44" s="103">
        <f t="shared" si="3"/>
        <v>2.58</v>
      </c>
      <c r="H44" s="103">
        <f t="shared" si="3"/>
        <v>2.68</v>
      </c>
      <c r="I44" s="103">
        <f t="shared" si="3"/>
        <v>2.78</v>
      </c>
      <c r="J44" s="103">
        <f t="shared" si="3"/>
        <v>2.88</v>
      </c>
      <c r="K44" s="103">
        <f t="shared" si="3"/>
        <v>2.98</v>
      </c>
      <c r="L44" s="103">
        <f t="shared" si="3"/>
        <v>3.08</v>
      </c>
      <c r="M44" s="103">
        <f t="shared" si="3"/>
        <v>3.18</v>
      </c>
      <c r="N44" s="103">
        <f t="shared" si="3"/>
        <v>3.28</v>
      </c>
      <c r="O44" s="103">
        <f t="shared" si="3"/>
        <v>3.38</v>
      </c>
      <c r="P44" s="103">
        <f t="shared" si="3"/>
        <v>3.48</v>
      </c>
      <c r="Q44" s="103">
        <f t="shared" si="3"/>
        <v>3.58</v>
      </c>
      <c r="R44" s="103">
        <f t="shared" si="3"/>
        <v>3.68</v>
      </c>
      <c r="S44" s="103">
        <f t="shared" si="3"/>
        <v>3.78</v>
      </c>
      <c r="T44" s="102"/>
      <c r="U44" s="102"/>
    </row>
    <row r="45" spans="1:21" ht="12.75">
      <c r="A45" s="102"/>
      <c r="B45" s="102"/>
      <c r="C45" s="103"/>
      <c r="D45" s="103"/>
      <c r="E45" s="103"/>
      <c r="F45" s="103"/>
      <c r="G45" s="103"/>
      <c r="H45" s="103"/>
      <c r="I45" s="103"/>
      <c r="J45" s="103"/>
      <c r="K45" s="103"/>
      <c r="L45" s="102"/>
      <c r="M45" s="102"/>
      <c r="N45" s="102"/>
      <c r="O45" s="102"/>
      <c r="P45" s="102"/>
      <c r="Q45" s="102"/>
      <c r="R45" s="102"/>
      <c r="S45" s="102"/>
      <c r="T45" s="102"/>
      <c r="U45" s="102"/>
    </row>
    <row r="46" spans="1:21" ht="12.75">
      <c r="A46" s="102"/>
      <c r="B46" s="102"/>
      <c r="C46" s="102"/>
      <c r="D46" s="102"/>
      <c r="E46" s="102"/>
      <c r="F46" s="102"/>
      <c r="G46" s="102"/>
      <c r="H46" s="102"/>
      <c r="I46" s="102"/>
      <c r="J46" s="102"/>
      <c r="K46" s="102"/>
      <c r="L46" s="102"/>
      <c r="M46" s="102"/>
      <c r="N46" s="102"/>
      <c r="O46" s="102"/>
      <c r="P46" s="102"/>
      <c r="Q46" s="102"/>
      <c r="R46" s="102"/>
      <c r="S46" s="102"/>
      <c r="T46" s="102"/>
      <c r="U46" s="102"/>
    </row>
    <row r="47" spans="1:21" ht="12.75">
      <c r="A47" s="102"/>
      <c r="B47" s="102"/>
      <c r="C47" s="102"/>
      <c r="D47" s="102"/>
      <c r="E47" s="102"/>
      <c r="F47" s="102"/>
      <c r="G47" s="102"/>
      <c r="H47" s="102"/>
      <c r="I47" s="102"/>
      <c r="J47" s="102"/>
      <c r="K47" s="102"/>
      <c r="L47" s="102"/>
      <c r="M47" s="102"/>
      <c r="N47" s="102"/>
      <c r="O47" s="102"/>
      <c r="P47" s="102"/>
      <c r="Q47" s="102"/>
      <c r="R47" s="102"/>
      <c r="S47" s="102"/>
      <c r="T47" s="102"/>
      <c r="U47" s="102"/>
    </row>
    <row r="48" spans="1:21" ht="12.75">
      <c r="A48" s="102"/>
      <c r="B48" s="102"/>
      <c r="C48" s="102"/>
      <c r="D48" s="102"/>
      <c r="E48" s="102"/>
      <c r="F48" s="102"/>
      <c r="G48" s="102"/>
      <c r="H48" s="102"/>
      <c r="I48" s="102"/>
      <c r="J48" s="102"/>
      <c r="K48" s="102"/>
      <c r="L48" s="102"/>
      <c r="M48" s="102"/>
      <c r="N48" s="102"/>
      <c r="O48" s="102"/>
      <c r="P48" s="102"/>
      <c r="Q48" s="102"/>
      <c r="R48" s="102"/>
      <c r="S48" s="102"/>
      <c r="T48" s="102"/>
      <c r="U48" s="102"/>
    </row>
  </sheetData>
  <mergeCells count="4">
    <mergeCell ref="B26:D26"/>
    <mergeCell ref="B27:D27"/>
    <mergeCell ref="B17:D17"/>
    <mergeCell ref="B18:D18"/>
  </mergeCells>
  <printOptions horizontalCentered="1"/>
  <pageMargins left="0.75" right="0.75" top="1" bottom="1" header="0.5" footer="0.5"/>
  <pageSetup fitToHeight="1" fitToWidth="1" orientation="landscape"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2:AL153"/>
  <sheetViews>
    <sheetView showGridLines="0" zoomScale="90" zoomScaleNormal="90" workbookViewId="0" topLeftCell="A1">
      <selection activeCell="A1" sqref="A1"/>
    </sheetView>
  </sheetViews>
  <sheetFormatPr defaultColWidth="9.140625" defaultRowHeight="12.75"/>
  <cols>
    <col min="1" max="1" width="5.28125" style="0" customWidth="1"/>
    <col min="2" max="2" width="8.28125" style="0" customWidth="1"/>
    <col min="3" max="3" width="14.28125" style="0" customWidth="1"/>
    <col min="4" max="4" width="10.421875" style="0" customWidth="1"/>
    <col min="5" max="5" width="9.00390625" style="0" bestFit="1" customWidth="1"/>
    <col min="6" max="6" width="7.28125" style="0" customWidth="1"/>
    <col min="7" max="20" width="6.7109375" style="0" customWidth="1"/>
    <col min="21" max="21" width="7.57421875" style="0" customWidth="1"/>
    <col min="22" max="42" width="6.7109375" style="0" customWidth="1"/>
  </cols>
  <sheetData>
    <row r="12" ht="12.75">
      <c r="C12" t="s">
        <v>286</v>
      </c>
    </row>
    <row r="13" ht="13.5" thickBot="1"/>
    <row r="14" spans="3:5" ht="12.75">
      <c r="C14" s="221" t="s">
        <v>16</v>
      </c>
      <c r="D14" s="222"/>
      <c r="E14" s="223"/>
    </row>
    <row r="15" spans="2:5" ht="13.5" thickBot="1">
      <c r="B15" s="101" t="s">
        <v>222</v>
      </c>
      <c r="C15" s="224" t="s">
        <v>39</v>
      </c>
      <c r="D15" s="225"/>
      <c r="E15" s="226"/>
    </row>
    <row r="16" spans="3:5" ht="12.75">
      <c r="C16" s="9" t="s">
        <v>254</v>
      </c>
      <c r="E16" s="6" t="s">
        <v>41</v>
      </c>
    </row>
    <row r="17" spans="3:5" ht="12.75">
      <c r="C17" t="s">
        <v>9</v>
      </c>
      <c r="E17" s="107">
        <v>3.3</v>
      </c>
    </row>
    <row r="18" spans="3:5" ht="12.75">
      <c r="C18" t="s">
        <v>31</v>
      </c>
      <c r="E18" s="107">
        <v>0.5</v>
      </c>
    </row>
    <row r="19" spans="3:5" ht="12.75">
      <c r="C19" t="s">
        <v>10</v>
      </c>
      <c r="E19" s="107">
        <v>3.3</v>
      </c>
    </row>
    <row r="20" spans="3:5" ht="12.75">
      <c r="C20" t="s">
        <v>223</v>
      </c>
      <c r="E20" s="131">
        <v>-0.4</v>
      </c>
    </row>
    <row r="21" spans="3:5" ht="13.5" thickBot="1">
      <c r="C21" t="s">
        <v>260</v>
      </c>
      <c r="E21" s="131">
        <v>0.02</v>
      </c>
    </row>
    <row r="22" spans="3:5" ht="13.5" thickTop="1">
      <c r="C22" s="227" t="s">
        <v>16</v>
      </c>
      <c r="D22" s="228"/>
      <c r="E22" s="229"/>
    </row>
    <row r="23" spans="3:5" ht="13.5" thickBot="1">
      <c r="C23" s="230" t="s">
        <v>29</v>
      </c>
      <c r="D23" s="231"/>
      <c r="E23" s="232"/>
    </row>
    <row r="24" spans="3:5" ht="12.75">
      <c r="C24" s="138" t="s">
        <v>214</v>
      </c>
      <c r="D24" s="3"/>
      <c r="E24" s="139">
        <v>3.7</v>
      </c>
    </row>
    <row r="25" spans="3:5" ht="12.75">
      <c r="C25" s="138" t="s">
        <v>221</v>
      </c>
      <c r="D25" s="140"/>
      <c r="E25" s="141">
        <v>3.4</v>
      </c>
    </row>
    <row r="26" spans="3:5" ht="12.75">
      <c r="C26" s="138" t="s">
        <v>27</v>
      </c>
      <c r="D26" s="3"/>
      <c r="E26" s="142">
        <f>E25-E24</f>
        <v>-0.30000000000000027</v>
      </c>
    </row>
    <row r="27" spans="3:5" ht="12.75">
      <c r="C27" s="138" t="s">
        <v>15</v>
      </c>
      <c r="D27" s="3"/>
      <c r="E27" s="143">
        <v>2.5</v>
      </c>
    </row>
    <row r="28" spans="3:5" ht="12.75">
      <c r="C28" s="138" t="s">
        <v>224</v>
      </c>
      <c r="D28" s="3"/>
      <c r="E28" s="144">
        <f>E21</f>
        <v>0.02</v>
      </c>
    </row>
    <row r="29" spans="3:5" ht="12.75">
      <c r="C29" s="138" t="s">
        <v>230</v>
      </c>
      <c r="D29" s="3"/>
      <c r="E29" s="144">
        <f>IF(E24&gt;E17,E25-E28-E18,E25+(E17-E24)-E18-E28)</f>
        <v>2.88</v>
      </c>
    </row>
    <row r="30" spans="3:5" ht="12.75">
      <c r="C30" s="138" t="s">
        <v>225</v>
      </c>
      <c r="D30" s="3"/>
      <c r="E30" s="144">
        <f>IF(E24&gt;E17,E25-E27-E28-E18,E25+(E17-E24)-E28-E18-E27)</f>
        <v>0.3799999999999999</v>
      </c>
    </row>
    <row r="31" spans="3:5" ht="13.5" thickBot="1">
      <c r="C31" s="233" t="s">
        <v>232</v>
      </c>
      <c r="D31" s="234"/>
      <c r="E31" s="235"/>
    </row>
    <row r="32" spans="3:5" ht="13.5" thickTop="1">
      <c r="C32" s="1"/>
      <c r="D32" s="1"/>
      <c r="E32" s="1"/>
    </row>
    <row r="33" ht="13.5" thickBot="1"/>
    <row r="34" spans="3:5" ht="12.75">
      <c r="C34" s="221" t="s">
        <v>16</v>
      </c>
      <c r="D34" s="222"/>
      <c r="E34" s="223"/>
    </row>
    <row r="35" spans="3:5" ht="13.5" thickBot="1">
      <c r="C35" s="224" t="s">
        <v>39</v>
      </c>
      <c r="D35" s="225"/>
      <c r="E35" s="226"/>
    </row>
    <row r="36" spans="2:5" ht="12.75">
      <c r="B36" s="101" t="s">
        <v>184</v>
      </c>
      <c r="C36" s="9" t="s">
        <v>253</v>
      </c>
      <c r="E36" s="6" t="s">
        <v>41</v>
      </c>
    </row>
    <row r="37" spans="3:5" ht="12.75">
      <c r="C37" t="s">
        <v>9</v>
      </c>
      <c r="E37" s="107">
        <v>3</v>
      </c>
    </row>
    <row r="38" spans="3:5" ht="12.75">
      <c r="C38" t="s">
        <v>31</v>
      </c>
      <c r="E38" s="107">
        <v>0.4</v>
      </c>
    </row>
    <row r="39" spans="3:5" ht="12.75">
      <c r="C39" t="s">
        <v>220</v>
      </c>
      <c r="E39" s="107">
        <v>2.9</v>
      </c>
    </row>
    <row r="40" spans="3:5" ht="12.75">
      <c r="C40" t="s">
        <v>219</v>
      </c>
      <c r="E40" s="131">
        <v>-0.7</v>
      </c>
    </row>
    <row r="41" spans="3:5" ht="12.75">
      <c r="C41" t="s">
        <v>260</v>
      </c>
      <c r="E41" s="131">
        <v>0.2</v>
      </c>
    </row>
    <row r="42" ht="13.5" thickBot="1"/>
    <row r="43" spans="3:5" ht="13.5" thickTop="1">
      <c r="C43" s="227" t="s">
        <v>16</v>
      </c>
      <c r="D43" s="228"/>
      <c r="E43" s="229"/>
    </row>
    <row r="44" spans="3:5" ht="13.5" thickBot="1">
      <c r="C44" s="230" t="s">
        <v>17</v>
      </c>
      <c r="D44" s="225"/>
      <c r="E44" s="236"/>
    </row>
    <row r="45" spans="3:5" ht="12.75">
      <c r="C45" s="138" t="s">
        <v>214</v>
      </c>
      <c r="D45" s="3"/>
      <c r="E45" s="143">
        <v>4</v>
      </c>
    </row>
    <row r="46" spans="3:5" ht="12.75">
      <c r="C46" s="138" t="s">
        <v>221</v>
      </c>
      <c r="D46" s="3"/>
      <c r="E46" s="145">
        <v>3.7</v>
      </c>
    </row>
    <row r="47" spans="2:5" ht="12.75">
      <c r="B47" s="101" t="s">
        <v>184</v>
      </c>
      <c r="C47" s="138" t="s">
        <v>27</v>
      </c>
      <c r="D47" s="3"/>
      <c r="E47" s="146">
        <f>E46-E45</f>
        <v>-0.2999999999999998</v>
      </c>
    </row>
    <row r="48" spans="3:5" ht="12.75">
      <c r="C48" s="138" t="s">
        <v>28</v>
      </c>
      <c r="D48" s="3"/>
      <c r="E48" s="142">
        <f>E41</f>
        <v>0.2</v>
      </c>
    </row>
    <row r="49" spans="2:5" ht="12.75">
      <c r="B49" s="101" t="s">
        <v>184</v>
      </c>
      <c r="C49" s="138" t="s">
        <v>231</v>
      </c>
      <c r="D49" s="3"/>
      <c r="E49" s="146">
        <f>IF(E45&gt;E37,E46-(E45-E37)+E38+E48,E46+E38+E48)</f>
        <v>3.3000000000000003</v>
      </c>
    </row>
    <row r="50" spans="3:5" ht="13.5" thickBot="1">
      <c r="C50" s="233" t="s">
        <v>232</v>
      </c>
      <c r="D50" s="234"/>
      <c r="E50" s="235"/>
    </row>
    <row r="51" ht="13.5" thickTop="1"/>
    <row r="56" ht="13.5" thickBot="1"/>
    <row r="57" spans="3:5" ht="12.75">
      <c r="C57" s="221" t="s">
        <v>16</v>
      </c>
      <c r="D57" s="222"/>
      <c r="E57" s="223"/>
    </row>
    <row r="58" spans="3:5" ht="13.5" thickBot="1">
      <c r="C58" s="224" t="s">
        <v>40</v>
      </c>
      <c r="D58" s="225"/>
      <c r="E58" s="226"/>
    </row>
    <row r="59" spans="3:5" ht="12.75">
      <c r="C59" s="9" t="s">
        <v>24</v>
      </c>
      <c r="E59" s="6" t="s">
        <v>41</v>
      </c>
    </row>
    <row r="60" spans="3:5" ht="12.75">
      <c r="C60" t="s">
        <v>9</v>
      </c>
      <c r="E60" s="129">
        <v>4.5</v>
      </c>
    </row>
    <row r="61" spans="3:5" ht="12.75">
      <c r="C61" t="s">
        <v>31</v>
      </c>
      <c r="E61" s="129">
        <v>0.2</v>
      </c>
    </row>
    <row r="62" spans="3:5" ht="12.75">
      <c r="C62" t="s">
        <v>10</v>
      </c>
      <c r="E62" s="129">
        <v>5</v>
      </c>
    </row>
    <row r="63" spans="3:5" ht="12.75">
      <c r="C63" s="3"/>
      <c r="D63" s="3"/>
      <c r="E63" s="130"/>
    </row>
    <row r="64" spans="3:5" ht="12.75">
      <c r="C64" s="237"/>
      <c r="D64" s="237"/>
      <c r="E64" s="237"/>
    </row>
    <row r="65" spans="3:5" ht="12.75">
      <c r="C65" s="237"/>
      <c r="D65" s="237"/>
      <c r="E65" s="237"/>
    </row>
    <row r="66" spans="3:5" ht="12.75">
      <c r="C66" s="3"/>
      <c r="D66" s="3"/>
      <c r="E66" s="128"/>
    </row>
    <row r="67" ht="12.75">
      <c r="E67" s="7"/>
    </row>
    <row r="68" ht="12.75">
      <c r="E68" s="7"/>
    </row>
    <row r="69" ht="12.75">
      <c r="E69" s="7"/>
    </row>
    <row r="78" ht="13.5" thickBot="1"/>
    <row r="79" spans="3:5" ht="12.75">
      <c r="C79" s="221" t="s">
        <v>16</v>
      </c>
      <c r="D79" s="222"/>
      <c r="E79" s="223"/>
    </row>
    <row r="80" spans="3:5" ht="13.5" thickBot="1">
      <c r="C80" s="224" t="s">
        <v>40</v>
      </c>
      <c r="D80" s="225"/>
      <c r="E80" s="226"/>
    </row>
    <row r="81" spans="3:5" ht="12.75">
      <c r="C81" s="9" t="s">
        <v>25</v>
      </c>
      <c r="E81" s="6" t="s">
        <v>41</v>
      </c>
    </row>
    <row r="82" spans="3:5" ht="12.75">
      <c r="C82" t="s">
        <v>9</v>
      </c>
      <c r="E82" s="107">
        <v>3.45</v>
      </c>
    </row>
    <row r="83" spans="3:5" ht="12.75">
      <c r="C83" t="s">
        <v>31</v>
      </c>
      <c r="E83" s="107">
        <v>0.2</v>
      </c>
    </row>
    <row r="84" spans="3:5" ht="12.75">
      <c r="C84" t="s">
        <v>10</v>
      </c>
      <c r="E84" s="107">
        <v>3</v>
      </c>
    </row>
    <row r="85" spans="3:5" ht="12.75">
      <c r="C85" s="3"/>
      <c r="D85" s="3"/>
      <c r="E85" s="3"/>
    </row>
    <row r="86" spans="3:5" ht="12.75">
      <c r="C86" s="237"/>
      <c r="D86" s="237"/>
      <c r="E86" s="237"/>
    </row>
    <row r="87" spans="3:5" ht="12.75">
      <c r="C87" s="237"/>
      <c r="D87" s="237"/>
      <c r="E87" s="237"/>
    </row>
    <row r="88" spans="3:5" ht="12.75">
      <c r="C88" s="3"/>
      <c r="D88" s="3"/>
      <c r="E88" s="128"/>
    </row>
    <row r="89" spans="3:5" ht="12.75">
      <c r="C89" s="3"/>
      <c r="D89" s="3"/>
      <c r="E89" s="128"/>
    </row>
    <row r="90" spans="3:5" ht="12.75">
      <c r="C90" s="3"/>
      <c r="D90" s="3"/>
      <c r="E90" s="128"/>
    </row>
    <row r="91" spans="3:5" ht="12.75">
      <c r="C91" s="3"/>
      <c r="D91" s="3"/>
      <c r="E91" s="128"/>
    </row>
    <row r="92" spans="3:5" ht="12.75">
      <c r="C92" s="3"/>
      <c r="D92" s="3"/>
      <c r="E92" s="3"/>
    </row>
    <row r="93" spans="3:5" ht="12.75">
      <c r="C93" s="3"/>
      <c r="D93" s="3"/>
      <c r="E93" s="3"/>
    </row>
    <row r="126" spans="3:22" ht="12.75">
      <c r="C126" t="s">
        <v>20</v>
      </c>
      <c r="G126" t="s">
        <v>19</v>
      </c>
      <c r="J126">
        <v>1.5</v>
      </c>
      <c r="K126">
        <v>1.25</v>
      </c>
      <c r="L126">
        <v>1</v>
      </c>
      <c r="M126">
        <v>0.75</v>
      </c>
      <c r="N126">
        <v>0.5</v>
      </c>
      <c r="O126">
        <v>0.25</v>
      </c>
      <c r="P126">
        <v>0</v>
      </c>
      <c r="Q126">
        <v>-0.25</v>
      </c>
      <c r="R126">
        <v>-0.5</v>
      </c>
      <c r="S126">
        <v>-0.75</v>
      </c>
      <c r="T126">
        <v>-1</v>
      </c>
      <c r="U126">
        <v>-1.25</v>
      </c>
      <c r="V126">
        <v>-1.5</v>
      </c>
    </row>
    <row r="128" spans="7:11" ht="12.75">
      <c r="G128" t="s">
        <v>11</v>
      </c>
      <c r="K128" t="s">
        <v>12</v>
      </c>
    </row>
    <row r="129" spans="3:12" ht="13.5" thickBot="1">
      <c r="C129" s="1"/>
      <c r="D129" s="1"/>
      <c r="E129" s="1"/>
      <c r="G129" t="s">
        <v>13</v>
      </c>
      <c r="H129" t="str">
        <f>IF(E16="P",E17-E18,"NA")</f>
        <v>NA</v>
      </c>
      <c r="K129" t="s">
        <v>14</v>
      </c>
      <c r="L129" t="str">
        <f>IF(E16="C",E17-E18,"NA")</f>
        <v>NA</v>
      </c>
    </row>
    <row r="130" spans="3:7" ht="13.5" thickBot="1">
      <c r="C130" t="s">
        <v>30</v>
      </c>
      <c r="E130" s="105">
        <v>0.1</v>
      </c>
      <c r="G130" t="s">
        <v>18</v>
      </c>
    </row>
    <row r="131" ht="12.75">
      <c r="E131" s="8"/>
    </row>
    <row r="132" spans="1:36" ht="12.75">
      <c r="A132" s="9" t="s">
        <v>21</v>
      </c>
      <c r="C132" s="135">
        <f aca="true" t="shared" si="0" ref="C132:H132">D132-$E$130</f>
        <v>1.6999999999999984</v>
      </c>
      <c r="D132" s="135">
        <f t="shared" si="0"/>
        <v>1.7999999999999985</v>
      </c>
      <c r="E132" s="135">
        <f t="shared" si="0"/>
        <v>1.8999999999999986</v>
      </c>
      <c r="F132" s="135">
        <f t="shared" si="0"/>
        <v>1.9999999999999987</v>
      </c>
      <c r="G132" s="135">
        <f t="shared" si="0"/>
        <v>2.0999999999999988</v>
      </c>
      <c r="H132" s="135">
        <f t="shared" si="0"/>
        <v>2.199999999999999</v>
      </c>
      <c r="I132" s="135">
        <f aca="true" t="shared" si="1" ref="I132:Q132">J132-$E$130</f>
        <v>2.299999999999999</v>
      </c>
      <c r="J132" s="135">
        <f t="shared" si="1"/>
        <v>2.399999999999999</v>
      </c>
      <c r="K132" s="135">
        <f t="shared" si="1"/>
        <v>2.499999999999999</v>
      </c>
      <c r="L132" s="135">
        <f t="shared" si="1"/>
        <v>2.599999999999999</v>
      </c>
      <c r="M132" s="135">
        <f t="shared" si="1"/>
        <v>2.6999999999999993</v>
      </c>
      <c r="N132" s="135">
        <f t="shared" si="1"/>
        <v>2.7999999999999994</v>
      </c>
      <c r="O132" s="135">
        <f t="shared" si="1"/>
        <v>2.8999999999999995</v>
      </c>
      <c r="P132" s="135">
        <f t="shared" si="1"/>
        <v>2.9999999999999996</v>
      </c>
      <c r="Q132" s="135">
        <f t="shared" si="1"/>
        <v>3.0999999999999996</v>
      </c>
      <c r="R132" s="135">
        <f>S132-$E$130</f>
        <v>3.1999999999999997</v>
      </c>
      <c r="S132" s="136">
        <f>E19</f>
        <v>3.3</v>
      </c>
      <c r="T132" s="135">
        <f>S132+$E$130</f>
        <v>3.4</v>
      </c>
      <c r="U132" s="135">
        <f aca="true" t="shared" si="2" ref="U132:AD132">T132+$E$130</f>
        <v>3.5</v>
      </c>
      <c r="V132" s="135">
        <f t="shared" si="2"/>
        <v>3.6</v>
      </c>
      <c r="W132" s="135">
        <f t="shared" si="2"/>
        <v>3.7</v>
      </c>
      <c r="X132" s="135">
        <f t="shared" si="2"/>
        <v>3.8000000000000003</v>
      </c>
      <c r="Y132" s="135">
        <f t="shared" si="2"/>
        <v>3.9000000000000004</v>
      </c>
      <c r="Z132" s="135">
        <f t="shared" si="2"/>
        <v>4</v>
      </c>
      <c r="AA132" s="135">
        <f t="shared" si="2"/>
        <v>4.1</v>
      </c>
      <c r="AB132" s="135">
        <f t="shared" si="2"/>
        <v>4.199999999999999</v>
      </c>
      <c r="AC132" s="135">
        <f t="shared" si="2"/>
        <v>4.299999999999999</v>
      </c>
      <c r="AD132" s="135">
        <f t="shared" si="2"/>
        <v>4.399999999999999</v>
      </c>
      <c r="AE132" s="135">
        <f aca="true" t="shared" si="3" ref="AE132:AJ132">AD132+$E$130</f>
        <v>4.499999999999998</v>
      </c>
      <c r="AF132" s="135">
        <f t="shared" si="3"/>
        <v>4.599999999999998</v>
      </c>
      <c r="AG132" s="135">
        <f t="shared" si="3"/>
        <v>4.6999999999999975</v>
      </c>
      <c r="AH132" s="135">
        <f t="shared" si="3"/>
        <v>4.799999999999997</v>
      </c>
      <c r="AI132" s="135">
        <f t="shared" si="3"/>
        <v>4.899999999999997</v>
      </c>
      <c r="AJ132" s="135">
        <f t="shared" si="3"/>
        <v>4.9999999999999964</v>
      </c>
    </row>
    <row r="133" spans="1:38" ht="12.75">
      <c r="A133" s="238" t="s">
        <v>226</v>
      </c>
      <c r="B133" s="132" t="s">
        <v>213</v>
      </c>
      <c r="C133" s="137">
        <f>IF(C132&gt;($E$17),-$E$18,$E$17-$E$18-C132)</f>
        <v>1.1000000000000014</v>
      </c>
      <c r="D133" s="137">
        <f aca="true" t="shared" si="4" ref="D133:AJ133">IF(D132&gt;($E$17),-$E$18,$E$17-$E$18-D132)</f>
        <v>1.0000000000000013</v>
      </c>
      <c r="E133" s="137">
        <f t="shared" si="4"/>
        <v>0.9000000000000012</v>
      </c>
      <c r="F133" s="137">
        <f t="shared" si="4"/>
        <v>0.8000000000000012</v>
      </c>
      <c r="G133" s="137">
        <f t="shared" si="4"/>
        <v>0.7000000000000011</v>
      </c>
      <c r="H133" s="137">
        <f t="shared" si="4"/>
        <v>0.600000000000001</v>
      </c>
      <c r="I133" s="137">
        <f t="shared" si="4"/>
        <v>0.5000000000000009</v>
      </c>
      <c r="J133" s="137">
        <f t="shared" si="4"/>
        <v>0.4000000000000008</v>
      </c>
      <c r="K133" s="137">
        <f t="shared" si="4"/>
        <v>0.3000000000000007</v>
      </c>
      <c r="L133" s="137">
        <f t="shared" si="4"/>
        <v>0.20000000000000062</v>
      </c>
      <c r="M133" s="137">
        <f t="shared" si="4"/>
        <v>0.10000000000000053</v>
      </c>
      <c r="N133" s="137">
        <f t="shared" si="4"/>
        <v>4.440892098500626E-16</v>
      </c>
      <c r="O133" s="137">
        <f t="shared" si="4"/>
        <v>-0.09999999999999964</v>
      </c>
      <c r="P133" s="137">
        <f t="shared" si="4"/>
        <v>-0.19999999999999973</v>
      </c>
      <c r="Q133" s="137">
        <f t="shared" si="4"/>
        <v>-0.2999999999999998</v>
      </c>
      <c r="R133" s="137">
        <f t="shared" si="4"/>
        <v>-0.3999999999999999</v>
      </c>
      <c r="S133" s="137">
        <f t="shared" si="4"/>
        <v>-0.5</v>
      </c>
      <c r="T133" s="137">
        <f t="shared" si="4"/>
        <v>-0.5</v>
      </c>
      <c r="U133" s="137">
        <f t="shared" si="4"/>
        <v>-0.5</v>
      </c>
      <c r="V133" s="137">
        <f t="shared" si="4"/>
        <v>-0.5</v>
      </c>
      <c r="W133" s="137">
        <f t="shared" si="4"/>
        <v>-0.5</v>
      </c>
      <c r="X133" s="137">
        <f t="shared" si="4"/>
        <v>-0.5</v>
      </c>
      <c r="Y133" s="137">
        <f t="shared" si="4"/>
        <v>-0.5</v>
      </c>
      <c r="Z133" s="137">
        <f t="shared" si="4"/>
        <v>-0.5</v>
      </c>
      <c r="AA133" s="137">
        <f t="shared" si="4"/>
        <v>-0.5</v>
      </c>
      <c r="AB133" s="137">
        <f t="shared" si="4"/>
        <v>-0.5</v>
      </c>
      <c r="AC133" s="137">
        <f t="shared" si="4"/>
        <v>-0.5</v>
      </c>
      <c r="AD133" s="137">
        <f t="shared" si="4"/>
        <v>-0.5</v>
      </c>
      <c r="AE133" s="137">
        <f t="shared" si="4"/>
        <v>-0.5</v>
      </c>
      <c r="AF133" s="137">
        <f t="shared" si="4"/>
        <v>-0.5</v>
      </c>
      <c r="AG133" s="137">
        <f t="shared" si="4"/>
        <v>-0.5</v>
      </c>
      <c r="AH133" s="137">
        <f t="shared" si="4"/>
        <v>-0.5</v>
      </c>
      <c r="AI133" s="137">
        <f t="shared" si="4"/>
        <v>-0.5</v>
      </c>
      <c r="AJ133" s="137">
        <f t="shared" si="4"/>
        <v>-0.5</v>
      </c>
      <c r="AK133" s="133" t="s">
        <v>229</v>
      </c>
      <c r="AL133" s="133"/>
    </row>
    <row r="134" spans="1:38" ht="12.75">
      <c r="A134" s="238"/>
      <c r="B134" s="132" t="s">
        <v>227</v>
      </c>
      <c r="C134" s="134">
        <f>C132+$E$20</f>
        <v>1.2999999999999985</v>
      </c>
      <c r="D134" s="134">
        <f aca="true" t="shared" si="5" ref="D134:AJ134">D132+$E$20</f>
        <v>1.3999999999999986</v>
      </c>
      <c r="E134" s="134">
        <f t="shared" si="5"/>
        <v>1.4999999999999987</v>
      </c>
      <c r="F134" s="134">
        <f t="shared" si="5"/>
        <v>1.5999999999999988</v>
      </c>
      <c r="G134" s="134">
        <f t="shared" si="5"/>
        <v>1.6999999999999988</v>
      </c>
      <c r="H134" s="134">
        <f t="shared" si="5"/>
        <v>1.799999999999999</v>
      </c>
      <c r="I134" s="134">
        <f t="shared" si="5"/>
        <v>1.899999999999999</v>
      </c>
      <c r="J134" s="134">
        <f t="shared" si="5"/>
        <v>1.9999999999999991</v>
      </c>
      <c r="K134" s="134">
        <f t="shared" si="5"/>
        <v>2.099999999999999</v>
      </c>
      <c r="L134" s="134">
        <f t="shared" si="5"/>
        <v>2.1999999999999993</v>
      </c>
      <c r="M134" s="134">
        <f t="shared" si="5"/>
        <v>2.2999999999999994</v>
      </c>
      <c r="N134" s="134">
        <f t="shared" si="5"/>
        <v>2.3999999999999995</v>
      </c>
      <c r="O134" s="134">
        <f t="shared" si="5"/>
        <v>2.4999999999999996</v>
      </c>
      <c r="P134" s="134">
        <f t="shared" si="5"/>
        <v>2.5999999999999996</v>
      </c>
      <c r="Q134" s="134">
        <f t="shared" si="5"/>
        <v>2.6999999999999997</v>
      </c>
      <c r="R134" s="134">
        <f t="shared" si="5"/>
        <v>2.8</v>
      </c>
      <c r="S134" s="134">
        <f t="shared" si="5"/>
        <v>2.9</v>
      </c>
      <c r="T134" s="134">
        <f t="shared" si="5"/>
        <v>3</v>
      </c>
      <c r="U134" s="134">
        <f t="shared" si="5"/>
        <v>3.1</v>
      </c>
      <c r="V134" s="134">
        <f t="shared" si="5"/>
        <v>3.2</v>
      </c>
      <c r="W134" s="134">
        <f t="shared" si="5"/>
        <v>3.3000000000000003</v>
      </c>
      <c r="X134" s="134">
        <f t="shared" si="5"/>
        <v>3.4000000000000004</v>
      </c>
      <c r="Y134" s="134">
        <f t="shared" si="5"/>
        <v>3.5000000000000004</v>
      </c>
      <c r="Z134" s="134">
        <f t="shared" si="5"/>
        <v>3.6</v>
      </c>
      <c r="AA134" s="134">
        <f t="shared" si="5"/>
        <v>3.6999999999999997</v>
      </c>
      <c r="AB134" s="134">
        <f t="shared" si="5"/>
        <v>3.7999999999999994</v>
      </c>
      <c r="AC134" s="134">
        <f t="shared" si="5"/>
        <v>3.899999999999999</v>
      </c>
      <c r="AD134" s="134">
        <f t="shared" si="5"/>
        <v>3.9999999999999987</v>
      </c>
      <c r="AE134" s="134">
        <f t="shared" si="5"/>
        <v>4.099999999999998</v>
      </c>
      <c r="AF134" s="134">
        <f t="shared" si="5"/>
        <v>4.1999999999999975</v>
      </c>
      <c r="AG134" s="134">
        <f t="shared" si="5"/>
        <v>4.299999999999997</v>
      </c>
      <c r="AH134" s="134">
        <f t="shared" si="5"/>
        <v>4.399999999999997</v>
      </c>
      <c r="AI134" s="134">
        <f t="shared" si="5"/>
        <v>4.4999999999999964</v>
      </c>
      <c r="AJ134" s="134">
        <f t="shared" si="5"/>
        <v>4.599999999999996</v>
      </c>
      <c r="AK134" s="133" t="s">
        <v>227</v>
      </c>
      <c r="AL134" s="133"/>
    </row>
    <row r="135" spans="1:38" ht="12.75">
      <c r="A135" s="238"/>
      <c r="B135" s="132" t="s">
        <v>228</v>
      </c>
      <c r="C135" s="134">
        <f>C133+C134-$E$21</f>
        <v>2.38</v>
      </c>
      <c r="D135" s="134">
        <f aca="true" t="shared" si="6" ref="D135:AJ135">D133+D134-$E$21</f>
        <v>2.38</v>
      </c>
      <c r="E135" s="134">
        <f t="shared" si="6"/>
        <v>2.38</v>
      </c>
      <c r="F135" s="134">
        <f t="shared" si="6"/>
        <v>2.38</v>
      </c>
      <c r="G135" s="134">
        <f t="shared" si="6"/>
        <v>2.38</v>
      </c>
      <c r="H135" s="134">
        <f t="shared" si="6"/>
        <v>2.38</v>
      </c>
      <c r="I135" s="134">
        <f t="shared" si="6"/>
        <v>2.38</v>
      </c>
      <c r="J135" s="134">
        <f t="shared" si="6"/>
        <v>2.38</v>
      </c>
      <c r="K135" s="134">
        <f t="shared" si="6"/>
        <v>2.38</v>
      </c>
      <c r="L135" s="134">
        <f t="shared" si="6"/>
        <v>2.38</v>
      </c>
      <c r="M135" s="134">
        <f t="shared" si="6"/>
        <v>2.38</v>
      </c>
      <c r="N135" s="134">
        <f t="shared" si="6"/>
        <v>2.38</v>
      </c>
      <c r="O135" s="134">
        <f t="shared" si="6"/>
        <v>2.38</v>
      </c>
      <c r="P135" s="134">
        <f t="shared" si="6"/>
        <v>2.38</v>
      </c>
      <c r="Q135" s="134">
        <f t="shared" si="6"/>
        <v>2.38</v>
      </c>
      <c r="R135" s="134">
        <f t="shared" si="6"/>
        <v>2.38</v>
      </c>
      <c r="S135" s="134">
        <f t="shared" si="6"/>
        <v>2.38</v>
      </c>
      <c r="T135" s="134">
        <f t="shared" si="6"/>
        <v>2.48</v>
      </c>
      <c r="U135" s="134">
        <f t="shared" si="6"/>
        <v>2.58</v>
      </c>
      <c r="V135" s="134">
        <f t="shared" si="6"/>
        <v>2.68</v>
      </c>
      <c r="W135" s="134">
        <f t="shared" si="6"/>
        <v>2.7800000000000002</v>
      </c>
      <c r="X135" s="134">
        <f t="shared" si="6"/>
        <v>2.8800000000000003</v>
      </c>
      <c r="Y135" s="134">
        <f t="shared" si="6"/>
        <v>2.9800000000000004</v>
      </c>
      <c r="Z135" s="134">
        <f t="shared" si="6"/>
        <v>3.08</v>
      </c>
      <c r="AA135" s="134">
        <f t="shared" si="6"/>
        <v>3.1799999999999997</v>
      </c>
      <c r="AB135" s="134">
        <f t="shared" si="6"/>
        <v>3.2799999999999994</v>
      </c>
      <c r="AC135" s="134">
        <f t="shared" si="6"/>
        <v>3.379999999999999</v>
      </c>
      <c r="AD135" s="134">
        <f t="shared" si="6"/>
        <v>3.4799999999999986</v>
      </c>
      <c r="AE135" s="134">
        <f t="shared" si="6"/>
        <v>3.579999999999998</v>
      </c>
      <c r="AF135" s="134">
        <f t="shared" si="6"/>
        <v>3.6799999999999975</v>
      </c>
      <c r="AG135" s="134">
        <f t="shared" si="6"/>
        <v>3.779999999999997</v>
      </c>
      <c r="AH135" s="134">
        <f t="shared" si="6"/>
        <v>3.879999999999997</v>
      </c>
      <c r="AI135" s="134">
        <f t="shared" si="6"/>
        <v>3.9799999999999964</v>
      </c>
      <c r="AJ135" s="134">
        <f t="shared" si="6"/>
        <v>4.0799999999999965</v>
      </c>
      <c r="AK135" s="133" t="s">
        <v>228</v>
      </c>
      <c r="AL135" s="133"/>
    </row>
    <row r="136" spans="3:38" ht="12.75">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row>
    <row r="137" spans="1:36" ht="12.75">
      <c r="A137" s="9" t="s">
        <v>22</v>
      </c>
      <c r="C137" s="135">
        <f aca="true" t="shared" si="7" ref="C137:Q137">D137-$E$130</f>
        <v>1.2999999999999985</v>
      </c>
      <c r="D137" s="135">
        <f t="shared" si="7"/>
        <v>1.3999999999999986</v>
      </c>
      <c r="E137" s="135">
        <f t="shared" si="7"/>
        <v>1.4999999999999987</v>
      </c>
      <c r="F137" s="135">
        <f t="shared" si="7"/>
        <v>1.5999999999999988</v>
      </c>
      <c r="G137" s="135">
        <f t="shared" si="7"/>
        <v>1.6999999999999988</v>
      </c>
      <c r="H137" s="135">
        <f t="shared" si="7"/>
        <v>1.799999999999999</v>
      </c>
      <c r="I137" s="135">
        <f t="shared" si="7"/>
        <v>1.899999999999999</v>
      </c>
      <c r="J137" s="135">
        <f t="shared" si="7"/>
        <v>1.9999999999999991</v>
      </c>
      <c r="K137" s="135">
        <f t="shared" si="7"/>
        <v>2.099999999999999</v>
      </c>
      <c r="L137" s="135">
        <f t="shared" si="7"/>
        <v>2.1999999999999993</v>
      </c>
      <c r="M137" s="135">
        <f t="shared" si="7"/>
        <v>2.2999999999999994</v>
      </c>
      <c r="N137" s="135">
        <f t="shared" si="7"/>
        <v>2.3999999999999995</v>
      </c>
      <c r="O137" s="135">
        <f t="shared" si="7"/>
        <v>2.4999999999999996</v>
      </c>
      <c r="P137" s="135">
        <f t="shared" si="7"/>
        <v>2.5999999999999996</v>
      </c>
      <c r="Q137" s="135">
        <f t="shared" si="7"/>
        <v>2.6999999999999997</v>
      </c>
      <c r="R137" s="135">
        <f>S137-$E$130</f>
        <v>2.8</v>
      </c>
      <c r="S137" s="136">
        <f>E39</f>
        <v>2.9</v>
      </c>
      <c r="T137" s="135">
        <f>S137+$E$130</f>
        <v>3</v>
      </c>
      <c r="U137" s="135">
        <f aca="true" t="shared" si="8" ref="U137:AJ137">T137+$E$130</f>
        <v>3.1</v>
      </c>
      <c r="V137" s="135">
        <f t="shared" si="8"/>
        <v>3.2</v>
      </c>
      <c r="W137" s="135">
        <f t="shared" si="8"/>
        <v>3.3000000000000003</v>
      </c>
      <c r="X137" s="135">
        <f t="shared" si="8"/>
        <v>3.4000000000000004</v>
      </c>
      <c r="Y137" s="135">
        <f t="shared" si="8"/>
        <v>3.5000000000000004</v>
      </c>
      <c r="Z137" s="135">
        <f t="shared" si="8"/>
        <v>3.6000000000000005</v>
      </c>
      <c r="AA137" s="135">
        <f t="shared" si="8"/>
        <v>3.7000000000000006</v>
      </c>
      <c r="AB137" s="135">
        <f t="shared" si="8"/>
        <v>3.8000000000000007</v>
      </c>
      <c r="AC137" s="135">
        <f t="shared" si="8"/>
        <v>3.900000000000001</v>
      </c>
      <c r="AD137" s="135">
        <f t="shared" si="8"/>
        <v>4.000000000000001</v>
      </c>
      <c r="AE137" s="135">
        <f t="shared" si="8"/>
        <v>4.1000000000000005</v>
      </c>
      <c r="AF137" s="135">
        <f t="shared" si="8"/>
        <v>4.2</v>
      </c>
      <c r="AG137" s="135">
        <f t="shared" si="8"/>
        <v>4.3</v>
      </c>
      <c r="AH137" s="135">
        <f t="shared" si="8"/>
        <v>4.3999999999999995</v>
      </c>
      <c r="AI137" s="135">
        <f t="shared" si="8"/>
        <v>4.499999999999999</v>
      </c>
      <c r="AJ137" s="135">
        <f t="shared" si="8"/>
        <v>4.599999999999999</v>
      </c>
    </row>
    <row r="138" spans="1:36" ht="12.75">
      <c r="A138" s="238" t="s">
        <v>226</v>
      </c>
      <c r="B138" s="132" t="s">
        <v>213</v>
      </c>
      <c r="C138" s="137">
        <f>IF(C137&lt;$E$37,-$E$38,C137-$E$37-$E$38)</f>
        <v>-0.4</v>
      </c>
      <c r="D138" s="137">
        <f aca="true" t="shared" si="9" ref="D138:AJ138">IF(D137&lt;$E$37,-$E$38,D137-$E$37-$E$38)</f>
        <v>-0.4</v>
      </c>
      <c r="E138" s="137">
        <f t="shared" si="9"/>
        <v>-0.4</v>
      </c>
      <c r="F138" s="137">
        <f t="shared" si="9"/>
        <v>-0.4</v>
      </c>
      <c r="G138" s="137">
        <f t="shared" si="9"/>
        <v>-0.4</v>
      </c>
      <c r="H138" s="137">
        <f t="shared" si="9"/>
        <v>-0.4</v>
      </c>
      <c r="I138" s="137">
        <f t="shared" si="9"/>
        <v>-0.4</v>
      </c>
      <c r="J138" s="137">
        <f t="shared" si="9"/>
        <v>-0.4</v>
      </c>
      <c r="K138" s="137">
        <f t="shared" si="9"/>
        <v>-0.4</v>
      </c>
      <c r="L138" s="137">
        <f t="shared" si="9"/>
        <v>-0.4</v>
      </c>
      <c r="M138" s="137">
        <f t="shared" si="9"/>
        <v>-0.4</v>
      </c>
      <c r="N138" s="137">
        <f t="shared" si="9"/>
        <v>-0.4</v>
      </c>
      <c r="O138" s="137">
        <f t="shared" si="9"/>
        <v>-0.4</v>
      </c>
      <c r="P138" s="137">
        <f t="shared" si="9"/>
        <v>-0.4</v>
      </c>
      <c r="Q138" s="137">
        <f t="shared" si="9"/>
        <v>-0.4</v>
      </c>
      <c r="R138" s="137">
        <f t="shared" si="9"/>
        <v>-0.4</v>
      </c>
      <c r="S138" s="137">
        <f t="shared" si="9"/>
        <v>-0.4</v>
      </c>
      <c r="T138" s="137">
        <f t="shared" si="9"/>
        <v>-0.4</v>
      </c>
      <c r="U138" s="137">
        <f t="shared" si="9"/>
        <v>-0.29999999999999993</v>
      </c>
      <c r="V138" s="137">
        <f t="shared" si="9"/>
        <v>-0.19999999999999984</v>
      </c>
      <c r="W138" s="137">
        <f t="shared" si="9"/>
        <v>-0.09999999999999976</v>
      </c>
      <c r="X138" s="137">
        <f t="shared" si="9"/>
        <v>3.3306690738754696E-16</v>
      </c>
      <c r="Y138" s="137">
        <f t="shared" si="9"/>
        <v>0.10000000000000042</v>
      </c>
      <c r="Z138" s="137">
        <f t="shared" si="9"/>
        <v>0.2000000000000005</v>
      </c>
      <c r="AA138" s="137">
        <f t="shared" si="9"/>
        <v>0.3000000000000006</v>
      </c>
      <c r="AB138" s="137">
        <f t="shared" si="9"/>
        <v>0.4000000000000007</v>
      </c>
      <c r="AC138" s="137">
        <f t="shared" si="9"/>
        <v>0.5000000000000008</v>
      </c>
      <c r="AD138" s="137">
        <f t="shared" si="9"/>
        <v>0.6000000000000009</v>
      </c>
      <c r="AE138" s="137">
        <f t="shared" si="9"/>
        <v>0.7000000000000005</v>
      </c>
      <c r="AF138" s="137">
        <f t="shared" si="9"/>
        <v>0.8000000000000002</v>
      </c>
      <c r="AG138" s="137">
        <f t="shared" si="9"/>
        <v>0.8999999999999998</v>
      </c>
      <c r="AH138" s="137">
        <f t="shared" si="9"/>
        <v>0.9999999999999994</v>
      </c>
      <c r="AI138" s="137">
        <f t="shared" si="9"/>
        <v>1.0999999999999992</v>
      </c>
      <c r="AJ138" s="137">
        <f t="shared" si="9"/>
        <v>1.1999999999999988</v>
      </c>
    </row>
    <row r="139" spans="1:36" ht="12.75">
      <c r="A139" s="238"/>
      <c r="B139" s="132" t="s">
        <v>227</v>
      </c>
      <c r="C139" s="137">
        <f>C137+$E$40</f>
        <v>0.5999999999999985</v>
      </c>
      <c r="D139" s="137">
        <f aca="true" t="shared" si="10" ref="D139:AJ139">D137+$E$40</f>
        <v>0.6999999999999986</v>
      </c>
      <c r="E139" s="137">
        <f t="shared" si="10"/>
        <v>0.7999999999999987</v>
      </c>
      <c r="F139" s="137">
        <f t="shared" si="10"/>
        <v>0.8999999999999988</v>
      </c>
      <c r="G139" s="137">
        <f t="shared" si="10"/>
        <v>0.9999999999999989</v>
      </c>
      <c r="H139" s="137">
        <f t="shared" si="10"/>
        <v>1.099999999999999</v>
      </c>
      <c r="I139" s="137">
        <f t="shared" si="10"/>
        <v>1.199999999999999</v>
      </c>
      <c r="J139" s="137">
        <f t="shared" si="10"/>
        <v>1.2999999999999992</v>
      </c>
      <c r="K139" s="137">
        <f t="shared" si="10"/>
        <v>1.3999999999999992</v>
      </c>
      <c r="L139" s="137">
        <f t="shared" si="10"/>
        <v>1.4999999999999993</v>
      </c>
      <c r="M139" s="137">
        <f t="shared" si="10"/>
        <v>1.5999999999999994</v>
      </c>
      <c r="N139" s="137">
        <f t="shared" si="10"/>
        <v>1.6999999999999995</v>
      </c>
      <c r="O139" s="137">
        <f t="shared" si="10"/>
        <v>1.7999999999999996</v>
      </c>
      <c r="P139" s="137">
        <f t="shared" si="10"/>
        <v>1.8999999999999997</v>
      </c>
      <c r="Q139" s="137">
        <f t="shared" si="10"/>
        <v>1.9999999999999998</v>
      </c>
      <c r="R139" s="137">
        <f t="shared" si="10"/>
        <v>2.0999999999999996</v>
      </c>
      <c r="S139" s="137">
        <f t="shared" si="10"/>
        <v>2.2</v>
      </c>
      <c r="T139" s="137">
        <f t="shared" si="10"/>
        <v>2.3</v>
      </c>
      <c r="U139" s="137">
        <f t="shared" si="10"/>
        <v>2.4000000000000004</v>
      </c>
      <c r="V139" s="137">
        <f t="shared" si="10"/>
        <v>2.5</v>
      </c>
      <c r="W139" s="137">
        <f t="shared" si="10"/>
        <v>2.6000000000000005</v>
      </c>
      <c r="X139" s="137">
        <f t="shared" si="10"/>
        <v>2.7</v>
      </c>
      <c r="Y139" s="137">
        <f t="shared" si="10"/>
        <v>2.8000000000000007</v>
      </c>
      <c r="Z139" s="137">
        <f t="shared" si="10"/>
        <v>2.9000000000000004</v>
      </c>
      <c r="AA139" s="137">
        <f t="shared" si="10"/>
        <v>3.000000000000001</v>
      </c>
      <c r="AB139" s="137">
        <f t="shared" si="10"/>
        <v>3.1000000000000005</v>
      </c>
      <c r="AC139" s="137">
        <f t="shared" si="10"/>
        <v>3.200000000000001</v>
      </c>
      <c r="AD139" s="137">
        <f t="shared" si="10"/>
        <v>3.3000000000000007</v>
      </c>
      <c r="AE139" s="137">
        <f t="shared" si="10"/>
        <v>3.4000000000000004</v>
      </c>
      <c r="AF139" s="137">
        <f t="shared" si="10"/>
        <v>3.5</v>
      </c>
      <c r="AG139" s="137">
        <f t="shared" si="10"/>
        <v>3.5999999999999996</v>
      </c>
      <c r="AH139" s="137">
        <f t="shared" si="10"/>
        <v>3.6999999999999993</v>
      </c>
      <c r="AI139" s="137">
        <f t="shared" si="10"/>
        <v>3.799999999999999</v>
      </c>
      <c r="AJ139" s="137">
        <f t="shared" si="10"/>
        <v>3.8999999999999986</v>
      </c>
    </row>
    <row r="140" spans="1:36" ht="12.75">
      <c r="A140" s="238"/>
      <c r="B140" s="132" t="s">
        <v>228</v>
      </c>
      <c r="C140" s="137">
        <f>C139-C138+$E$41</f>
        <v>1.1999999999999986</v>
      </c>
      <c r="D140" s="137">
        <f aca="true" t="shared" si="11" ref="D140:AJ140">D139-D138+$E$41</f>
        <v>1.2999999999999987</v>
      </c>
      <c r="E140" s="137">
        <f t="shared" si="11"/>
        <v>1.3999999999999988</v>
      </c>
      <c r="F140" s="137">
        <f t="shared" si="11"/>
        <v>1.499999999999999</v>
      </c>
      <c r="G140" s="137">
        <f t="shared" si="11"/>
        <v>1.599999999999999</v>
      </c>
      <c r="H140" s="137">
        <f t="shared" si="11"/>
        <v>1.699999999999999</v>
      </c>
      <c r="I140" s="137">
        <f t="shared" si="11"/>
        <v>1.7999999999999992</v>
      </c>
      <c r="J140" s="137">
        <f t="shared" si="11"/>
        <v>1.8999999999999992</v>
      </c>
      <c r="K140" s="137">
        <f t="shared" si="11"/>
        <v>1.9999999999999993</v>
      </c>
      <c r="L140" s="137">
        <f t="shared" si="11"/>
        <v>2.0999999999999996</v>
      </c>
      <c r="M140" s="137">
        <f t="shared" si="11"/>
        <v>2.1999999999999997</v>
      </c>
      <c r="N140" s="137">
        <f t="shared" si="11"/>
        <v>2.3</v>
      </c>
      <c r="O140" s="137">
        <f t="shared" si="11"/>
        <v>2.4</v>
      </c>
      <c r="P140" s="137">
        <f t="shared" si="11"/>
        <v>2.5</v>
      </c>
      <c r="Q140" s="137">
        <f t="shared" si="11"/>
        <v>2.6</v>
      </c>
      <c r="R140" s="137">
        <f t="shared" si="11"/>
        <v>2.6999999999999997</v>
      </c>
      <c r="S140" s="137">
        <f t="shared" si="11"/>
        <v>2.8000000000000003</v>
      </c>
      <c r="T140" s="137">
        <f t="shared" si="11"/>
        <v>2.9</v>
      </c>
      <c r="U140" s="137">
        <f t="shared" si="11"/>
        <v>2.9000000000000004</v>
      </c>
      <c r="V140" s="137">
        <f t="shared" si="11"/>
        <v>2.9</v>
      </c>
      <c r="W140" s="137">
        <f t="shared" si="11"/>
        <v>2.9000000000000004</v>
      </c>
      <c r="X140" s="137">
        <f t="shared" si="11"/>
        <v>2.9</v>
      </c>
      <c r="Y140" s="137">
        <f t="shared" si="11"/>
        <v>2.9000000000000004</v>
      </c>
      <c r="Z140" s="137">
        <f t="shared" si="11"/>
        <v>2.9</v>
      </c>
      <c r="AA140" s="137">
        <f t="shared" si="11"/>
        <v>2.9000000000000004</v>
      </c>
      <c r="AB140" s="137">
        <f t="shared" si="11"/>
        <v>2.9</v>
      </c>
      <c r="AC140" s="137">
        <f t="shared" si="11"/>
        <v>2.9000000000000004</v>
      </c>
      <c r="AD140" s="137">
        <f t="shared" si="11"/>
        <v>2.9</v>
      </c>
      <c r="AE140" s="137">
        <f t="shared" si="11"/>
        <v>2.9</v>
      </c>
      <c r="AF140" s="137">
        <f t="shared" si="11"/>
        <v>2.9</v>
      </c>
      <c r="AG140" s="137">
        <f t="shared" si="11"/>
        <v>2.9</v>
      </c>
      <c r="AH140" s="137">
        <f t="shared" si="11"/>
        <v>2.9</v>
      </c>
      <c r="AI140" s="137">
        <f t="shared" si="11"/>
        <v>2.9</v>
      </c>
      <c r="AJ140" s="137">
        <f t="shared" si="11"/>
        <v>2.9</v>
      </c>
    </row>
    <row r="141" spans="3:36" ht="12.75">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row>
    <row r="143" spans="1:36" ht="12.75">
      <c r="A143" s="9" t="s">
        <v>23</v>
      </c>
      <c r="C143" s="135">
        <f aca="true" t="shared" si="12" ref="C143:Q143">D143-$E$130</f>
        <v>3.400000000000003</v>
      </c>
      <c r="D143" s="135">
        <f t="shared" si="12"/>
        <v>3.500000000000003</v>
      </c>
      <c r="E143" s="135">
        <f t="shared" si="12"/>
        <v>3.600000000000003</v>
      </c>
      <c r="F143" s="135">
        <f t="shared" si="12"/>
        <v>3.7000000000000033</v>
      </c>
      <c r="G143" s="135">
        <f t="shared" si="12"/>
        <v>3.8000000000000034</v>
      </c>
      <c r="H143" s="135">
        <f t="shared" si="12"/>
        <v>3.9000000000000035</v>
      </c>
      <c r="I143" s="135">
        <f t="shared" si="12"/>
        <v>4.0000000000000036</v>
      </c>
      <c r="J143" s="135">
        <f t="shared" si="12"/>
        <v>4.100000000000003</v>
      </c>
      <c r="K143" s="135">
        <f t="shared" si="12"/>
        <v>4.200000000000003</v>
      </c>
      <c r="L143" s="135">
        <f t="shared" si="12"/>
        <v>4.3000000000000025</v>
      </c>
      <c r="M143" s="135">
        <f t="shared" si="12"/>
        <v>4.400000000000002</v>
      </c>
      <c r="N143" s="135">
        <f t="shared" si="12"/>
        <v>4.500000000000002</v>
      </c>
      <c r="O143" s="135">
        <f t="shared" si="12"/>
        <v>4.600000000000001</v>
      </c>
      <c r="P143" s="135">
        <f t="shared" si="12"/>
        <v>4.700000000000001</v>
      </c>
      <c r="Q143" s="135">
        <f t="shared" si="12"/>
        <v>4.800000000000001</v>
      </c>
      <c r="R143" s="135">
        <f>S143-$E$130</f>
        <v>4.9</v>
      </c>
      <c r="S143" s="136">
        <f>E62</f>
        <v>5</v>
      </c>
      <c r="T143" s="135">
        <f>S143+$E$130</f>
        <v>5.1</v>
      </c>
      <c r="U143" s="135">
        <f aca="true" t="shared" si="13" ref="U143:AJ143">T143+$E$130</f>
        <v>5.199999999999999</v>
      </c>
      <c r="V143" s="135">
        <f t="shared" si="13"/>
        <v>5.299999999999999</v>
      </c>
      <c r="W143" s="135">
        <f t="shared" si="13"/>
        <v>5.399999999999999</v>
      </c>
      <c r="X143" s="135">
        <f t="shared" si="13"/>
        <v>5.499999999999998</v>
      </c>
      <c r="Y143" s="135">
        <f t="shared" si="13"/>
        <v>5.599999999999998</v>
      </c>
      <c r="Z143" s="135">
        <f t="shared" si="13"/>
        <v>5.6999999999999975</v>
      </c>
      <c r="AA143" s="135">
        <f t="shared" si="13"/>
        <v>5.799999999999997</v>
      </c>
      <c r="AB143" s="135">
        <f t="shared" si="13"/>
        <v>5.899999999999997</v>
      </c>
      <c r="AC143" s="135">
        <f t="shared" si="13"/>
        <v>5.9999999999999964</v>
      </c>
      <c r="AD143" s="135">
        <f t="shared" si="13"/>
        <v>6.099999999999996</v>
      </c>
      <c r="AE143" s="135">
        <f t="shared" si="13"/>
        <v>6.199999999999996</v>
      </c>
      <c r="AF143" s="135">
        <f t="shared" si="13"/>
        <v>6.299999999999995</v>
      </c>
      <c r="AG143" s="135">
        <f t="shared" si="13"/>
        <v>6.399999999999995</v>
      </c>
      <c r="AH143" s="135">
        <f t="shared" si="13"/>
        <v>6.499999999999995</v>
      </c>
      <c r="AI143" s="135">
        <f t="shared" si="13"/>
        <v>6.599999999999994</v>
      </c>
      <c r="AJ143" s="135">
        <f t="shared" si="13"/>
        <v>6.699999999999994</v>
      </c>
    </row>
    <row r="144" spans="1:36" ht="12.75">
      <c r="A144" s="238" t="s">
        <v>226</v>
      </c>
      <c r="B144" s="132" t="s">
        <v>213</v>
      </c>
      <c r="C144" s="137">
        <f>IF(C143&gt;$E$60,$E$61,C143-$E$60+$E$61)</f>
        <v>-0.899999999999997</v>
      </c>
      <c r="D144" s="137">
        <f aca="true" t="shared" si="14" ref="D144:AJ144">IF(D143&gt;$E$60,$E$61,D143-$E$60+$E$61)</f>
        <v>-0.7999999999999969</v>
      </c>
      <c r="E144" s="137">
        <f t="shared" si="14"/>
        <v>-0.6999999999999968</v>
      </c>
      <c r="F144" s="137">
        <f t="shared" si="14"/>
        <v>-0.5999999999999968</v>
      </c>
      <c r="G144" s="137">
        <f t="shared" si="14"/>
        <v>-0.4999999999999966</v>
      </c>
      <c r="H144" s="137">
        <f t="shared" si="14"/>
        <v>-0.3999999999999965</v>
      </c>
      <c r="I144" s="137">
        <f t="shared" si="14"/>
        <v>-0.29999999999999644</v>
      </c>
      <c r="J144" s="137">
        <f t="shared" si="14"/>
        <v>-0.1999999999999968</v>
      </c>
      <c r="K144" s="137">
        <f t="shared" si="14"/>
        <v>-0.09999999999999715</v>
      </c>
      <c r="L144" s="137">
        <f t="shared" si="14"/>
        <v>2.4980018054066022E-15</v>
      </c>
      <c r="M144" s="137">
        <f t="shared" si="14"/>
        <v>0.10000000000000214</v>
      </c>
      <c r="N144" s="137">
        <f t="shared" si="14"/>
        <v>0.2000000000000018</v>
      </c>
      <c r="O144" s="137">
        <f t="shared" si="14"/>
        <v>0.2</v>
      </c>
      <c r="P144" s="137">
        <f t="shared" si="14"/>
        <v>0.2</v>
      </c>
      <c r="Q144" s="137">
        <f t="shared" si="14"/>
        <v>0.2</v>
      </c>
      <c r="R144" s="137">
        <f t="shared" si="14"/>
        <v>0.2</v>
      </c>
      <c r="S144" s="137">
        <f t="shared" si="14"/>
        <v>0.2</v>
      </c>
      <c r="T144" s="137">
        <f t="shared" si="14"/>
        <v>0.2</v>
      </c>
      <c r="U144" s="137">
        <f t="shared" si="14"/>
        <v>0.2</v>
      </c>
      <c r="V144" s="137">
        <f t="shared" si="14"/>
        <v>0.2</v>
      </c>
      <c r="W144" s="137">
        <f t="shared" si="14"/>
        <v>0.2</v>
      </c>
      <c r="X144" s="137">
        <f t="shared" si="14"/>
        <v>0.2</v>
      </c>
      <c r="Y144" s="137">
        <f t="shared" si="14"/>
        <v>0.2</v>
      </c>
      <c r="Z144" s="137">
        <f t="shared" si="14"/>
        <v>0.2</v>
      </c>
      <c r="AA144" s="137">
        <f t="shared" si="14"/>
        <v>0.2</v>
      </c>
      <c r="AB144" s="137">
        <f t="shared" si="14"/>
        <v>0.2</v>
      </c>
      <c r="AC144" s="137">
        <f t="shared" si="14"/>
        <v>0.2</v>
      </c>
      <c r="AD144" s="137">
        <f t="shared" si="14"/>
        <v>0.2</v>
      </c>
      <c r="AE144" s="137">
        <f t="shared" si="14"/>
        <v>0.2</v>
      </c>
      <c r="AF144" s="137">
        <f t="shared" si="14"/>
        <v>0.2</v>
      </c>
      <c r="AG144" s="137">
        <f t="shared" si="14"/>
        <v>0.2</v>
      </c>
      <c r="AH144" s="137">
        <f t="shared" si="14"/>
        <v>0.2</v>
      </c>
      <c r="AI144" s="137">
        <f t="shared" si="14"/>
        <v>0.2</v>
      </c>
      <c r="AJ144" s="137">
        <f t="shared" si="14"/>
        <v>0.2</v>
      </c>
    </row>
    <row r="145" spans="1:36" ht="12.75">
      <c r="A145" s="238"/>
      <c r="B145" s="132" t="s">
        <v>211</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row>
    <row r="146" spans="1:36" ht="12.75">
      <c r="A146" s="238"/>
      <c r="B146" s="132" t="s">
        <v>212</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row>
    <row r="147" spans="2:36" ht="12.75">
      <c r="B147" s="132"/>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row>
    <row r="148" ht="12.75">
      <c r="B148" s="132"/>
    </row>
    <row r="149" spans="1:36" ht="12.75">
      <c r="A149" s="9" t="s">
        <v>26</v>
      </c>
      <c r="B149" s="132"/>
      <c r="C149" s="135">
        <f aca="true" t="shared" si="15" ref="C149:Q149">D149-$E$130</f>
        <v>1.3999999999999986</v>
      </c>
      <c r="D149" s="135">
        <f t="shared" si="15"/>
        <v>1.4999999999999987</v>
      </c>
      <c r="E149" s="135">
        <f t="shared" si="15"/>
        <v>1.5999999999999988</v>
      </c>
      <c r="F149" s="135">
        <f t="shared" si="15"/>
        <v>1.6999999999999988</v>
      </c>
      <c r="G149" s="135">
        <f t="shared" si="15"/>
        <v>1.799999999999999</v>
      </c>
      <c r="H149" s="135">
        <f t="shared" si="15"/>
        <v>1.899999999999999</v>
      </c>
      <c r="I149" s="135">
        <f t="shared" si="15"/>
        <v>1.9999999999999991</v>
      </c>
      <c r="J149" s="135">
        <f t="shared" si="15"/>
        <v>2.099999999999999</v>
      </c>
      <c r="K149" s="135">
        <f t="shared" si="15"/>
        <v>2.1999999999999993</v>
      </c>
      <c r="L149" s="135">
        <f t="shared" si="15"/>
        <v>2.2999999999999994</v>
      </c>
      <c r="M149" s="135">
        <f t="shared" si="15"/>
        <v>2.3999999999999995</v>
      </c>
      <c r="N149" s="135">
        <f t="shared" si="15"/>
        <v>2.4999999999999996</v>
      </c>
      <c r="O149" s="135">
        <f t="shared" si="15"/>
        <v>2.5999999999999996</v>
      </c>
      <c r="P149" s="135">
        <f t="shared" si="15"/>
        <v>2.6999999999999997</v>
      </c>
      <c r="Q149" s="135">
        <f t="shared" si="15"/>
        <v>2.8</v>
      </c>
      <c r="R149" s="135">
        <f>S149-$E$130</f>
        <v>2.9</v>
      </c>
      <c r="S149" s="136">
        <f>E84</f>
        <v>3</v>
      </c>
      <c r="T149" s="135">
        <f>S149+$E$130</f>
        <v>3.1</v>
      </c>
      <c r="U149" s="135">
        <f aca="true" t="shared" si="16" ref="U149:AJ149">T149+$E$130</f>
        <v>3.2</v>
      </c>
      <c r="V149" s="135">
        <f t="shared" si="16"/>
        <v>3.3000000000000003</v>
      </c>
      <c r="W149" s="135">
        <f t="shared" si="16"/>
        <v>3.4000000000000004</v>
      </c>
      <c r="X149" s="135">
        <f t="shared" si="16"/>
        <v>3.5000000000000004</v>
      </c>
      <c r="Y149" s="135">
        <f t="shared" si="16"/>
        <v>3.6000000000000005</v>
      </c>
      <c r="Z149" s="135">
        <f t="shared" si="16"/>
        <v>3.7000000000000006</v>
      </c>
      <c r="AA149" s="135">
        <f t="shared" si="16"/>
        <v>3.8000000000000007</v>
      </c>
      <c r="AB149" s="135">
        <f t="shared" si="16"/>
        <v>3.900000000000001</v>
      </c>
      <c r="AC149" s="135">
        <f t="shared" si="16"/>
        <v>4.000000000000001</v>
      </c>
      <c r="AD149" s="135">
        <f t="shared" si="16"/>
        <v>4.1000000000000005</v>
      </c>
      <c r="AE149" s="135">
        <f t="shared" si="16"/>
        <v>4.2</v>
      </c>
      <c r="AF149" s="135">
        <f t="shared" si="16"/>
        <v>4.3</v>
      </c>
      <c r="AG149" s="135">
        <f t="shared" si="16"/>
        <v>4.3999999999999995</v>
      </c>
      <c r="AH149" s="135">
        <f t="shared" si="16"/>
        <v>4.499999999999999</v>
      </c>
      <c r="AI149" s="135">
        <f t="shared" si="16"/>
        <v>4.599999999999999</v>
      </c>
      <c r="AJ149" s="135">
        <f t="shared" si="16"/>
        <v>4.699999999999998</v>
      </c>
    </row>
    <row r="150" spans="1:36" ht="12.75">
      <c r="A150" s="238" t="s">
        <v>226</v>
      </c>
      <c r="B150" s="132" t="s">
        <v>213</v>
      </c>
      <c r="C150" s="137">
        <f>IF(C149&lt;$E$82,$E$83,$E$82-C149+$E$83)</f>
        <v>0.2</v>
      </c>
      <c r="D150" s="137">
        <f aca="true" t="shared" si="17" ref="D150:AJ150">IF(D149&lt;$E$82,$E$83,$E$82-D149+$E$83)</f>
        <v>0.2</v>
      </c>
      <c r="E150" s="137">
        <f t="shared" si="17"/>
        <v>0.2</v>
      </c>
      <c r="F150" s="137">
        <f t="shared" si="17"/>
        <v>0.2</v>
      </c>
      <c r="G150" s="137">
        <f t="shared" si="17"/>
        <v>0.2</v>
      </c>
      <c r="H150" s="137">
        <f t="shared" si="17"/>
        <v>0.2</v>
      </c>
      <c r="I150" s="137">
        <f t="shared" si="17"/>
        <v>0.2</v>
      </c>
      <c r="J150" s="137">
        <f t="shared" si="17"/>
        <v>0.2</v>
      </c>
      <c r="K150" s="137">
        <f t="shared" si="17"/>
        <v>0.2</v>
      </c>
      <c r="L150" s="137">
        <f t="shared" si="17"/>
        <v>0.2</v>
      </c>
      <c r="M150" s="137">
        <f t="shared" si="17"/>
        <v>0.2</v>
      </c>
      <c r="N150" s="137">
        <f t="shared" si="17"/>
        <v>0.2</v>
      </c>
      <c r="O150" s="137">
        <f t="shared" si="17"/>
        <v>0.2</v>
      </c>
      <c r="P150" s="137">
        <f t="shared" si="17"/>
        <v>0.2</v>
      </c>
      <c r="Q150" s="137">
        <f t="shared" si="17"/>
        <v>0.2</v>
      </c>
      <c r="R150" s="137">
        <f t="shared" si="17"/>
        <v>0.2</v>
      </c>
      <c r="S150" s="137">
        <f t="shared" si="17"/>
        <v>0.2</v>
      </c>
      <c r="T150" s="137">
        <f t="shared" si="17"/>
        <v>0.2</v>
      </c>
      <c r="U150" s="137">
        <f t="shared" si="17"/>
        <v>0.2</v>
      </c>
      <c r="V150" s="137">
        <f t="shared" si="17"/>
        <v>0.2</v>
      </c>
      <c r="W150" s="137">
        <f t="shared" si="17"/>
        <v>0.2</v>
      </c>
      <c r="X150" s="137">
        <f t="shared" si="17"/>
        <v>0.14999999999999974</v>
      </c>
      <c r="Y150" s="137">
        <f t="shared" si="17"/>
        <v>0.049999999999999656</v>
      </c>
      <c r="Z150" s="137">
        <f t="shared" si="17"/>
        <v>-0.05000000000000043</v>
      </c>
      <c r="AA150" s="137">
        <f t="shared" si="17"/>
        <v>-0.15000000000000052</v>
      </c>
      <c r="AB150" s="137">
        <f t="shared" si="17"/>
        <v>-0.2500000000000006</v>
      </c>
      <c r="AC150" s="137">
        <f t="shared" si="17"/>
        <v>-0.3500000000000007</v>
      </c>
      <c r="AD150" s="137">
        <f t="shared" si="17"/>
        <v>-0.45000000000000034</v>
      </c>
      <c r="AE150" s="137">
        <f t="shared" si="17"/>
        <v>-0.55</v>
      </c>
      <c r="AF150" s="137">
        <f t="shared" si="17"/>
        <v>-0.6499999999999997</v>
      </c>
      <c r="AG150" s="137">
        <f t="shared" si="17"/>
        <v>-0.7499999999999993</v>
      </c>
      <c r="AH150" s="137">
        <f t="shared" si="17"/>
        <v>-0.849999999999999</v>
      </c>
      <c r="AI150" s="137">
        <f t="shared" si="17"/>
        <v>-0.9499999999999986</v>
      </c>
      <c r="AJ150" s="137">
        <f t="shared" si="17"/>
        <v>-1.0499999999999983</v>
      </c>
    </row>
    <row r="151" spans="1:36" ht="12.75">
      <c r="A151" s="238"/>
      <c r="B151" s="132" t="s">
        <v>211</v>
      </c>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row>
    <row r="152" spans="1:36" ht="12.75">
      <c r="A152" s="238"/>
      <c r="B152" s="132" t="s">
        <v>212</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row>
    <row r="153" spans="3:36" ht="12.75">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row>
  </sheetData>
  <mergeCells count="22">
    <mergeCell ref="A133:A135"/>
    <mergeCell ref="A138:A140"/>
    <mergeCell ref="A150:A152"/>
    <mergeCell ref="A144:A146"/>
    <mergeCell ref="C86:E86"/>
    <mergeCell ref="C87:E87"/>
    <mergeCell ref="C64:E64"/>
    <mergeCell ref="C65:E65"/>
    <mergeCell ref="C79:E79"/>
    <mergeCell ref="C80:E80"/>
    <mergeCell ref="C57:E57"/>
    <mergeCell ref="C58:E58"/>
    <mergeCell ref="C43:E43"/>
    <mergeCell ref="C44:E44"/>
    <mergeCell ref="C50:E50"/>
    <mergeCell ref="C14:E14"/>
    <mergeCell ref="C15:E15"/>
    <mergeCell ref="C34:E34"/>
    <mergeCell ref="C35:E35"/>
    <mergeCell ref="C22:E22"/>
    <mergeCell ref="C23:E23"/>
    <mergeCell ref="C31:E31"/>
  </mergeCells>
  <printOptions headings="1" horizontalCentered="1"/>
  <pageMargins left="0.5" right="0.5" top="1" bottom="1" header="0.5" footer="0.5"/>
  <pageSetup fitToHeight="1" fitToWidth="1" horizontalDpi="300" verticalDpi="300" orientation="portrait" scale="8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88"/>
  <sheetViews>
    <sheetView showGridLines="0" workbookViewId="0" topLeftCell="A1">
      <selection activeCell="C10" sqref="C10"/>
    </sheetView>
  </sheetViews>
  <sheetFormatPr defaultColWidth="9.140625" defaultRowHeight="12.75"/>
  <cols>
    <col min="1" max="1" width="4.8515625" style="0" customWidth="1"/>
    <col min="2" max="2" width="15.28125" style="0" customWidth="1"/>
    <col min="3" max="3" width="11.57421875" style="0" customWidth="1"/>
    <col min="4" max="4" width="12.28125" style="0" customWidth="1"/>
    <col min="5" max="5" width="10.28125" style="0" customWidth="1"/>
    <col min="6" max="6" width="10.140625" style="0" customWidth="1"/>
    <col min="7" max="7" width="11.57421875" style="0" customWidth="1"/>
    <col min="8" max="8" width="10.140625" style="0" customWidth="1"/>
  </cols>
  <sheetData>
    <row r="1" spans="1:11" ht="12.75">
      <c r="A1" s="154"/>
      <c r="B1" s="154"/>
      <c r="C1" s="154"/>
      <c r="D1" s="154"/>
      <c r="E1" s="154"/>
      <c r="F1" s="154"/>
      <c r="G1" s="154"/>
      <c r="H1" s="154"/>
      <c r="I1" s="154"/>
      <c r="J1" s="102"/>
      <c r="K1" s="102"/>
    </row>
    <row r="2" spans="1:11" ht="12.75">
      <c r="A2" s="154"/>
      <c r="B2" s="154"/>
      <c r="C2" s="154"/>
      <c r="D2" s="154"/>
      <c r="E2" s="154"/>
      <c r="F2" s="154"/>
      <c r="G2" s="154"/>
      <c r="H2" s="154"/>
      <c r="I2" s="154"/>
      <c r="J2" s="102"/>
      <c r="K2" s="102"/>
    </row>
    <row r="3" spans="1:11" ht="12.75">
      <c r="A3" s="154"/>
      <c r="B3" s="154"/>
      <c r="C3" s="154"/>
      <c r="D3" s="154"/>
      <c r="E3" s="154"/>
      <c r="F3" s="154"/>
      <c r="G3" s="154"/>
      <c r="H3" s="154"/>
      <c r="I3" s="154"/>
      <c r="J3" s="102"/>
      <c r="K3" s="102"/>
    </row>
    <row r="4" spans="1:11" ht="12.75">
      <c r="A4" s="154"/>
      <c r="B4" s="154"/>
      <c r="C4" s="154"/>
      <c r="D4" s="154"/>
      <c r="E4" s="154"/>
      <c r="F4" s="154"/>
      <c r="G4" s="154"/>
      <c r="H4" s="154"/>
      <c r="I4" s="154"/>
      <c r="J4" s="102"/>
      <c r="K4" s="102"/>
    </row>
    <row r="5" spans="1:11" ht="12.75">
      <c r="A5" s="155"/>
      <c r="B5" s="156"/>
      <c r="C5" s="156"/>
      <c r="D5" s="156"/>
      <c r="E5" s="156"/>
      <c r="F5" s="156"/>
      <c r="G5" s="157"/>
      <c r="H5" s="157"/>
      <c r="I5" s="157"/>
      <c r="J5" s="11"/>
      <c r="K5" s="102"/>
    </row>
    <row r="6" spans="1:11" ht="12.75">
      <c r="A6" s="157"/>
      <c r="B6" s="157"/>
      <c r="C6" s="157"/>
      <c r="D6" s="157"/>
      <c r="E6" s="157"/>
      <c r="F6" s="157"/>
      <c r="G6" s="157"/>
      <c r="H6" s="157"/>
      <c r="I6" s="157"/>
      <c r="J6" s="11"/>
      <c r="K6" s="102"/>
    </row>
    <row r="7" spans="1:11" ht="12.75">
      <c r="A7" s="158" t="s">
        <v>42</v>
      </c>
      <c r="B7" s="159" t="s">
        <v>43</v>
      </c>
      <c r="C7" s="158" t="s">
        <v>44</v>
      </c>
      <c r="D7" s="160">
        <v>26</v>
      </c>
      <c r="E7" s="157"/>
      <c r="F7" s="154"/>
      <c r="G7" s="161" t="s">
        <v>265</v>
      </c>
      <c r="H7" s="160">
        <v>1000</v>
      </c>
      <c r="I7" s="157"/>
      <c r="J7" s="11"/>
      <c r="K7" s="102"/>
    </row>
    <row r="8" spans="1:11" ht="12.75">
      <c r="A8" s="162" t="s">
        <v>45</v>
      </c>
      <c r="B8" s="163"/>
      <c r="C8" s="163"/>
      <c r="D8" s="163"/>
      <c r="E8" s="163"/>
      <c r="F8" s="163"/>
      <c r="G8" s="163"/>
      <c r="H8" s="163"/>
      <c r="I8" s="157"/>
      <c r="J8" s="11"/>
      <c r="K8" s="102"/>
    </row>
    <row r="9" spans="1:11" ht="12.75">
      <c r="A9" s="157"/>
      <c r="B9" s="157"/>
      <c r="C9" s="157"/>
      <c r="D9" s="157"/>
      <c r="E9" s="164" t="s">
        <v>46</v>
      </c>
      <c r="F9" s="164" t="s">
        <v>47</v>
      </c>
      <c r="G9" s="157"/>
      <c r="H9" s="157"/>
      <c r="I9" s="157"/>
      <c r="J9" s="11"/>
      <c r="K9" s="102"/>
    </row>
    <row r="10" spans="1:11" ht="12.75">
      <c r="A10" s="155" t="s">
        <v>48</v>
      </c>
      <c r="B10" s="157"/>
      <c r="C10" s="157"/>
      <c r="D10" s="157"/>
      <c r="E10" s="164" t="s">
        <v>49</v>
      </c>
      <c r="F10" s="164" t="s">
        <v>49</v>
      </c>
      <c r="G10" s="164" t="s">
        <v>50</v>
      </c>
      <c r="H10" s="164" t="s">
        <v>51</v>
      </c>
      <c r="I10" s="157"/>
      <c r="J10" s="11"/>
      <c r="K10" s="102"/>
    </row>
    <row r="11" spans="1:11" ht="12.75">
      <c r="A11" s="157"/>
      <c r="B11" s="158" t="s">
        <v>52</v>
      </c>
      <c r="C11" s="157"/>
      <c r="D11" s="157"/>
      <c r="E11" s="165" t="s">
        <v>53</v>
      </c>
      <c r="F11" s="166">
        <v>6</v>
      </c>
      <c r="G11" s="160">
        <v>1</v>
      </c>
      <c r="H11" s="167">
        <f>F11*G11</f>
        <v>6</v>
      </c>
      <c r="I11" s="157"/>
      <c r="J11" s="11"/>
      <c r="K11" s="102"/>
    </row>
    <row r="12" spans="1:11" ht="12.75">
      <c r="A12" s="157"/>
      <c r="B12" s="158" t="s">
        <v>54</v>
      </c>
      <c r="C12" s="157"/>
      <c r="D12" s="157"/>
      <c r="E12" s="165" t="s">
        <v>49</v>
      </c>
      <c r="F12" s="166">
        <v>3.5</v>
      </c>
      <c r="G12" s="160">
        <v>1</v>
      </c>
      <c r="H12" s="167">
        <f aca="true" t="shared" si="0" ref="H12:H20">(F12*G12)</f>
        <v>3.5</v>
      </c>
      <c r="I12" s="157"/>
      <c r="J12" s="11"/>
      <c r="K12" s="102"/>
    </row>
    <row r="13" spans="1:11" ht="12.75">
      <c r="A13" s="157"/>
      <c r="B13" s="164" t="s">
        <v>55</v>
      </c>
      <c r="C13" s="157"/>
      <c r="D13" s="157"/>
      <c r="E13" s="165" t="s">
        <v>49</v>
      </c>
      <c r="F13" s="166">
        <v>0</v>
      </c>
      <c r="G13" s="160">
        <v>1</v>
      </c>
      <c r="H13" s="167">
        <f t="shared" si="0"/>
        <v>0</v>
      </c>
      <c r="I13" s="157"/>
      <c r="J13" s="11"/>
      <c r="K13" s="102"/>
    </row>
    <row r="14" spans="1:11" ht="12.75">
      <c r="A14" s="157"/>
      <c r="B14" s="164" t="s">
        <v>55</v>
      </c>
      <c r="C14" s="157"/>
      <c r="D14" s="157"/>
      <c r="E14" s="165" t="s">
        <v>49</v>
      </c>
      <c r="F14" s="166">
        <v>0</v>
      </c>
      <c r="G14" s="160">
        <v>1</v>
      </c>
      <c r="H14" s="167">
        <f t="shared" si="0"/>
        <v>0</v>
      </c>
      <c r="I14" s="157"/>
      <c r="J14" s="11"/>
      <c r="K14" s="102"/>
    </row>
    <row r="15" spans="1:11" ht="12.75">
      <c r="A15" s="157"/>
      <c r="B15" s="158" t="s">
        <v>56</v>
      </c>
      <c r="C15" s="157"/>
      <c r="D15" s="157"/>
      <c r="E15" s="165" t="s">
        <v>57</v>
      </c>
      <c r="F15" s="166">
        <v>0</v>
      </c>
      <c r="G15" s="160">
        <v>1</v>
      </c>
      <c r="H15" s="167">
        <f t="shared" si="0"/>
        <v>0</v>
      </c>
      <c r="I15" s="157"/>
      <c r="J15" s="11"/>
      <c r="K15" s="102"/>
    </row>
    <row r="16" spans="1:11" ht="12.75">
      <c r="A16" s="157"/>
      <c r="B16" s="158" t="s">
        <v>58</v>
      </c>
      <c r="C16" s="157"/>
      <c r="D16" s="159" t="s">
        <v>59</v>
      </c>
      <c r="E16" s="165" t="s">
        <v>60</v>
      </c>
      <c r="F16" s="168">
        <v>0.25</v>
      </c>
      <c r="G16" s="160">
        <v>80</v>
      </c>
      <c r="H16" s="167">
        <f t="shared" si="0"/>
        <v>20</v>
      </c>
      <c r="I16" s="157"/>
      <c r="J16" s="11"/>
      <c r="K16" s="102"/>
    </row>
    <row r="17" spans="1:11" ht="12.75">
      <c r="A17" s="157"/>
      <c r="B17" s="157"/>
      <c r="C17" s="157"/>
      <c r="D17" s="159" t="s">
        <v>61</v>
      </c>
      <c r="E17" s="165" t="s">
        <v>60</v>
      </c>
      <c r="F17" s="168">
        <v>0</v>
      </c>
      <c r="G17" s="160">
        <v>0</v>
      </c>
      <c r="H17" s="167">
        <f t="shared" si="0"/>
        <v>0</v>
      </c>
      <c r="I17" s="157"/>
      <c r="J17" s="11"/>
      <c r="K17" s="102"/>
    </row>
    <row r="18" spans="1:11" ht="12.75">
      <c r="A18" s="157"/>
      <c r="B18" s="164" t="s">
        <v>55</v>
      </c>
      <c r="C18" s="157"/>
      <c r="D18" s="159" t="s">
        <v>62</v>
      </c>
      <c r="E18" s="165" t="s">
        <v>60</v>
      </c>
      <c r="F18" s="168">
        <v>0</v>
      </c>
      <c r="G18" s="160">
        <v>0</v>
      </c>
      <c r="H18" s="167">
        <f t="shared" si="0"/>
        <v>0</v>
      </c>
      <c r="I18" s="157"/>
      <c r="J18" s="11"/>
      <c r="K18" s="102"/>
    </row>
    <row r="19" spans="1:11" ht="12.75">
      <c r="A19" s="157"/>
      <c r="B19" s="158" t="s">
        <v>63</v>
      </c>
      <c r="C19" s="157"/>
      <c r="D19" s="157"/>
      <c r="E19" s="165" t="s">
        <v>57</v>
      </c>
      <c r="F19" s="166">
        <v>1.5</v>
      </c>
      <c r="G19" s="160">
        <v>1</v>
      </c>
      <c r="H19" s="167">
        <f t="shared" si="0"/>
        <v>1.5</v>
      </c>
      <c r="I19" s="157"/>
      <c r="J19" s="11"/>
      <c r="K19" s="102"/>
    </row>
    <row r="20" spans="1:11" ht="12.75">
      <c r="A20" s="157"/>
      <c r="B20" s="158" t="s">
        <v>64</v>
      </c>
      <c r="C20" s="157"/>
      <c r="D20" s="157"/>
      <c r="E20" s="165" t="s">
        <v>247</v>
      </c>
      <c r="F20" s="166">
        <v>5.5</v>
      </c>
      <c r="G20" s="160">
        <v>1</v>
      </c>
      <c r="H20" s="167">
        <f t="shared" si="0"/>
        <v>5.5</v>
      </c>
      <c r="I20" s="157"/>
      <c r="J20" s="11"/>
      <c r="K20" s="102"/>
    </row>
    <row r="21" spans="1:11" ht="12.75">
      <c r="A21" s="157"/>
      <c r="B21" s="158" t="s">
        <v>65</v>
      </c>
      <c r="C21" s="157"/>
      <c r="D21" s="157"/>
      <c r="E21" s="169"/>
      <c r="F21" s="170" t="s">
        <v>66</v>
      </c>
      <c r="G21" s="171"/>
      <c r="H21" s="157"/>
      <c r="I21" s="157"/>
      <c r="J21" s="11"/>
      <c r="K21" s="102"/>
    </row>
    <row r="22" spans="1:11" ht="12.75">
      <c r="A22" s="157"/>
      <c r="B22" s="158" t="s">
        <v>67</v>
      </c>
      <c r="C22" s="157"/>
      <c r="D22" s="157"/>
      <c r="E22" s="165" t="s">
        <v>57</v>
      </c>
      <c r="F22" s="166">
        <v>2.68</v>
      </c>
      <c r="G22" s="160">
        <v>1</v>
      </c>
      <c r="H22" s="167">
        <f>(F22*G22)</f>
        <v>2.68</v>
      </c>
      <c r="I22" s="157"/>
      <c r="J22" s="11"/>
      <c r="K22" s="102"/>
    </row>
    <row r="23" spans="1:11" ht="12.75">
      <c r="A23" s="157"/>
      <c r="B23" s="158" t="s">
        <v>68</v>
      </c>
      <c r="C23" s="157"/>
      <c r="D23" s="157"/>
      <c r="E23" s="169"/>
      <c r="F23" s="170" t="s">
        <v>66</v>
      </c>
      <c r="G23" s="171"/>
      <c r="H23" s="157"/>
      <c r="I23" s="157"/>
      <c r="J23" s="11"/>
      <c r="K23" s="102"/>
    </row>
    <row r="24" spans="1:11" ht="12.75">
      <c r="A24" s="157"/>
      <c r="B24" s="158" t="s">
        <v>69</v>
      </c>
      <c r="C24" s="157"/>
      <c r="D24" s="157"/>
      <c r="E24" s="165" t="s">
        <v>57</v>
      </c>
      <c r="F24" s="166">
        <v>2.17</v>
      </c>
      <c r="G24" s="160">
        <v>1</v>
      </c>
      <c r="H24" s="167">
        <f>(F24*G24)</f>
        <v>2.17</v>
      </c>
      <c r="I24" s="157"/>
      <c r="J24" s="11"/>
      <c r="K24" s="102"/>
    </row>
    <row r="25" spans="1:11" ht="12.75">
      <c r="A25" s="157"/>
      <c r="B25" s="158" t="s">
        <v>68</v>
      </c>
      <c r="C25" s="157"/>
      <c r="D25" s="157"/>
      <c r="E25" s="169"/>
      <c r="F25" s="170" t="s">
        <v>66</v>
      </c>
      <c r="G25" s="171"/>
      <c r="H25" s="157"/>
      <c r="I25" s="157"/>
      <c r="J25" s="11"/>
      <c r="K25" s="102"/>
    </row>
    <row r="26" spans="1:11" ht="12.75">
      <c r="A26" s="157"/>
      <c r="B26" s="158" t="s">
        <v>70</v>
      </c>
      <c r="C26" s="157"/>
      <c r="D26" s="157"/>
      <c r="E26" s="169"/>
      <c r="F26" s="170" t="s">
        <v>66</v>
      </c>
      <c r="G26" s="171"/>
      <c r="H26" s="157"/>
      <c r="I26" s="157"/>
      <c r="J26" s="11"/>
      <c r="K26" s="102"/>
    </row>
    <row r="27" spans="1:11" ht="12.75">
      <c r="A27" s="157"/>
      <c r="B27" s="158" t="s">
        <v>71</v>
      </c>
      <c r="C27" s="157"/>
      <c r="D27" s="157"/>
      <c r="E27" s="165" t="s">
        <v>57</v>
      </c>
      <c r="F27" s="166">
        <v>7.5</v>
      </c>
      <c r="G27" s="160">
        <v>0.5</v>
      </c>
      <c r="H27" s="167">
        <f>(F27*G27)</f>
        <v>3.75</v>
      </c>
      <c r="I27" s="157"/>
      <c r="J27" s="11"/>
      <c r="K27" s="102"/>
    </row>
    <row r="28" spans="1:11" ht="12.75">
      <c r="A28" s="157"/>
      <c r="B28" s="158" t="s">
        <v>72</v>
      </c>
      <c r="C28" s="157"/>
      <c r="D28" s="157"/>
      <c r="E28" s="165" t="s">
        <v>57</v>
      </c>
      <c r="F28" s="166">
        <f>7.5*0.17</f>
        <v>1.2750000000000001</v>
      </c>
      <c r="G28" s="160">
        <v>1</v>
      </c>
      <c r="H28" s="167">
        <f>(F28*G28)</f>
        <v>1.2750000000000001</v>
      </c>
      <c r="I28" s="157"/>
      <c r="J28" s="11"/>
      <c r="K28" s="102"/>
    </row>
    <row r="29" spans="1:11" ht="12.75">
      <c r="A29" s="157"/>
      <c r="B29" s="158" t="s">
        <v>73</v>
      </c>
      <c r="C29" s="157"/>
      <c r="D29" s="157"/>
      <c r="E29" s="165" t="s">
        <v>57</v>
      </c>
      <c r="F29" s="166">
        <f>7.5*0.33</f>
        <v>2.475</v>
      </c>
      <c r="G29" s="160">
        <v>1</v>
      </c>
      <c r="H29" s="167">
        <f>(F29*G29)</f>
        <v>2.475</v>
      </c>
      <c r="I29" s="157"/>
      <c r="J29" s="11"/>
      <c r="K29" s="102"/>
    </row>
    <row r="30" spans="1:11" ht="12.75">
      <c r="A30" s="157"/>
      <c r="B30" s="158" t="s">
        <v>74</v>
      </c>
      <c r="C30" s="157"/>
      <c r="D30" s="157"/>
      <c r="E30" s="165" t="s">
        <v>57</v>
      </c>
      <c r="F30" s="166">
        <v>2.93</v>
      </c>
      <c r="G30" s="160">
        <v>1</v>
      </c>
      <c r="H30" s="167">
        <f>(F30*G30)</f>
        <v>2.93</v>
      </c>
      <c r="I30" s="157"/>
      <c r="J30" s="11"/>
      <c r="K30" s="102"/>
    </row>
    <row r="31" spans="1:11" ht="12.75">
      <c r="A31" s="157"/>
      <c r="B31" s="158" t="s">
        <v>75</v>
      </c>
      <c r="C31" s="157"/>
      <c r="D31" s="157"/>
      <c r="E31" s="165" t="s">
        <v>76</v>
      </c>
      <c r="F31" s="160">
        <v>0.1</v>
      </c>
      <c r="G31" s="167">
        <f>SUM(H11:H30)</f>
        <v>51.78</v>
      </c>
      <c r="H31" s="167">
        <f>SUM(H11:H30)*(IF(F31&lt;1,F31,F31/100)/12)*F32</f>
        <v>2.589</v>
      </c>
      <c r="I31" s="157"/>
      <c r="J31" s="11"/>
      <c r="K31" s="102"/>
    </row>
    <row r="32" spans="1:11" ht="12.75">
      <c r="A32" s="157"/>
      <c r="B32" s="158" t="s">
        <v>77</v>
      </c>
      <c r="C32" s="157"/>
      <c r="D32" s="157"/>
      <c r="E32" s="157"/>
      <c r="F32" s="160">
        <v>6</v>
      </c>
      <c r="G32" s="172"/>
      <c r="H32" s="157"/>
      <c r="I32" s="157"/>
      <c r="J32" s="11"/>
      <c r="K32" s="102"/>
    </row>
    <row r="33" spans="1:11" ht="12.75">
      <c r="A33" s="157"/>
      <c r="B33" s="158" t="s">
        <v>78</v>
      </c>
      <c r="C33" s="157"/>
      <c r="D33" s="157"/>
      <c r="E33" s="157"/>
      <c r="F33" s="172"/>
      <c r="G33" s="172"/>
      <c r="H33" s="167">
        <f>SUM(H11:H31)</f>
        <v>54.369</v>
      </c>
      <c r="I33" s="157"/>
      <c r="J33" s="11"/>
      <c r="K33" s="102"/>
    </row>
    <row r="34" spans="1:11" ht="12.75">
      <c r="A34" s="154"/>
      <c r="B34" s="157"/>
      <c r="C34" s="157"/>
      <c r="D34" s="157"/>
      <c r="E34" s="157"/>
      <c r="F34" s="172"/>
      <c r="G34" s="172"/>
      <c r="H34" s="157"/>
      <c r="I34" s="157"/>
      <c r="J34" s="11"/>
      <c r="K34" s="102"/>
    </row>
    <row r="35" spans="1:11" ht="12.75">
      <c r="A35" s="155" t="s">
        <v>79</v>
      </c>
      <c r="B35" s="157"/>
      <c r="C35" s="157"/>
      <c r="D35" s="157"/>
      <c r="E35" s="157"/>
      <c r="F35" s="172"/>
      <c r="G35" s="172"/>
      <c r="H35" s="157"/>
      <c r="I35" s="157"/>
      <c r="J35" s="11"/>
      <c r="K35" s="102"/>
    </row>
    <row r="36" spans="1:11" ht="12.75">
      <c r="A36" s="157"/>
      <c r="B36" s="158" t="s">
        <v>80</v>
      </c>
      <c r="C36" s="157"/>
      <c r="D36" s="157"/>
      <c r="E36" s="165" t="s">
        <v>81</v>
      </c>
      <c r="F36" s="166">
        <v>12.27</v>
      </c>
      <c r="G36" s="160">
        <v>1</v>
      </c>
      <c r="H36" s="167">
        <f>(F36*G36)</f>
        <v>12.27</v>
      </c>
      <c r="I36" s="157"/>
      <c r="J36" s="11"/>
      <c r="K36" s="102"/>
    </row>
    <row r="37" spans="1:11" ht="12.75">
      <c r="A37" s="157"/>
      <c r="B37" s="158" t="s">
        <v>82</v>
      </c>
      <c r="C37" s="157"/>
      <c r="D37" s="157"/>
      <c r="E37" s="165" t="s">
        <v>81</v>
      </c>
      <c r="F37" s="166">
        <v>2.33</v>
      </c>
      <c r="G37" s="160">
        <v>1</v>
      </c>
      <c r="H37" s="167">
        <f>(F37*G37)</f>
        <v>2.33</v>
      </c>
      <c r="I37" s="157"/>
      <c r="J37" s="11"/>
      <c r="K37" s="102"/>
    </row>
    <row r="38" spans="1:11" ht="12.75">
      <c r="A38" s="157"/>
      <c r="B38" s="158" t="s">
        <v>83</v>
      </c>
      <c r="C38" s="157"/>
      <c r="D38" s="157"/>
      <c r="E38" s="165" t="s">
        <v>76</v>
      </c>
      <c r="F38" s="160">
        <v>0.1</v>
      </c>
      <c r="G38" s="173">
        <f>SUM(H36:H37)</f>
        <v>14.6</v>
      </c>
      <c r="H38" s="167">
        <f>SUM(H36+H37)*(IF(F38&lt;1,F38,F38/100)/12)*F39</f>
        <v>0.24333333333333332</v>
      </c>
      <c r="I38" s="157"/>
      <c r="J38" s="11"/>
      <c r="K38" s="102"/>
    </row>
    <row r="39" spans="1:11" ht="12.75">
      <c r="A39" s="157"/>
      <c r="B39" s="158" t="s">
        <v>84</v>
      </c>
      <c r="C39" s="157"/>
      <c r="D39" s="157"/>
      <c r="E39" s="157"/>
      <c r="F39" s="160">
        <v>2</v>
      </c>
      <c r="G39" s="172"/>
      <c r="H39" s="157"/>
      <c r="I39" s="157"/>
      <c r="J39" s="11"/>
      <c r="K39" s="102"/>
    </row>
    <row r="40" spans="1:11" ht="12.75">
      <c r="A40" s="157"/>
      <c r="B40" s="158" t="s">
        <v>85</v>
      </c>
      <c r="C40" s="157"/>
      <c r="D40" s="157"/>
      <c r="E40" s="157"/>
      <c r="F40" s="157"/>
      <c r="G40" s="174"/>
      <c r="H40" s="167">
        <f>SUM(H36:H38)</f>
        <v>14.843333333333334</v>
      </c>
      <c r="I40" s="157"/>
      <c r="J40" s="11"/>
      <c r="K40" s="102"/>
    </row>
    <row r="41" spans="1:11" ht="12.75">
      <c r="A41" s="157"/>
      <c r="B41" s="157"/>
      <c r="C41" s="157"/>
      <c r="D41" s="157"/>
      <c r="E41" s="157"/>
      <c r="F41" s="157"/>
      <c r="G41" s="157"/>
      <c r="H41" s="157"/>
      <c r="I41" s="157"/>
      <c r="J41" s="11"/>
      <c r="K41" s="102"/>
    </row>
    <row r="42" spans="1:11" ht="12.75">
      <c r="A42" s="155" t="s">
        <v>86</v>
      </c>
      <c r="B42" s="157"/>
      <c r="C42" s="157"/>
      <c r="D42" s="157"/>
      <c r="E42" s="157"/>
      <c r="F42" s="157"/>
      <c r="G42" s="157"/>
      <c r="H42" s="167">
        <f>(H33+H40)</f>
        <v>69.21233333333333</v>
      </c>
      <c r="I42" s="157"/>
      <c r="J42" s="11"/>
      <c r="K42" s="102"/>
    </row>
    <row r="43" spans="1:11" ht="12.75">
      <c r="A43" s="157"/>
      <c r="B43" s="158" t="s">
        <v>87</v>
      </c>
      <c r="C43" s="157"/>
      <c r="D43" s="157"/>
      <c r="E43" s="157"/>
      <c r="F43" s="157"/>
      <c r="G43" s="157"/>
      <c r="H43" s="175"/>
      <c r="I43" s="157"/>
      <c r="J43" s="11"/>
      <c r="K43" s="102"/>
    </row>
    <row r="44" spans="1:11" ht="12.75">
      <c r="A44" s="176" t="s">
        <v>88</v>
      </c>
      <c r="B44" s="177"/>
      <c r="C44" s="177"/>
      <c r="D44" s="177"/>
      <c r="E44" s="177"/>
      <c r="F44" s="177"/>
      <c r="G44" s="177"/>
      <c r="H44" s="167">
        <f>(H42/D7)</f>
        <v>2.6620128205128206</v>
      </c>
      <c r="I44" s="157"/>
      <c r="J44" s="11"/>
      <c r="K44" s="102"/>
    </row>
    <row r="45" spans="1:11" ht="12.75">
      <c r="A45" s="158" t="s">
        <v>89</v>
      </c>
      <c r="B45" s="157"/>
      <c r="C45" s="157"/>
      <c r="D45" s="157"/>
      <c r="E45" s="157"/>
      <c r="F45" s="157"/>
      <c r="G45" s="157"/>
      <c r="H45" s="175"/>
      <c r="I45" s="157"/>
      <c r="J45" s="11"/>
      <c r="K45" s="102"/>
    </row>
    <row r="46" spans="1:11" ht="12.75">
      <c r="A46" s="157"/>
      <c r="B46" s="157"/>
      <c r="C46" s="157"/>
      <c r="D46" s="157"/>
      <c r="E46" s="157"/>
      <c r="F46" s="157"/>
      <c r="G46" s="157"/>
      <c r="H46" s="157"/>
      <c r="I46" s="157"/>
      <c r="J46" s="11"/>
      <c r="K46" s="102"/>
    </row>
    <row r="47" spans="1:11" ht="12.75">
      <c r="A47" s="183" t="s">
        <v>237</v>
      </c>
      <c r="B47" s="154"/>
      <c r="C47" s="154"/>
      <c r="D47" s="154"/>
      <c r="E47" s="154"/>
      <c r="F47" s="154"/>
      <c r="G47" s="154"/>
      <c r="H47" s="154"/>
      <c r="I47" s="154"/>
      <c r="J47" s="102"/>
      <c r="K47" s="102"/>
    </row>
    <row r="48" spans="1:11" ht="51">
      <c r="A48" s="154"/>
      <c r="B48" s="183" t="s">
        <v>238</v>
      </c>
      <c r="C48" s="154"/>
      <c r="D48" s="184" t="s">
        <v>276</v>
      </c>
      <c r="E48" s="185" t="s">
        <v>245</v>
      </c>
      <c r="F48" s="184" t="s">
        <v>246</v>
      </c>
      <c r="G48" s="184" t="s">
        <v>261</v>
      </c>
      <c r="H48" s="184" t="s">
        <v>264</v>
      </c>
      <c r="I48" s="185" t="s">
        <v>249</v>
      </c>
      <c r="J48" s="102"/>
      <c r="K48" s="102"/>
    </row>
    <row r="49" spans="1:11" ht="12.75">
      <c r="A49" s="154"/>
      <c r="B49" s="154" t="s">
        <v>240</v>
      </c>
      <c r="C49" s="154"/>
      <c r="D49" s="192">
        <v>25000</v>
      </c>
      <c r="E49" s="192">
        <v>20</v>
      </c>
      <c r="F49" s="192">
        <v>0</v>
      </c>
      <c r="G49" s="193">
        <v>0.4</v>
      </c>
      <c r="H49" s="186">
        <f>IF(E49=0,0,(D49-F49)/E49*G49)</f>
        <v>500</v>
      </c>
      <c r="I49" s="179">
        <f>H49/$H$7</f>
        <v>0.5</v>
      </c>
      <c r="J49" s="102"/>
      <c r="K49" s="102"/>
    </row>
    <row r="50" spans="1:11" ht="12.75">
      <c r="A50" s="154"/>
      <c r="B50" s="154" t="s">
        <v>239</v>
      </c>
      <c r="C50" s="154"/>
      <c r="D50" s="192">
        <v>150000</v>
      </c>
      <c r="E50" s="192">
        <v>10</v>
      </c>
      <c r="F50" s="192">
        <v>25000</v>
      </c>
      <c r="G50" s="193">
        <v>0.4</v>
      </c>
      <c r="H50" s="186">
        <f>IF(E50=0,0,(D50-F50)/E50*G50)</f>
        <v>5000</v>
      </c>
      <c r="I50" s="179">
        <f>H50/$H$7</f>
        <v>5</v>
      </c>
      <c r="J50" s="102"/>
      <c r="K50" s="102"/>
    </row>
    <row r="51" spans="1:11" ht="12.75">
      <c r="A51" s="154"/>
      <c r="B51" s="148" t="s">
        <v>241</v>
      </c>
      <c r="C51" s="148"/>
      <c r="D51" s="192">
        <v>0</v>
      </c>
      <c r="E51" s="192">
        <v>0</v>
      </c>
      <c r="F51" s="192">
        <v>0</v>
      </c>
      <c r="G51" s="193">
        <v>0</v>
      </c>
      <c r="H51" s="186">
        <f>IF(E51=0,0,(D51-F51)/E51*G51)</f>
        <v>0</v>
      </c>
      <c r="I51" s="179">
        <f>H51/$H$7</f>
        <v>0</v>
      </c>
      <c r="J51" s="102"/>
      <c r="K51" s="102"/>
    </row>
    <row r="52" spans="1:11" ht="12.75">
      <c r="A52" s="154"/>
      <c r="B52" s="148" t="s">
        <v>241</v>
      </c>
      <c r="C52" s="148"/>
      <c r="D52" s="192">
        <v>0</v>
      </c>
      <c r="E52" s="192">
        <v>0</v>
      </c>
      <c r="F52" s="192">
        <v>0</v>
      </c>
      <c r="G52" s="193">
        <v>0</v>
      </c>
      <c r="H52" s="186">
        <f>IF(E52=0,0,(D52-F52)/E52*G52)</f>
        <v>0</v>
      </c>
      <c r="I52" s="179">
        <f>H52/$H$7</f>
        <v>0</v>
      </c>
      <c r="J52" s="102"/>
      <c r="K52" s="102"/>
    </row>
    <row r="53" spans="1:11" ht="12.75">
      <c r="A53" s="154"/>
      <c r="B53" s="154"/>
      <c r="C53" s="154"/>
      <c r="D53" s="154"/>
      <c r="E53" s="154"/>
      <c r="F53" s="154"/>
      <c r="G53" s="154"/>
      <c r="H53" s="154"/>
      <c r="I53" s="154"/>
      <c r="J53" s="102"/>
      <c r="K53" s="102"/>
    </row>
    <row r="54" spans="1:11" ht="42" customHeight="1">
      <c r="A54" s="154"/>
      <c r="B54" s="183" t="s">
        <v>242</v>
      </c>
      <c r="C54" s="154"/>
      <c r="D54" s="154"/>
      <c r="E54" s="184" t="s">
        <v>271</v>
      </c>
      <c r="F54" s="184" t="s">
        <v>261</v>
      </c>
      <c r="G54" s="184" t="s">
        <v>264</v>
      </c>
      <c r="H54" s="184" t="s">
        <v>274</v>
      </c>
      <c r="I54" s="154"/>
      <c r="J54" s="102"/>
      <c r="K54" s="102"/>
    </row>
    <row r="55" spans="1:11" ht="12.75">
      <c r="A55" s="154"/>
      <c r="B55" s="154" t="s">
        <v>240</v>
      </c>
      <c r="C55" s="154"/>
      <c r="D55" s="187"/>
      <c r="E55" s="196">
        <v>1000</v>
      </c>
      <c r="F55" s="188">
        <f>G49</f>
        <v>0.4</v>
      </c>
      <c r="G55" s="179">
        <f>E55*F55</f>
        <v>400</v>
      </c>
      <c r="H55" s="179">
        <f>G55/$H$7</f>
        <v>0.4</v>
      </c>
      <c r="I55" s="154"/>
      <c r="J55" s="102"/>
      <c r="K55" s="102"/>
    </row>
    <row r="56" spans="1:11" ht="12.75">
      <c r="A56" s="154"/>
      <c r="B56" s="154" t="s">
        <v>239</v>
      </c>
      <c r="C56" s="154"/>
      <c r="D56" s="187"/>
      <c r="E56" s="196">
        <v>1500</v>
      </c>
      <c r="F56" s="188">
        <f>G50</f>
        <v>0.4</v>
      </c>
      <c r="G56" s="179">
        <f>E56*F56</f>
        <v>600</v>
      </c>
      <c r="H56" s="179">
        <f>G56/$H$7</f>
        <v>0.6</v>
      </c>
      <c r="I56" s="154"/>
      <c r="J56" s="102"/>
      <c r="K56" s="102"/>
    </row>
    <row r="57" spans="1:11" ht="12.75">
      <c r="A57" s="154"/>
      <c r="B57" s="154" t="s">
        <v>262</v>
      </c>
      <c r="C57" s="154"/>
      <c r="D57" s="187"/>
      <c r="E57" s="196">
        <v>2500</v>
      </c>
      <c r="F57" s="193">
        <v>0.5</v>
      </c>
      <c r="G57" s="179">
        <f>E57*F57</f>
        <v>1250</v>
      </c>
      <c r="H57" s="179">
        <f>G57/$H$7</f>
        <v>1.25</v>
      </c>
      <c r="I57" s="154"/>
      <c r="J57" s="102"/>
      <c r="K57" s="102"/>
    </row>
    <row r="58" spans="1:11" ht="12.75">
      <c r="A58" s="154"/>
      <c r="B58" s="148" t="s">
        <v>241</v>
      </c>
      <c r="C58" s="194"/>
      <c r="D58" s="195"/>
      <c r="E58" s="196">
        <v>0</v>
      </c>
      <c r="F58" s="193">
        <v>0</v>
      </c>
      <c r="G58" s="179">
        <f>E58*F58</f>
        <v>0</v>
      </c>
      <c r="H58" s="179">
        <f>G58/$H$7</f>
        <v>0</v>
      </c>
      <c r="I58" s="154"/>
      <c r="J58" s="102"/>
      <c r="K58" s="102"/>
    </row>
    <row r="59" spans="1:11" ht="12.75">
      <c r="A59" s="154"/>
      <c r="B59" s="154"/>
      <c r="C59" s="154"/>
      <c r="D59" s="154"/>
      <c r="E59" s="154"/>
      <c r="F59" s="154"/>
      <c r="G59" s="154"/>
      <c r="H59" s="154"/>
      <c r="I59" s="154"/>
      <c r="J59" s="102"/>
      <c r="K59" s="102"/>
    </row>
    <row r="60" spans="1:11" ht="44.25" customHeight="1">
      <c r="A60" s="154"/>
      <c r="B60" s="183" t="s">
        <v>244</v>
      </c>
      <c r="C60" s="154"/>
      <c r="D60" s="154"/>
      <c r="E60" s="184" t="s">
        <v>271</v>
      </c>
      <c r="F60" s="184" t="s">
        <v>261</v>
      </c>
      <c r="G60" s="184" t="s">
        <v>264</v>
      </c>
      <c r="H60" s="184" t="s">
        <v>274</v>
      </c>
      <c r="I60" s="154"/>
      <c r="J60" s="102"/>
      <c r="K60" s="102"/>
    </row>
    <row r="61" spans="1:11" ht="12.75">
      <c r="A61" s="154"/>
      <c r="B61" s="154" t="s">
        <v>240</v>
      </c>
      <c r="C61" s="154"/>
      <c r="D61" s="187"/>
      <c r="E61" s="192">
        <v>1000</v>
      </c>
      <c r="F61" s="188">
        <f>F55</f>
        <v>0.4</v>
      </c>
      <c r="G61" s="179">
        <f>E61*F61</f>
        <v>400</v>
      </c>
      <c r="H61" s="179">
        <f>G61/$H$7</f>
        <v>0.4</v>
      </c>
      <c r="I61" s="154"/>
      <c r="J61" s="102"/>
      <c r="K61" s="102"/>
    </row>
    <row r="62" spans="1:11" ht="12.75">
      <c r="A62" s="154"/>
      <c r="B62" s="154" t="s">
        <v>239</v>
      </c>
      <c r="C62" s="154"/>
      <c r="D62" s="187"/>
      <c r="E62" s="192">
        <v>1500</v>
      </c>
      <c r="F62" s="188">
        <f>F56</f>
        <v>0.4</v>
      </c>
      <c r="G62" s="179">
        <f>E62*F62</f>
        <v>600</v>
      </c>
      <c r="H62" s="179">
        <f>G62/$H$7</f>
        <v>0.6</v>
      </c>
      <c r="I62" s="154"/>
      <c r="J62" s="102"/>
      <c r="K62" s="102"/>
    </row>
    <row r="63" spans="1:11" ht="12.75">
      <c r="A63" s="154"/>
      <c r="B63" s="154" t="s">
        <v>262</v>
      </c>
      <c r="C63" s="154"/>
      <c r="D63" s="187"/>
      <c r="E63" s="192">
        <v>3000</v>
      </c>
      <c r="F63" s="188">
        <f>F57</f>
        <v>0.5</v>
      </c>
      <c r="G63" s="179">
        <f>E63*F63</f>
        <v>1500</v>
      </c>
      <c r="H63" s="179">
        <f>G63/$H$7</f>
        <v>1.5</v>
      </c>
      <c r="I63" s="154"/>
      <c r="J63" s="102"/>
      <c r="K63" s="102"/>
    </row>
    <row r="64" spans="1:11" ht="12.75">
      <c r="A64" s="154"/>
      <c r="B64" s="148" t="s">
        <v>241</v>
      </c>
      <c r="C64" s="194"/>
      <c r="D64" s="195"/>
      <c r="E64" s="192">
        <v>0</v>
      </c>
      <c r="F64" s="188">
        <f>F58</f>
        <v>0</v>
      </c>
      <c r="G64" s="179">
        <f>E64*F64</f>
        <v>0</v>
      </c>
      <c r="H64" s="179">
        <f>G64/$H$7</f>
        <v>0</v>
      </c>
      <c r="I64" s="154"/>
      <c r="J64" s="102"/>
      <c r="K64" s="102"/>
    </row>
    <row r="65" spans="1:11" ht="12.75">
      <c r="A65" s="154"/>
      <c r="B65" s="154"/>
      <c r="C65" s="154"/>
      <c r="D65" s="154"/>
      <c r="E65" s="154"/>
      <c r="F65" s="154"/>
      <c r="G65" s="154"/>
      <c r="H65" s="154"/>
      <c r="I65" s="154"/>
      <c r="J65" s="102"/>
      <c r="K65" s="102"/>
    </row>
    <row r="66" spans="1:11" ht="38.25">
      <c r="A66" s="154"/>
      <c r="B66" s="183" t="s">
        <v>243</v>
      </c>
      <c r="C66" s="154"/>
      <c r="D66" s="184" t="s">
        <v>248</v>
      </c>
      <c r="E66" s="184" t="s">
        <v>261</v>
      </c>
      <c r="F66" s="184" t="s">
        <v>263</v>
      </c>
      <c r="G66" s="184" t="s">
        <v>264</v>
      </c>
      <c r="H66" s="184" t="s">
        <v>274</v>
      </c>
      <c r="I66" s="154"/>
      <c r="J66" s="102"/>
      <c r="K66" s="102"/>
    </row>
    <row r="67" spans="1:11" ht="12.75">
      <c r="A67" s="154"/>
      <c r="B67" s="154" t="s">
        <v>240</v>
      </c>
      <c r="C67" s="154"/>
      <c r="D67" s="189">
        <f>D49</f>
        <v>25000</v>
      </c>
      <c r="E67" s="188">
        <f>F55</f>
        <v>0.4</v>
      </c>
      <c r="F67" s="193">
        <v>0.05</v>
      </c>
      <c r="G67" s="179">
        <f>(D67+F49)/2*E67*F67</f>
        <v>250</v>
      </c>
      <c r="H67" s="179">
        <f>G67/$H$7</f>
        <v>0.25</v>
      </c>
      <c r="I67" s="154"/>
      <c r="J67" s="102"/>
      <c r="K67" s="102"/>
    </row>
    <row r="68" spans="1:11" ht="12.75">
      <c r="A68" s="154"/>
      <c r="B68" s="154" t="s">
        <v>239</v>
      </c>
      <c r="C68" s="154"/>
      <c r="D68" s="189">
        <f>D50</f>
        <v>150000</v>
      </c>
      <c r="E68" s="188">
        <f>F56</f>
        <v>0.4</v>
      </c>
      <c r="F68" s="188">
        <f>$F$67</f>
        <v>0.05</v>
      </c>
      <c r="G68" s="179">
        <f>(D68+F50)/2*E68*F68</f>
        <v>1750</v>
      </c>
      <c r="H68" s="179">
        <f>G68/$H$7</f>
        <v>1.75</v>
      </c>
      <c r="I68" s="154"/>
      <c r="J68" s="102"/>
      <c r="K68" s="102"/>
    </row>
    <row r="69" spans="1:11" ht="12.75">
      <c r="A69" s="154"/>
      <c r="B69" s="154" t="s">
        <v>262</v>
      </c>
      <c r="C69" s="154"/>
      <c r="D69" s="192">
        <v>1000000</v>
      </c>
      <c r="E69" s="188">
        <f>F57</f>
        <v>0.5</v>
      </c>
      <c r="F69" s="188">
        <f>$F$67</f>
        <v>0.05</v>
      </c>
      <c r="G69" s="179">
        <f>D69*E69*F69</f>
        <v>25000</v>
      </c>
      <c r="H69" s="179">
        <f>G69/$H$7</f>
        <v>25</v>
      </c>
      <c r="I69" s="154"/>
      <c r="J69" s="102"/>
      <c r="K69" s="102"/>
    </row>
    <row r="70" spans="1:11" ht="12.75">
      <c r="A70" s="154"/>
      <c r="B70" s="148" t="s">
        <v>241</v>
      </c>
      <c r="C70" s="194"/>
      <c r="D70" s="192">
        <v>0</v>
      </c>
      <c r="E70" s="188">
        <f>F58</f>
        <v>0</v>
      </c>
      <c r="F70" s="188">
        <f>$F$67</f>
        <v>0.05</v>
      </c>
      <c r="G70" s="179">
        <f>D70*E70*F70</f>
        <v>0</v>
      </c>
      <c r="H70" s="179">
        <f>G70/$H$7</f>
        <v>0</v>
      </c>
      <c r="I70" s="154"/>
      <c r="J70" s="102"/>
      <c r="K70" s="102"/>
    </row>
    <row r="71" spans="1:11" ht="12.75">
      <c r="A71" s="154"/>
      <c r="B71" s="154"/>
      <c r="C71" s="154"/>
      <c r="D71" s="154"/>
      <c r="E71" s="154"/>
      <c r="F71" s="154"/>
      <c r="G71" s="154"/>
      <c r="H71" s="154"/>
      <c r="I71" s="154"/>
      <c r="J71" s="102"/>
      <c r="K71" s="102"/>
    </row>
    <row r="72" spans="1:11" ht="12.75">
      <c r="A72" s="154"/>
      <c r="B72" s="154"/>
      <c r="C72" s="154"/>
      <c r="D72" s="154"/>
      <c r="E72" s="154"/>
      <c r="F72" s="154"/>
      <c r="G72" s="154"/>
      <c r="H72" s="154"/>
      <c r="I72" s="154"/>
      <c r="J72" s="102"/>
      <c r="K72" s="102"/>
    </row>
    <row r="73" spans="1:11" ht="12.75">
      <c r="A73" s="154"/>
      <c r="B73" s="154"/>
      <c r="C73" s="154"/>
      <c r="D73" s="154" t="s">
        <v>266</v>
      </c>
      <c r="E73" s="154"/>
      <c r="F73" s="154"/>
      <c r="G73" s="154"/>
      <c r="H73" s="179">
        <f>SUM(I49:I52)+SUM(H55:H72)</f>
        <v>37.25</v>
      </c>
      <c r="I73" s="154"/>
      <c r="J73" s="102"/>
      <c r="K73" s="102"/>
    </row>
    <row r="74" spans="1:11" ht="12.75">
      <c r="A74" s="154"/>
      <c r="B74" s="154"/>
      <c r="C74" s="154"/>
      <c r="D74" s="154"/>
      <c r="E74" s="154"/>
      <c r="F74" s="154"/>
      <c r="G74" s="154"/>
      <c r="H74" s="154"/>
      <c r="I74" s="154"/>
      <c r="J74" s="102"/>
      <c r="K74" s="102"/>
    </row>
    <row r="75" spans="1:11" ht="12.75">
      <c r="A75" s="154"/>
      <c r="B75" s="154"/>
      <c r="C75" s="154"/>
      <c r="D75" s="154" t="s">
        <v>267</v>
      </c>
      <c r="E75" s="154"/>
      <c r="F75" s="154"/>
      <c r="G75" s="154"/>
      <c r="H75" s="179">
        <f>H42+H73</f>
        <v>106.46233333333333</v>
      </c>
      <c r="I75" s="154"/>
      <c r="J75" s="102"/>
      <c r="K75" s="102"/>
    </row>
    <row r="76" spans="1:11" ht="12.75">
      <c r="A76" s="154"/>
      <c r="B76" s="154"/>
      <c r="C76" s="154"/>
      <c r="D76" s="154"/>
      <c r="E76" s="154"/>
      <c r="F76" s="154"/>
      <c r="G76" s="154"/>
      <c r="H76" s="154"/>
      <c r="I76" s="154"/>
      <c r="J76" s="102"/>
      <c r="K76" s="102"/>
    </row>
    <row r="77" spans="1:11" ht="12.75">
      <c r="A77" s="102"/>
      <c r="B77" s="190" t="s">
        <v>279</v>
      </c>
      <c r="C77" s="190"/>
      <c r="D77" s="190"/>
      <c r="E77" s="190"/>
      <c r="F77" s="190"/>
      <c r="G77" s="190"/>
      <c r="H77" s="179">
        <f>H75/D7</f>
        <v>4.0947051282051286</v>
      </c>
      <c r="I77" s="102"/>
      <c r="J77" s="102"/>
      <c r="K77" s="102"/>
    </row>
    <row r="78" spans="1:11" ht="12.75">
      <c r="A78" s="102"/>
      <c r="B78" s="102"/>
      <c r="C78" s="102"/>
      <c r="D78" s="102"/>
      <c r="E78" s="102"/>
      <c r="F78" s="102"/>
      <c r="G78" s="102"/>
      <c r="H78" s="102"/>
      <c r="I78" s="102"/>
      <c r="J78" s="102"/>
      <c r="K78" s="102"/>
    </row>
    <row r="79" spans="1:11" ht="51">
      <c r="A79" s="102"/>
      <c r="B79" s="102"/>
      <c r="C79" s="102"/>
      <c r="D79" s="102"/>
      <c r="E79" s="191" t="s">
        <v>272</v>
      </c>
      <c r="F79" s="191" t="s">
        <v>269</v>
      </c>
      <c r="G79" s="191" t="s">
        <v>270</v>
      </c>
      <c r="H79" s="191" t="s">
        <v>249</v>
      </c>
      <c r="I79" s="102"/>
      <c r="J79" s="102"/>
      <c r="K79" s="102"/>
    </row>
    <row r="80" spans="1:11" ht="12.75">
      <c r="A80" s="102"/>
      <c r="B80" s="102" t="s">
        <v>268</v>
      </c>
      <c r="C80" s="102"/>
      <c r="D80" s="102"/>
      <c r="E80" s="192">
        <v>35000</v>
      </c>
      <c r="F80" s="193">
        <v>0.5</v>
      </c>
      <c r="G80" s="179">
        <f>E80*F80</f>
        <v>17500</v>
      </c>
      <c r="H80" s="179">
        <f>G80/H7/D7</f>
        <v>0.6730769230769231</v>
      </c>
      <c r="I80" s="102"/>
      <c r="J80" s="102"/>
      <c r="K80" s="102"/>
    </row>
    <row r="81" spans="1:11" ht="12.75">
      <c r="A81" s="102"/>
      <c r="B81" s="102"/>
      <c r="C81" s="102"/>
      <c r="D81" s="102"/>
      <c r="E81" s="102"/>
      <c r="F81" s="102"/>
      <c r="G81" s="102"/>
      <c r="H81" s="102"/>
      <c r="I81" s="102"/>
      <c r="J81" s="102"/>
      <c r="K81" s="102"/>
    </row>
    <row r="82" spans="1:11" ht="12.75">
      <c r="A82" s="102"/>
      <c r="B82" s="190" t="s">
        <v>275</v>
      </c>
      <c r="C82" s="190"/>
      <c r="D82" s="190"/>
      <c r="E82" s="190"/>
      <c r="F82" s="190"/>
      <c r="G82" s="190"/>
      <c r="H82" s="179">
        <f>H77+H80</f>
        <v>4.767782051282052</v>
      </c>
      <c r="I82" s="102"/>
      <c r="J82" s="102"/>
      <c r="K82" s="102"/>
    </row>
    <row r="83" spans="1:11" ht="12.75">
      <c r="A83" s="102"/>
      <c r="B83" s="102"/>
      <c r="C83" s="102"/>
      <c r="D83" s="102"/>
      <c r="E83" s="102"/>
      <c r="F83" s="102"/>
      <c r="G83" s="102"/>
      <c r="H83" s="102"/>
      <c r="I83" s="102"/>
      <c r="J83" s="102"/>
      <c r="K83" s="102"/>
    </row>
    <row r="84" spans="1:11" ht="12.75">
      <c r="A84" s="102"/>
      <c r="B84" s="102"/>
      <c r="C84" s="102"/>
      <c r="D84" s="102"/>
      <c r="E84" s="102"/>
      <c r="F84" s="102"/>
      <c r="G84" s="102"/>
      <c r="H84" s="102"/>
      <c r="I84" s="102"/>
      <c r="J84" s="102"/>
      <c r="K84" s="102"/>
    </row>
    <row r="85" spans="10:11" ht="12.75">
      <c r="J85" s="102"/>
      <c r="K85" s="102"/>
    </row>
    <row r="86" spans="1:11" ht="12.75">
      <c r="A86" s="102"/>
      <c r="B86" s="102"/>
      <c r="C86" s="102"/>
      <c r="D86" s="102"/>
      <c r="E86" s="102"/>
      <c r="F86" s="102"/>
      <c r="G86" s="102"/>
      <c r="H86" s="102"/>
      <c r="I86" s="102"/>
      <c r="J86" s="102"/>
      <c r="K86" s="102"/>
    </row>
    <row r="87" spans="1:11" ht="12.75">
      <c r="A87" s="102"/>
      <c r="B87" s="102"/>
      <c r="C87" s="102"/>
      <c r="D87" s="102"/>
      <c r="E87" s="102"/>
      <c r="F87" s="102"/>
      <c r="G87" s="102"/>
      <c r="H87" s="102"/>
      <c r="I87" s="102"/>
      <c r="J87" s="102"/>
      <c r="K87" s="102"/>
    </row>
    <row r="88" spans="1:11" ht="12.75">
      <c r="A88" s="102"/>
      <c r="B88" s="102"/>
      <c r="C88" s="102"/>
      <c r="D88" s="102"/>
      <c r="E88" s="102"/>
      <c r="F88" s="102"/>
      <c r="G88" s="102"/>
      <c r="H88" s="102"/>
      <c r="I88" s="102"/>
      <c r="J88" s="102"/>
      <c r="K88" s="102"/>
    </row>
  </sheetData>
  <sheetProtection sheet="1" objects="1" scenarios="1"/>
  <printOptions horizontalCentered="1" verticalCentered="1"/>
  <pageMargins left="0.75" right="0.75" top="0.53" bottom="0.54" header="0.5" footer="0.5"/>
  <pageSetup fitToHeight="1" fitToWidth="1" horizontalDpi="204" verticalDpi="204" orientation="portrait" scale="94" r:id="rId4"/>
  <drawing r:id="rId3"/>
  <legacyDrawing r:id="rId2"/>
</worksheet>
</file>

<file path=xl/worksheets/sheet5.xml><?xml version="1.0" encoding="utf-8"?>
<worksheet xmlns="http://schemas.openxmlformats.org/spreadsheetml/2006/main" xmlns:r="http://schemas.openxmlformats.org/officeDocument/2006/relationships">
  <dimension ref="A1:J84"/>
  <sheetViews>
    <sheetView showGridLines="0" workbookViewId="0" topLeftCell="A1">
      <selection activeCell="A1" sqref="A1"/>
    </sheetView>
  </sheetViews>
  <sheetFormatPr defaultColWidth="9.140625" defaultRowHeight="12.75"/>
  <cols>
    <col min="1" max="1" width="6.140625" style="0" customWidth="1"/>
    <col min="2" max="2" width="14.28125" style="0" customWidth="1"/>
    <col min="3" max="3" width="12.28125" style="0" customWidth="1"/>
    <col min="4" max="4" width="11.8515625" style="0" customWidth="1"/>
    <col min="5" max="5" width="10.7109375" style="0" customWidth="1"/>
    <col min="6" max="6" width="10.8515625" style="0" customWidth="1"/>
    <col min="7" max="7" width="10.7109375" style="0" customWidth="1"/>
    <col min="8" max="8" width="10.28125" style="0" customWidth="1"/>
  </cols>
  <sheetData>
    <row r="1" spans="1:10" ht="12.75">
      <c r="A1" s="154"/>
      <c r="B1" s="154"/>
      <c r="C1" s="154"/>
      <c r="D1" s="154"/>
      <c r="E1" s="154"/>
      <c r="F1" s="154"/>
      <c r="G1" s="154"/>
      <c r="H1" s="154"/>
      <c r="I1" s="154"/>
      <c r="J1" s="102"/>
    </row>
    <row r="2" spans="1:10" ht="12.75">
      <c r="A2" s="154"/>
      <c r="B2" s="154"/>
      <c r="C2" s="154"/>
      <c r="D2" s="154"/>
      <c r="E2" s="154"/>
      <c r="F2" s="154"/>
      <c r="G2" s="154"/>
      <c r="H2" s="154"/>
      <c r="I2" s="154"/>
      <c r="J2" s="102"/>
    </row>
    <row r="3" spans="1:10" ht="12.75">
      <c r="A3" s="154"/>
      <c r="B3" s="154"/>
      <c r="C3" s="154"/>
      <c r="D3" s="154"/>
      <c r="E3" s="154"/>
      <c r="F3" s="154"/>
      <c r="G3" s="154"/>
      <c r="H3" s="154"/>
      <c r="I3" s="154"/>
      <c r="J3" s="102"/>
    </row>
    <row r="4" spans="1:10" ht="12.75">
      <c r="A4" s="154"/>
      <c r="B4" s="154"/>
      <c r="C4" s="154"/>
      <c r="D4" s="154"/>
      <c r="E4" s="154"/>
      <c r="F4" s="154"/>
      <c r="G4" s="154"/>
      <c r="H4" s="154"/>
      <c r="I4" s="154"/>
      <c r="J4" s="102"/>
    </row>
    <row r="5" spans="1:10" ht="12.75">
      <c r="A5" s="155"/>
      <c r="B5" s="156"/>
      <c r="C5" s="156"/>
      <c r="D5" s="156"/>
      <c r="E5" s="156"/>
      <c r="F5" s="156"/>
      <c r="G5" s="157"/>
      <c r="H5" s="157"/>
      <c r="I5" s="157"/>
      <c r="J5" s="11"/>
    </row>
    <row r="6" spans="1:10" ht="12.75">
      <c r="A6" s="157"/>
      <c r="B6" s="157"/>
      <c r="C6" s="157"/>
      <c r="D6" s="157"/>
      <c r="E6" s="157"/>
      <c r="F6" s="157"/>
      <c r="G6" s="157"/>
      <c r="H6" s="157"/>
      <c r="I6" s="157"/>
      <c r="J6" s="11"/>
    </row>
    <row r="7" spans="1:10" ht="12.75">
      <c r="A7" s="158" t="s">
        <v>42</v>
      </c>
      <c r="B7" s="159" t="s">
        <v>273</v>
      </c>
      <c r="C7" s="158" t="s">
        <v>44</v>
      </c>
      <c r="D7" s="160">
        <v>32</v>
      </c>
      <c r="E7" s="157"/>
      <c r="F7" s="154"/>
      <c r="G7" s="161" t="s">
        <v>265</v>
      </c>
      <c r="H7" s="160">
        <v>500</v>
      </c>
      <c r="I7" s="157"/>
      <c r="J7" s="11"/>
    </row>
    <row r="8" spans="1:10" ht="12.75">
      <c r="A8" s="162" t="s">
        <v>45</v>
      </c>
      <c r="B8" s="163"/>
      <c r="C8" s="163"/>
      <c r="D8" s="163"/>
      <c r="E8" s="163"/>
      <c r="F8" s="163"/>
      <c r="G8" s="163"/>
      <c r="H8" s="163"/>
      <c r="I8" s="157"/>
      <c r="J8" s="11"/>
    </row>
    <row r="9" spans="1:10" ht="12.75">
      <c r="A9" s="157"/>
      <c r="B9" s="157"/>
      <c r="C9" s="157"/>
      <c r="D9" s="157"/>
      <c r="E9" s="164" t="s">
        <v>46</v>
      </c>
      <c r="F9" s="164" t="s">
        <v>47</v>
      </c>
      <c r="G9" s="157"/>
      <c r="H9" s="157"/>
      <c r="I9" s="157"/>
      <c r="J9" s="11"/>
    </row>
    <row r="10" spans="1:10" ht="12.75">
      <c r="A10" s="155" t="s">
        <v>48</v>
      </c>
      <c r="B10" s="157"/>
      <c r="C10" s="157"/>
      <c r="D10" s="157"/>
      <c r="E10" s="164" t="s">
        <v>49</v>
      </c>
      <c r="F10" s="164" t="s">
        <v>49</v>
      </c>
      <c r="G10" s="164" t="s">
        <v>50</v>
      </c>
      <c r="H10" s="164" t="s">
        <v>51</v>
      </c>
      <c r="I10" s="157"/>
      <c r="J10" s="11"/>
    </row>
    <row r="11" spans="1:10" ht="12.75">
      <c r="A11" s="157"/>
      <c r="B11" s="158" t="s">
        <v>52</v>
      </c>
      <c r="C11" s="157"/>
      <c r="D11" s="157"/>
      <c r="E11" s="165" t="s">
        <v>53</v>
      </c>
      <c r="F11" s="166">
        <v>6</v>
      </c>
      <c r="G11" s="160">
        <v>1</v>
      </c>
      <c r="H11" s="167">
        <f>F11*G11</f>
        <v>6</v>
      </c>
      <c r="I11" s="157"/>
      <c r="J11" s="11"/>
    </row>
    <row r="12" spans="1:10" ht="12.75">
      <c r="A12" s="157"/>
      <c r="B12" s="158" t="s">
        <v>54</v>
      </c>
      <c r="C12" s="157"/>
      <c r="D12" s="157"/>
      <c r="E12" s="165" t="s">
        <v>49</v>
      </c>
      <c r="F12" s="166">
        <v>3.5</v>
      </c>
      <c r="G12" s="160">
        <v>1</v>
      </c>
      <c r="H12" s="167">
        <f aca="true" t="shared" si="0" ref="H12:H20">(F12*G12)</f>
        <v>3.5</v>
      </c>
      <c r="I12" s="157"/>
      <c r="J12" s="11"/>
    </row>
    <row r="13" spans="1:10" ht="12.75">
      <c r="A13" s="157"/>
      <c r="B13" s="164" t="s">
        <v>55</v>
      </c>
      <c r="C13" s="157"/>
      <c r="D13" s="157"/>
      <c r="E13" s="165" t="s">
        <v>49</v>
      </c>
      <c r="F13" s="166">
        <v>0</v>
      </c>
      <c r="G13" s="160">
        <v>1</v>
      </c>
      <c r="H13" s="167">
        <f t="shared" si="0"/>
        <v>0</v>
      </c>
      <c r="I13" s="157"/>
      <c r="J13" s="11"/>
    </row>
    <row r="14" spans="1:10" ht="12.75">
      <c r="A14" s="157"/>
      <c r="B14" s="164" t="s">
        <v>55</v>
      </c>
      <c r="C14" s="157"/>
      <c r="D14" s="157"/>
      <c r="E14" s="165" t="s">
        <v>49</v>
      </c>
      <c r="F14" s="166">
        <v>0</v>
      </c>
      <c r="G14" s="160">
        <v>1</v>
      </c>
      <c r="H14" s="167">
        <f t="shared" si="0"/>
        <v>0</v>
      </c>
      <c r="I14" s="157"/>
      <c r="J14" s="11"/>
    </row>
    <row r="15" spans="1:10" ht="12.75">
      <c r="A15" s="157"/>
      <c r="B15" s="158" t="s">
        <v>56</v>
      </c>
      <c r="C15" s="157"/>
      <c r="D15" s="157"/>
      <c r="E15" s="165" t="s">
        <v>57</v>
      </c>
      <c r="F15" s="166">
        <v>0</v>
      </c>
      <c r="G15" s="160">
        <v>1</v>
      </c>
      <c r="H15" s="167">
        <f t="shared" si="0"/>
        <v>0</v>
      </c>
      <c r="I15" s="157"/>
      <c r="J15" s="11"/>
    </row>
    <row r="16" spans="1:10" ht="12.75">
      <c r="A16" s="157"/>
      <c r="B16" s="158" t="s">
        <v>58</v>
      </c>
      <c r="C16" s="157"/>
      <c r="D16" s="159" t="s">
        <v>59</v>
      </c>
      <c r="E16" s="165" t="s">
        <v>60</v>
      </c>
      <c r="F16" s="168">
        <v>0.25</v>
      </c>
      <c r="G16" s="160">
        <v>80</v>
      </c>
      <c r="H16" s="167">
        <f t="shared" si="0"/>
        <v>20</v>
      </c>
      <c r="I16" s="157"/>
      <c r="J16" s="11"/>
    </row>
    <row r="17" spans="1:10" ht="12.75">
      <c r="A17" s="157"/>
      <c r="B17" s="157"/>
      <c r="C17" s="157"/>
      <c r="D17" s="159" t="s">
        <v>61</v>
      </c>
      <c r="E17" s="165" t="s">
        <v>60</v>
      </c>
      <c r="F17" s="168">
        <v>0</v>
      </c>
      <c r="G17" s="160">
        <v>0</v>
      </c>
      <c r="H17" s="167">
        <f t="shared" si="0"/>
        <v>0</v>
      </c>
      <c r="I17" s="157"/>
      <c r="J17" s="11"/>
    </row>
    <row r="18" spans="1:10" ht="12.75">
      <c r="A18" s="157"/>
      <c r="B18" s="164" t="s">
        <v>55</v>
      </c>
      <c r="C18" s="157"/>
      <c r="D18" s="159" t="s">
        <v>62</v>
      </c>
      <c r="E18" s="165" t="s">
        <v>60</v>
      </c>
      <c r="F18" s="168">
        <v>0</v>
      </c>
      <c r="G18" s="160">
        <v>0</v>
      </c>
      <c r="H18" s="167">
        <f t="shared" si="0"/>
        <v>0</v>
      </c>
      <c r="I18" s="157"/>
      <c r="J18" s="11"/>
    </row>
    <row r="19" spans="1:10" ht="12.75">
      <c r="A19" s="157"/>
      <c r="B19" s="158" t="s">
        <v>63</v>
      </c>
      <c r="C19" s="157"/>
      <c r="D19" s="157"/>
      <c r="E19" s="165" t="s">
        <v>57</v>
      </c>
      <c r="F19" s="166">
        <v>1.5</v>
      </c>
      <c r="G19" s="160">
        <v>1</v>
      </c>
      <c r="H19" s="167">
        <f t="shared" si="0"/>
        <v>1.5</v>
      </c>
      <c r="I19" s="157"/>
      <c r="J19" s="11"/>
    </row>
    <row r="20" spans="1:10" ht="12.75">
      <c r="A20" s="157"/>
      <c r="B20" s="158" t="s">
        <v>64</v>
      </c>
      <c r="C20" s="157"/>
      <c r="D20" s="157"/>
      <c r="E20" s="165" t="s">
        <v>247</v>
      </c>
      <c r="F20" s="166">
        <v>5.5</v>
      </c>
      <c r="G20" s="160">
        <v>1</v>
      </c>
      <c r="H20" s="167">
        <f t="shared" si="0"/>
        <v>5.5</v>
      </c>
      <c r="I20" s="157"/>
      <c r="J20" s="11"/>
    </row>
    <row r="21" spans="1:10" ht="12.75">
      <c r="A21" s="157"/>
      <c r="B21" s="158" t="s">
        <v>65</v>
      </c>
      <c r="C21" s="157"/>
      <c r="D21" s="157"/>
      <c r="E21" s="169"/>
      <c r="F21" s="170" t="s">
        <v>66</v>
      </c>
      <c r="G21" s="171"/>
      <c r="H21" s="157"/>
      <c r="I21" s="157"/>
      <c r="J21" s="11"/>
    </row>
    <row r="22" spans="1:10" ht="12.75">
      <c r="A22" s="157"/>
      <c r="B22" s="158" t="s">
        <v>67</v>
      </c>
      <c r="C22" s="157"/>
      <c r="D22" s="157"/>
      <c r="E22" s="165" t="s">
        <v>57</v>
      </c>
      <c r="F22" s="166">
        <v>2.68</v>
      </c>
      <c r="G22" s="160">
        <v>1</v>
      </c>
      <c r="H22" s="167">
        <f>(F22*G22)</f>
        <v>2.68</v>
      </c>
      <c r="I22" s="157"/>
      <c r="J22" s="11"/>
    </row>
    <row r="23" spans="1:10" ht="12.75">
      <c r="A23" s="157"/>
      <c r="B23" s="158" t="s">
        <v>68</v>
      </c>
      <c r="C23" s="157"/>
      <c r="D23" s="157"/>
      <c r="E23" s="169"/>
      <c r="F23" s="170" t="s">
        <v>66</v>
      </c>
      <c r="G23" s="171"/>
      <c r="H23" s="157"/>
      <c r="I23" s="157"/>
      <c r="J23" s="11"/>
    </row>
    <row r="24" spans="1:10" ht="12.75">
      <c r="A24" s="157"/>
      <c r="B24" s="158" t="s">
        <v>69</v>
      </c>
      <c r="C24" s="157"/>
      <c r="D24" s="157"/>
      <c r="E24" s="165" t="s">
        <v>57</v>
      </c>
      <c r="F24" s="166">
        <v>2.17</v>
      </c>
      <c r="G24" s="160">
        <v>1</v>
      </c>
      <c r="H24" s="167">
        <f>(F24*G24)</f>
        <v>2.17</v>
      </c>
      <c r="I24" s="157"/>
      <c r="J24" s="11"/>
    </row>
    <row r="25" spans="1:10" ht="12.75">
      <c r="A25" s="157"/>
      <c r="B25" s="158" t="s">
        <v>68</v>
      </c>
      <c r="C25" s="157"/>
      <c r="D25" s="157"/>
      <c r="E25" s="169"/>
      <c r="F25" s="170" t="s">
        <v>66</v>
      </c>
      <c r="G25" s="171"/>
      <c r="H25" s="157"/>
      <c r="I25" s="157"/>
      <c r="J25" s="11"/>
    </row>
    <row r="26" spans="1:10" ht="12.75">
      <c r="A26" s="157"/>
      <c r="B26" s="158" t="s">
        <v>70</v>
      </c>
      <c r="C26" s="157"/>
      <c r="D26" s="157"/>
      <c r="E26" s="169"/>
      <c r="F26" s="170" t="s">
        <v>66</v>
      </c>
      <c r="G26" s="171"/>
      <c r="H26" s="157"/>
      <c r="I26" s="157"/>
      <c r="J26" s="11"/>
    </row>
    <row r="27" spans="1:10" ht="12.75">
      <c r="A27" s="157"/>
      <c r="B27" s="158" t="s">
        <v>71</v>
      </c>
      <c r="C27" s="157"/>
      <c r="D27" s="157"/>
      <c r="E27" s="165" t="s">
        <v>57</v>
      </c>
      <c r="F27" s="166">
        <v>7.5</v>
      </c>
      <c r="G27" s="160">
        <v>0.5</v>
      </c>
      <c r="H27" s="167">
        <f>(F27*G27)</f>
        <v>3.75</v>
      </c>
      <c r="I27" s="157"/>
      <c r="J27" s="11"/>
    </row>
    <row r="28" spans="1:10" ht="12.75">
      <c r="A28" s="157"/>
      <c r="B28" s="158" t="s">
        <v>72</v>
      </c>
      <c r="C28" s="157"/>
      <c r="D28" s="157"/>
      <c r="E28" s="165" t="s">
        <v>57</v>
      </c>
      <c r="F28" s="166">
        <f>7.5*0.17</f>
        <v>1.2750000000000001</v>
      </c>
      <c r="G28" s="160">
        <v>1</v>
      </c>
      <c r="H28" s="167">
        <f>(F28*G28)</f>
        <v>1.2750000000000001</v>
      </c>
      <c r="I28" s="157"/>
      <c r="J28" s="11"/>
    </row>
    <row r="29" spans="1:10" ht="12.75">
      <c r="A29" s="157"/>
      <c r="B29" s="158" t="s">
        <v>73</v>
      </c>
      <c r="C29" s="157"/>
      <c r="D29" s="157"/>
      <c r="E29" s="165" t="s">
        <v>57</v>
      </c>
      <c r="F29" s="166">
        <f>7.5*0.33</f>
        <v>2.475</v>
      </c>
      <c r="G29" s="160">
        <v>1</v>
      </c>
      <c r="H29" s="167">
        <f>(F29*G29)</f>
        <v>2.475</v>
      </c>
      <c r="I29" s="157"/>
      <c r="J29" s="11"/>
    </row>
    <row r="30" spans="1:10" ht="12.75">
      <c r="A30" s="157"/>
      <c r="B30" s="158" t="s">
        <v>74</v>
      </c>
      <c r="C30" s="157"/>
      <c r="D30" s="157"/>
      <c r="E30" s="165" t="s">
        <v>57</v>
      </c>
      <c r="F30" s="166">
        <v>2.93</v>
      </c>
      <c r="G30" s="160">
        <v>1</v>
      </c>
      <c r="H30" s="167">
        <f>(F30*G30)</f>
        <v>2.93</v>
      </c>
      <c r="I30" s="157"/>
      <c r="J30" s="11"/>
    </row>
    <row r="31" spans="1:10" ht="12.75">
      <c r="A31" s="157"/>
      <c r="B31" s="158" t="s">
        <v>75</v>
      </c>
      <c r="C31" s="157"/>
      <c r="D31" s="157"/>
      <c r="E31" s="165" t="s">
        <v>76</v>
      </c>
      <c r="F31" s="160">
        <v>0.1</v>
      </c>
      <c r="G31" s="167">
        <f>SUM(H11:H30)</f>
        <v>51.78</v>
      </c>
      <c r="H31" s="167">
        <f>SUM(H11:H30)*(IF(F31&lt;1,F31,F31/100)/12)*F32</f>
        <v>2.589</v>
      </c>
      <c r="I31" s="157"/>
      <c r="J31" s="11"/>
    </row>
    <row r="32" spans="1:10" ht="12.75">
      <c r="A32" s="157"/>
      <c r="B32" s="158" t="s">
        <v>77</v>
      </c>
      <c r="C32" s="157"/>
      <c r="D32" s="157"/>
      <c r="E32" s="157"/>
      <c r="F32" s="160">
        <v>6</v>
      </c>
      <c r="G32" s="172"/>
      <c r="H32" s="157"/>
      <c r="I32" s="157"/>
      <c r="J32" s="11"/>
    </row>
    <row r="33" spans="1:10" ht="12.75">
      <c r="A33" s="157"/>
      <c r="B33" s="158" t="s">
        <v>78</v>
      </c>
      <c r="C33" s="157"/>
      <c r="D33" s="157"/>
      <c r="E33" s="157"/>
      <c r="F33" s="172"/>
      <c r="G33" s="172"/>
      <c r="H33" s="167">
        <f>SUM(H11:H31)</f>
        <v>54.369</v>
      </c>
      <c r="I33" s="157"/>
      <c r="J33" s="11"/>
    </row>
    <row r="34" spans="1:10" ht="12.75">
      <c r="A34" s="154"/>
      <c r="B34" s="157"/>
      <c r="C34" s="157"/>
      <c r="D34" s="157"/>
      <c r="E34" s="157"/>
      <c r="F34" s="172"/>
      <c r="G34" s="172"/>
      <c r="H34" s="157"/>
      <c r="I34" s="157"/>
      <c r="J34" s="11"/>
    </row>
    <row r="35" spans="1:10" ht="12.75">
      <c r="A35" s="155" t="s">
        <v>79</v>
      </c>
      <c r="B35" s="157"/>
      <c r="C35" s="157"/>
      <c r="D35" s="157"/>
      <c r="E35" s="157"/>
      <c r="F35" s="172"/>
      <c r="G35" s="172"/>
      <c r="H35" s="157"/>
      <c r="I35" s="157"/>
      <c r="J35" s="11"/>
    </row>
    <row r="36" spans="1:10" ht="12.75">
      <c r="A36" s="157"/>
      <c r="B36" s="158" t="s">
        <v>80</v>
      </c>
      <c r="C36" s="157"/>
      <c r="D36" s="157"/>
      <c r="E36" s="165" t="s">
        <v>81</v>
      </c>
      <c r="F36" s="166">
        <v>12.27</v>
      </c>
      <c r="G36" s="160">
        <v>1</v>
      </c>
      <c r="H36" s="167">
        <f>(F36*G36)</f>
        <v>12.27</v>
      </c>
      <c r="I36" s="157"/>
      <c r="J36" s="11"/>
    </row>
    <row r="37" spans="1:10" ht="12.75">
      <c r="A37" s="157"/>
      <c r="B37" s="158" t="s">
        <v>82</v>
      </c>
      <c r="C37" s="157"/>
      <c r="D37" s="157"/>
      <c r="E37" s="165" t="s">
        <v>81</v>
      </c>
      <c r="F37" s="166">
        <v>2.33</v>
      </c>
      <c r="G37" s="160">
        <v>1</v>
      </c>
      <c r="H37" s="167">
        <f>(F37*G37)</f>
        <v>2.33</v>
      </c>
      <c r="I37" s="157"/>
      <c r="J37" s="11"/>
    </row>
    <row r="38" spans="1:10" ht="12.75">
      <c r="A38" s="157"/>
      <c r="B38" s="158" t="s">
        <v>83</v>
      </c>
      <c r="C38" s="157"/>
      <c r="D38" s="157"/>
      <c r="E38" s="165" t="s">
        <v>76</v>
      </c>
      <c r="F38" s="160">
        <v>0.1</v>
      </c>
      <c r="G38" s="173">
        <f>SUM(H36:H37)</f>
        <v>14.6</v>
      </c>
      <c r="H38" s="167">
        <f>SUM(H36+H37)*(IF(F38&lt;1,F38,F38/100)/12)*F39</f>
        <v>0.24333333333333332</v>
      </c>
      <c r="I38" s="157"/>
      <c r="J38" s="11"/>
    </row>
    <row r="39" spans="1:10" ht="12.75">
      <c r="A39" s="157"/>
      <c r="B39" s="158" t="s">
        <v>84</v>
      </c>
      <c r="C39" s="157"/>
      <c r="D39" s="157"/>
      <c r="E39" s="157"/>
      <c r="F39" s="160">
        <v>2</v>
      </c>
      <c r="G39" s="172"/>
      <c r="H39" s="157"/>
      <c r="I39" s="157"/>
      <c r="J39" s="11"/>
    </row>
    <row r="40" spans="1:10" ht="12.75">
      <c r="A40" s="157"/>
      <c r="B40" s="158" t="s">
        <v>85</v>
      </c>
      <c r="C40" s="157"/>
      <c r="D40" s="157"/>
      <c r="E40" s="157"/>
      <c r="F40" s="157"/>
      <c r="G40" s="174"/>
      <c r="H40" s="167">
        <f>SUM(H36:H38)</f>
        <v>14.843333333333334</v>
      </c>
      <c r="I40" s="157"/>
      <c r="J40" s="11"/>
    </row>
    <row r="41" spans="1:10" ht="12.75">
      <c r="A41" s="157"/>
      <c r="B41" s="157"/>
      <c r="C41" s="157"/>
      <c r="D41" s="157"/>
      <c r="E41" s="157"/>
      <c r="F41" s="157"/>
      <c r="G41" s="157"/>
      <c r="H41" s="157"/>
      <c r="I41" s="157"/>
      <c r="J41" s="11"/>
    </row>
    <row r="42" spans="1:10" ht="12.75">
      <c r="A42" s="155" t="s">
        <v>86</v>
      </c>
      <c r="B42" s="157"/>
      <c r="C42" s="157"/>
      <c r="D42" s="157"/>
      <c r="E42" s="157"/>
      <c r="F42" s="157"/>
      <c r="G42" s="157"/>
      <c r="H42" s="167">
        <f>(H33+H40)</f>
        <v>69.21233333333333</v>
      </c>
      <c r="I42" s="157"/>
      <c r="J42" s="11"/>
    </row>
    <row r="43" spans="1:10" ht="12.75">
      <c r="A43" s="157"/>
      <c r="B43" s="158" t="s">
        <v>87</v>
      </c>
      <c r="C43" s="157"/>
      <c r="D43" s="157"/>
      <c r="E43" s="157"/>
      <c r="F43" s="157"/>
      <c r="G43" s="157"/>
      <c r="H43" s="175"/>
      <c r="I43" s="157"/>
      <c r="J43" s="11"/>
    </row>
    <row r="44" spans="1:10" ht="12.75">
      <c r="A44" s="176" t="s">
        <v>88</v>
      </c>
      <c r="B44" s="177"/>
      <c r="C44" s="177"/>
      <c r="D44" s="177"/>
      <c r="E44" s="177"/>
      <c r="F44" s="177"/>
      <c r="G44" s="177"/>
      <c r="H44" s="167">
        <f>(H42/D7)</f>
        <v>2.1628854166666667</v>
      </c>
      <c r="I44" s="157"/>
      <c r="J44" s="11"/>
    </row>
    <row r="45" spans="1:10" ht="12.75">
      <c r="A45" s="158" t="s">
        <v>89</v>
      </c>
      <c r="B45" s="157"/>
      <c r="C45" s="157"/>
      <c r="D45" s="157"/>
      <c r="E45" s="157"/>
      <c r="F45" s="157"/>
      <c r="G45" s="157"/>
      <c r="H45" s="175"/>
      <c r="I45" s="157"/>
      <c r="J45" s="11"/>
    </row>
    <row r="46" spans="1:10" ht="12.75">
      <c r="A46" s="157"/>
      <c r="B46" s="157"/>
      <c r="C46" s="157"/>
      <c r="D46" s="157"/>
      <c r="E46" s="157"/>
      <c r="F46" s="157"/>
      <c r="G46" s="157"/>
      <c r="H46" s="157"/>
      <c r="I46" s="157"/>
      <c r="J46" s="11"/>
    </row>
    <row r="47" spans="1:10" ht="12.75">
      <c r="A47" s="183" t="s">
        <v>237</v>
      </c>
      <c r="B47" s="154"/>
      <c r="C47" s="154"/>
      <c r="D47" s="154"/>
      <c r="E47" s="154"/>
      <c r="F47" s="154"/>
      <c r="G47" s="154"/>
      <c r="H47" s="154"/>
      <c r="I47" s="154"/>
      <c r="J47" s="102"/>
    </row>
    <row r="48" spans="1:10" ht="51">
      <c r="A48" s="154"/>
      <c r="B48" s="183" t="s">
        <v>238</v>
      </c>
      <c r="C48" s="154"/>
      <c r="D48" s="184" t="s">
        <v>276</v>
      </c>
      <c r="E48" s="185" t="s">
        <v>245</v>
      </c>
      <c r="F48" s="184" t="s">
        <v>246</v>
      </c>
      <c r="G48" s="184" t="s">
        <v>261</v>
      </c>
      <c r="H48" s="184" t="s">
        <v>264</v>
      </c>
      <c r="I48" s="185" t="s">
        <v>249</v>
      </c>
      <c r="J48" s="102"/>
    </row>
    <row r="49" spans="1:10" ht="12.75">
      <c r="A49" s="154"/>
      <c r="B49" s="154" t="s">
        <v>240</v>
      </c>
      <c r="C49" s="154"/>
      <c r="D49" s="192">
        <v>25000</v>
      </c>
      <c r="E49" s="192">
        <v>20</v>
      </c>
      <c r="F49" s="192">
        <v>0</v>
      </c>
      <c r="G49" s="193">
        <v>0.2</v>
      </c>
      <c r="H49" s="186">
        <f>IF(E49=0,0,(D49-F49)/E49*G49)</f>
        <v>250</v>
      </c>
      <c r="I49" s="179">
        <f>H49/$H$7</f>
        <v>0.5</v>
      </c>
      <c r="J49" s="102"/>
    </row>
    <row r="50" spans="1:10" ht="12.75">
      <c r="A50" s="154"/>
      <c r="B50" s="154" t="s">
        <v>239</v>
      </c>
      <c r="C50" s="154"/>
      <c r="D50" s="192">
        <v>150000</v>
      </c>
      <c r="E50" s="192">
        <v>10</v>
      </c>
      <c r="F50" s="192">
        <v>25000</v>
      </c>
      <c r="G50" s="193">
        <v>0.2</v>
      </c>
      <c r="H50" s="186">
        <f>IF(E50=0,0,(D50-F50)/E50*G50)</f>
        <v>2500</v>
      </c>
      <c r="I50" s="179">
        <f>H50/$H$7</f>
        <v>5</v>
      </c>
      <c r="J50" s="102"/>
    </row>
    <row r="51" spans="1:10" ht="12.75">
      <c r="A51" s="154"/>
      <c r="B51" s="148" t="s">
        <v>241</v>
      </c>
      <c r="C51" s="148"/>
      <c r="D51" s="192">
        <v>0</v>
      </c>
      <c r="E51" s="192">
        <v>0</v>
      </c>
      <c r="F51" s="192">
        <v>0</v>
      </c>
      <c r="G51" s="193">
        <v>0</v>
      </c>
      <c r="H51" s="186">
        <f>IF(E51=0,0,(D51-F51)/E51*G51)</f>
        <v>0</v>
      </c>
      <c r="I51" s="179">
        <f>H51/$H$7</f>
        <v>0</v>
      </c>
      <c r="J51" s="102"/>
    </row>
    <row r="52" spans="1:10" ht="12.75">
      <c r="A52" s="154"/>
      <c r="B52" s="148" t="s">
        <v>241</v>
      </c>
      <c r="C52" s="148"/>
      <c r="D52" s="192">
        <v>0</v>
      </c>
      <c r="E52" s="192">
        <v>0</v>
      </c>
      <c r="F52" s="192">
        <v>0</v>
      </c>
      <c r="G52" s="193">
        <v>0</v>
      </c>
      <c r="H52" s="186">
        <f>IF(E52=0,0,(D52-F52)/E52*G52)</f>
        <v>0</v>
      </c>
      <c r="I52" s="179">
        <f>H52/$H$7</f>
        <v>0</v>
      </c>
      <c r="J52" s="102"/>
    </row>
    <row r="53" spans="1:10" ht="12.75">
      <c r="A53" s="154"/>
      <c r="B53" s="154"/>
      <c r="C53" s="154"/>
      <c r="D53" s="154"/>
      <c r="E53" s="154"/>
      <c r="F53" s="154"/>
      <c r="G53" s="154"/>
      <c r="H53" s="154"/>
      <c r="I53" s="154"/>
      <c r="J53" s="102"/>
    </row>
    <row r="54" spans="1:10" ht="51">
      <c r="A54" s="154"/>
      <c r="B54" s="183" t="s">
        <v>242</v>
      </c>
      <c r="C54" s="154"/>
      <c r="D54" s="154"/>
      <c r="E54" s="184" t="s">
        <v>271</v>
      </c>
      <c r="F54" s="184" t="s">
        <v>261</v>
      </c>
      <c r="G54" s="184" t="s">
        <v>264</v>
      </c>
      <c r="H54" s="184" t="s">
        <v>274</v>
      </c>
      <c r="I54" s="154"/>
      <c r="J54" s="102"/>
    </row>
    <row r="55" spans="1:10" ht="12.75">
      <c r="A55" s="154"/>
      <c r="B55" s="154" t="s">
        <v>240</v>
      </c>
      <c r="C55" s="154"/>
      <c r="D55" s="187"/>
      <c r="E55" s="196">
        <v>1000</v>
      </c>
      <c r="F55" s="188">
        <f>G49</f>
        <v>0.2</v>
      </c>
      <c r="G55" s="179">
        <f>E55*F55</f>
        <v>200</v>
      </c>
      <c r="H55" s="179">
        <f>G55/$H$7</f>
        <v>0.4</v>
      </c>
      <c r="I55" s="154"/>
      <c r="J55" s="102"/>
    </row>
    <row r="56" spans="1:10" ht="12.75">
      <c r="A56" s="154"/>
      <c r="B56" s="154" t="s">
        <v>239</v>
      </c>
      <c r="C56" s="154"/>
      <c r="D56" s="187"/>
      <c r="E56" s="196">
        <v>1500</v>
      </c>
      <c r="F56" s="188">
        <f>G50</f>
        <v>0.2</v>
      </c>
      <c r="G56" s="179">
        <f>E56*F56</f>
        <v>300</v>
      </c>
      <c r="H56" s="179">
        <f>G56/$H$7</f>
        <v>0.6</v>
      </c>
      <c r="I56" s="154"/>
      <c r="J56" s="102"/>
    </row>
    <row r="57" spans="1:10" ht="12.75">
      <c r="A57" s="154"/>
      <c r="B57" s="154" t="s">
        <v>262</v>
      </c>
      <c r="C57" s="154"/>
      <c r="D57" s="187"/>
      <c r="E57" s="196">
        <v>2500</v>
      </c>
      <c r="F57" s="193">
        <v>0.1</v>
      </c>
      <c r="G57" s="179">
        <f>E57*F57</f>
        <v>250</v>
      </c>
      <c r="H57" s="179">
        <f>G57/$H$7</f>
        <v>0.5</v>
      </c>
      <c r="I57" s="154"/>
      <c r="J57" s="102"/>
    </row>
    <row r="58" spans="1:10" ht="12.75">
      <c r="A58" s="154"/>
      <c r="B58" s="148" t="s">
        <v>241</v>
      </c>
      <c r="C58" s="194"/>
      <c r="D58" s="195"/>
      <c r="E58" s="196">
        <v>0</v>
      </c>
      <c r="F58" s="193">
        <v>0</v>
      </c>
      <c r="G58" s="179">
        <f>E58*F58</f>
        <v>0</v>
      </c>
      <c r="H58" s="179">
        <f>G58/$H$7</f>
        <v>0</v>
      </c>
      <c r="I58" s="154"/>
      <c r="J58" s="102"/>
    </row>
    <row r="59" spans="1:10" ht="12.75">
      <c r="A59" s="154"/>
      <c r="B59" s="154"/>
      <c r="C59" s="154"/>
      <c r="D59" s="154"/>
      <c r="E59" s="154"/>
      <c r="F59" s="154"/>
      <c r="G59" s="154"/>
      <c r="H59" s="154"/>
      <c r="I59" s="154"/>
      <c r="J59" s="102"/>
    </row>
    <row r="60" spans="1:10" ht="42" customHeight="1">
      <c r="A60" s="154"/>
      <c r="B60" s="183" t="s">
        <v>244</v>
      </c>
      <c r="C60" s="154"/>
      <c r="D60" s="154"/>
      <c r="E60" s="184" t="s">
        <v>271</v>
      </c>
      <c r="F60" s="184" t="s">
        <v>261</v>
      </c>
      <c r="G60" s="184" t="s">
        <v>264</v>
      </c>
      <c r="H60" s="184" t="s">
        <v>274</v>
      </c>
      <c r="I60" s="154"/>
      <c r="J60" s="102"/>
    </row>
    <row r="61" spans="1:10" ht="12.75">
      <c r="A61" s="154"/>
      <c r="B61" s="154" t="s">
        <v>240</v>
      </c>
      <c r="C61" s="154"/>
      <c r="D61" s="187"/>
      <c r="E61" s="192">
        <v>1000</v>
      </c>
      <c r="F61" s="188">
        <f>F55</f>
        <v>0.2</v>
      </c>
      <c r="G61" s="179">
        <f>E61*F61</f>
        <v>200</v>
      </c>
      <c r="H61" s="179">
        <f>G61/$H$7</f>
        <v>0.4</v>
      </c>
      <c r="I61" s="154"/>
      <c r="J61" s="102"/>
    </row>
    <row r="62" spans="1:10" ht="12.75">
      <c r="A62" s="154"/>
      <c r="B62" s="154" t="s">
        <v>239</v>
      </c>
      <c r="C62" s="154"/>
      <c r="D62" s="187"/>
      <c r="E62" s="192">
        <v>1500</v>
      </c>
      <c r="F62" s="188">
        <f>F56</f>
        <v>0.2</v>
      </c>
      <c r="G62" s="179">
        <f>E62*F62</f>
        <v>300</v>
      </c>
      <c r="H62" s="179">
        <f>G62/$H$7</f>
        <v>0.6</v>
      </c>
      <c r="I62" s="154"/>
      <c r="J62" s="102"/>
    </row>
    <row r="63" spans="1:10" ht="12.75">
      <c r="A63" s="154"/>
      <c r="B63" s="154" t="s">
        <v>262</v>
      </c>
      <c r="C63" s="154"/>
      <c r="D63" s="187"/>
      <c r="E63" s="192">
        <v>3000</v>
      </c>
      <c r="F63" s="188">
        <f>F57</f>
        <v>0.1</v>
      </c>
      <c r="G63" s="179">
        <f>E63*F63</f>
        <v>300</v>
      </c>
      <c r="H63" s="179">
        <f>G63/$H$7</f>
        <v>0.6</v>
      </c>
      <c r="I63" s="154"/>
      <c r="J63" s="102"/>
    </row>
    <row r="64" spans="1:10" ht="12.75">
      <c r="A64" s="154"/>
      <c r="B64" s="148" t="s">
        <v>241</v>
      </c>
      <c r="C64" s="194"/>
      <c r="D64" s="195"/>
      <c r="E64" s="192">
        <v>0</v>
      </c>
      <c r="F64" s="188">
        <f>F58</f>
        <v>0</v>
      </c>
      <c r="G64" s="179">
        <f>E64*F64</f>
        <v>0</v>
      </c>
      <c r="H64" s="179">
        <f>G64/$H$7</f>
        <v>0</v>
      </c>
      <c r="I64" s="154"/>
      <c r="J64" s="102"/>
    </row>
    <row r="65" spans="1:10" ht="12.75">
      <c r="A65" s="154"/>
      <c r="B65" s="154"/>
      <c r="C65" s="154"/>
      <c r="D65" s="154"/>
      <c r="E65" s="154"/>
      <c r="F65" s="154"/>
      <c r="G65" s="154"/>
      <c r="H65" s="154"/>
      <c r="I65" s="154"/>
      <c r="J65" s="102"/>
    </row>
    <row r="66" spans="1:10" ht="38.25">
      <c r="A66" s="154"/>
      <c r="B66" s="183" t="s">
        <v>243</v>
      </c>
      <c r="C66" s="154"/>
      <c r="D66" s="184" t="s">
        <v>248</v>
      </c>
      <c r="E66" s="184" t="s">
        <v>261</v>
      </c>
      <c r="F66" s="184" t="s">
        <v>263</v>
      </c>
      <c r="G66" s="184" t="s">
        <v>264</v>
      </c>
      <c r="H66" s="184" t="s">
        <v>274</v>
      </c>
      <c r="I66" s="154"/>
      <c r="J66" s="102"/>
    </row>
    <row r="67" spans="1:10" ht="12.75">
      <c r="A67" s="154"/>
      <c r="B67" s="154" t="s">
        <v>240</v>
      </c>
      <c r="C67" s="154"/>
      <c r="D67" s="189">
        <f>D49</f>
        <v>25000</v>
      </c>
      <c r="E67" s="188">
        <f>F55</f>
        <v>0.2</v>
      </c>
      <c r="F67" s="193">
        <v>0.05</v>
      </c>
      <c r="G67" s="179">
        <f>(D67+F49)/2*E67*F67</f>
        <v>125</v>
      </c>
      <c r="H67" s="179">
        <f>G67/$H$7</f>
        <v>0.25</v>
      </c>
      <c r="I67" s="154"/>
      <c r="J67" s="102"/>
    </row>
    <row r="68" spans="1:10" ht="12.75">
      <c r="A68" s="154"/>
      <c r="B68" s="154" t="s">
        <v>239</v>
      </c>
      <c r="C68" s="154"/>
      <c r="D68" s="189">
        <f>D50</f>
        <v>150000</v>
      </c>
      <c r="E68" s="188">
        <f>F56</f>
        <v>0.2</v>
      </c>
      <c r="F68" s="188">
        <f>$F$67</f>
        <v>0.05</v>
      </c>
      <c r="G68" s="179">
        <f>(D68+F50)/2*E68*F68</f>
        <v>875</v>
      </c>
      <c r="H68" s="179">
        <f>G68/$H$7</f>
        <v>1.75</v>
      </c>
      <c r="I68" s="154"/>
      <c r="J68" s="102"/>
    </row>
    <row r="69" spans="1:10" ht="12.75">
      <c r="A69" s="154"/>
      <c r="B69" s="154" t="s">
        <v>262</v>
      </c>
      <c r="C69" s="154"/>
      <c r="D69" s="192">
        <v>1000000</v>
      </c>
      <c r="E69" s="188">
        <f>F57</f>
        <v>0.1</v>
      </c>
      <c r="F69" s="188">
        <f>$F$67</f>
        <v>0.05</v>
      </c>
      <c r="G69" s="179">
        <f>D69*E69*F69</f>
        <v>5000</v>
      </c>
      <c r="H69" s="179">
        <f>G69/$H$7</f>
        <v>10</v>
      </c>
      <c r="I69" s="154"/>
      <c r="J69" s="102"/>
    </row>
    <row r="70" spans="1:10" ht="12.75">
      <c r="A70" s="154"/>
      <c r="B70" s="148" t="s">
        <v>241</v>
      </c>
      <c r="C70" s="194"/>
      <c r="D70" s="192">
        <v>0</v>
      </c>
      <c r="E70" s="188">
        <f>F58</f>
        <v>0</v>
      </c>
      <c r="F70" s="188">
        <f>$F$67</f>
        <v>0.05</v>
      </c>
      <c r="G70" s="179">
        <f>D70*E70*F70</f>
        <v>0</v>
      </c>
      <c r="H70" s="179">
        <f>G70/$H$7</f>
        <v>0</v>
      </c>
      <c r="I70" s="154"/>
      <c r="J70" s="102"/>
    </row>
    <row r="71" spans="1:10" ht="12.75">
      <c r="A71" s="154"/>
      <c r="B71" s="154"/>
      <c r="C71" s="154"/>
      <c r="D71" s="154"/>
      <c r="E71" s="154"/>
      <c r="F71" s="154"/>
      <c r="G71" s="154"/>
      <c r="H71" s="154"/>
      <c r="I71" s="154"/>
      <c r="J71" s="102"/>
    </row>
    <row r="72" spans="1:10" ht="12.75">
      <c r="A72" s="154"/>
      <c r="B72" s="154"/>
      <c r="C72" s="154"/>
      <c r="D72" s="154"/>
      <c r="E72" s="154"/>
      <c r="F72" s="154"/>
      <c r="G72" s="154"/>
      <c r="H72" s="154"/>
      <c r="I72" s="154"/>
      <c r="J72" s="102"/>
    </row>
    <row r="73" spans="1:10" ht="12.75">
      <c r="A73" s="154"/>
      <c r="B73" s="154"/>
      <c r="C73" s="154"/>
      <c r="D73" s="154" t="s">
        <v>266</v>
      </c>
      <c r="E73" s="154"/>
      <c r="F73" s="154"/>
      <c r="G73" s="154"/>
      <c r="H73" s="179">
        <f>SUM(I49:I52)+SUM(H55:H72)</f>
        <v>20.6</v>
      </c>
      <c r="I73" s="154"/>
      <c r="J73" s="102"/>
    </row>
    <row r="74" spans="1:10" ht="12.75">
      <c r="A74" s="154"/>
      <c r="B74" s="154"/>
      <c r="C74" s="154"/>
      <c r="D74" s="154"/>
      <c r="E74" s="154"/>
      <c r="F74" s="154"/>
      <c r="G74" s="154"/>
      <c r="H74" s="154"/>
      <c r="I74" s="154"/>
      <c r="J74" s="102"/>
    </row>
    <row r="75" spans="1:10" ht="12.75">
      <c r="A75" s="154"/>
      <c r="B75" s="154"/>
      <c r="C75" s="154"/>
      <c r="D75" s="154" t="s">
        <v>267</v>
      </c>
      <c r="E75" s="154"/>
      <c r="F75" s="154"/>
      <c r="G75" s="154"/>
      <c r="H75" s="179">
        <f>H42+H73</f>
        <v>89.81233333333333</v>
      </c>
      <c r="I75" s="154"/>
      <c r="J75" s="102"/>
    </row>
    <row r="76" spans="1:10" ht="12.75">
      <c r="A76" s="154"/>
      <c r="B76" s="154"/>
      <c r="C76" s="154"/>
      <c r="D76" s="154"/>
      <c r="E76" s="154"/>
      <c r="F76" s="154"/>
      <c r="G76" s="154"/>
      <c r="H76" s="154"/>
      <c r="I76" s="154"/>
      <c r="J76" s="102"/>
    </row>
    <row r="77" spans="1:10" ht="12.75">
      <c r="A77" s="102"/>
      <c r="B77" s="190" t="s">
        <v>279</v>
      </c>
      <c r="C77" s="190"/>
      <c r="D77" s="190"/>
      <c r="E77" s="190"/>
      <c r="F77" s="190"/>
      <c r="G77" s="190"/>
      <c r="H77" s="179">
        <f>H75/D7</f>
        <v>2.8066354166666665</v>
      </c>
      <c r="I77" s="102"/>
      <c r="J77" s="102"/>
    </row>
    <row r="78" spans="1:10" ht="12.75">
      <c r="A78" s="102"/>
      <c r="B78" s="102"/>
      <c r="C78" s="102"/>
      <c r="D78" s="102"/>
      <c r="E78" s="102"/>
      <c r="F78" s="102"/>
      <c r="G78" s="102"/>
      <c r="H78" s="102"/>
      <c r="I78" s="102"/>
      <c r="J78" s="102"/>
    </row>
    <row r="79" spans="1:10" ht="51">
      <c r="A79" s="102"/>
      <c r="B79" s="102"/>
      <c r="C79" s="102"/>
      <c r="D79" s="102"/>
      <c r="E79" s="191" t="s">
        <v>272</v>
      </c>
      <c r="F79" s="191" t="s">
        <v>269</v>
      </c>
      <c r="G79" s="191" t="s">
        <v>270</v>
      </c>
      <c r="H79" s="191" t="s">
        <v>249</v>
      </c>
      <c r="I79" s="102"/>
      <c r="J79" s="102"/>
    </row>
    <row r="80" spans="1:10" ht="12.75">
      <c r="A80" s="102"/>
      <c r="B80" s="102" t="s">
        <v>268</v>
      </c>
      <c r="C80" s="102"/>
      <c r="D80" s="102"/>
      <c r="E80" s="192">
        <v>35000</v>
      </c>
      <c r="F80" s="193">
        <v>0.25</v>
      </c>
      <c r="G80" s="179">
        <f>E80*F80</f>
        <v>8750</v>
      </c>
      <c r="H80" s="179">
        <f>G80/H7/D7</f>
        <v>0.546875</v>
      </c>
      <c r="I80" s="102"/>
      <c r="J80" s="102"/>
    </row>
    <row r="81" spans="1:10" ht="12.75">
      <c r="A81" s="102"/>
      <c r="B81" s="102"/>
      <c r="C81" s="102"/>
      <c r="D81" s="102"/>
      <c r="E81" s="102"/>
      <c r="F81" s="102"/>
      <c r="G81" s="102"/>
      <c r="H81" s="102"/>
      <c r="I81" s="102"/>
      <c r="J81" s="102"/>
    </row>
    <row r="82" spans="1:10" ht="12.75">
      <c r="A82" s="102"/>
      <c r="B82" s="190" t="s">
        <v>275</v>
      </c>
      <c r="C82" s="190"/>
      <c r="D82" s="190"/>
      <c r="E82" s="190"/>
      <c r="F82" s="190"/>
      <c r="G82" s="190"/>
      <c r="H82" s="179">
        <f>H77+H80</f>
        <v>3.3535104166666665</v>
      </c>
      <c r="I82" s="102"/>
      <c r="J82" s="102"/>
    </row>
    <row r="83" spans="1:10" ht="12.75">
      <c r="A83" s="102"/>
      <c r="B83" s="102"/>
      <c r="C83" s="102"/>
      <c r="D83" s="102"/>
      <c r="E83" s="102"/>
      <c r="F83" s="102"/>
      <c r="G83" s="102"/>
      <c r="H83" s="102"/>
      <c r="I83" s="102"/>
      <c r="J83" s="102"/>
    </row>
    <row r="84" spans="1:10" ht="12.75">
      <c r="A84" s="102"/>
      <c r="B84" s="102"/>
      <c r="C84" s="102"/>
      <c r="D84" s="102"/>
      <c r="E84" s="102"/>
      <c r="F84" s="102"/>
      <c r="G84" s="102"/>
      <c r="H84" s="102"/>
      <c r="I84" s="102"/>
      <c r="J84" s="102"/>
    </row>
  </sheetData>
  <sheetProtection sheet="1" objects="1" scenarios="1"/>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76"/>
  <sheetViews>
    <sheetView showGridLines="0" zoomScale="90" zoomScaleNormal="90" workbookViewId="0" topLeftCell="A1">
      <selection activeCell="A1" sqref="A1"/>
    </sheetView>
  </sheetViews>
  <sheetFormatPr defaultColWidth="9.140625" defaultRowHeight="12.75"/>
  <cols>
    <col min="1" max="1" width="43.140625" style="0" customWidth="1"/>
    <col min="2" max="2" width="11.57421875" style="0" customWidth="1"/>
    <col min="3" max="3" width="12.7109375" style="0" customWidth="1"/>
    <col min="4" max="4" width="12.00390625" style="0" customWidth="1"/>
    <col min="5" max="5" width="11.28125" style="0" customWidth="1"/>
  </cols>
  <sheetData>
    <row r="1" spans="1:8" ht="12.75">
      <c r="A1" s="102"/>
      <c r="B1" s="102"/>
      <c r="C1" s="102"/>
      <c r="D1" s="102"/>
      <c r="E1" s="102"/>
      <c r="F1" s="102"/>
      <c r="G1" s="102"/>
      <c r="H1" s="102"/>
    </row>
    <row r="2" spans="1:8" ht="15.75">
      <c r="A2" s="240" t="s">
        <v>186</v>
      </c>
      <c r="B2" s="240"/>
      <c r="C2" s="240"/>
      <c r="D2" s="240"/>
      <c r="E2" s="102"/>
      <c r="F2" s="102"/>
      <c r="G2" s="102"/>
      <c r="H2" s="102"/>
    </row>
    <row r="3" spans="1:8" ht="15" customHeight="1">
      <c r="A3" s="239" t="s">
        <v>90</v>
      </c>
      <c r="B3" s="239"/>
      <c r="C3" s="239"/>
      <c r="D3" s="239"/>
      <c r="E3" s="45"/>
      <c r="F3" s="45"/>
      <c r="G3" s="45"/>
      <c r="H3" s="102"/>
    </row>
    <row r="4" spans="1:8" ht="15.75" customHeight="1" thickBot="1">
      <c r="A4" s="239" t="s">
        <v>91</v>
      </c>
      <c r="B4" s="239"/>
      <c r="C4" s="239"/>
      <c r="D4" s="239"/>
      <c r="E4" s="45"/>
      <c r="F4" s="45"/>
      <c r="G4" s="45"/>
      <c r="H4" s="102"/>
    </row>
    <row r="5" spans="1:8" ht="17.25" thickBot="1" thickTop="1">
      <c r="A5" s="42" t="s">
        <v>92</v>
      </c>
      <c r="B5" s="52">
        <v>2.5</v>
      </c>
      <c r="C5" s="14"/>
      <c r="D5" s="102"/>
      <c r="E5" s="102"/>
      <c r="F5" s="102"/>
      <c r="G5" s="102"/>
      <c r="H5" s="102"/>
    </row>
    <row r="6" spans="1:8" ht="17.25" thickBot="1" thickTop="1">
      <c r="A6" s="42" t="s">
        <v>93</v>
      </c>
      <c r="B6" s="15"/>
      <c r="C6" s="14"/>
      <c r="D6" s="102"/>
      <c r="E6" s="102"/>
      <c r="F6" s="102"/>
      <c r="G6" s="102"/>
      <c r="H6" s="102"/>
    </row>
    <row r="7" spans="1:8" ht="16.5" thickTop="1">
      <c r="A7" s="42" t="s">
        <v>94</v>
      </c>
      <c r="B7" s="47">
        <v>3</v>
      </c>
      <c r="C7" s="14"/>
      <c r="D7" s="102"/>
      <c r="E7" s="102"/>
      <c r="F7" s="102"/>
      <c r="G7" s="102"/>
      <c r="H7" s="102"/>
    </row>
    <row r="8" spans="1:8" ht="15.75">
      <c r="A8" s="42" t="s">
        <v>95</v>
      </c>
      <c r="B8" s="48">
        <v>6</v>
      </c>
      <c r="C8" s="14"/>
      <c r="D8" s="102"/>
      <c r="E8" s="102"/>
      <c r="F8" s="102"/>
      <c r="G8" s="102"/>
      <c r="H8" s="102"/>
    </row>
    <row r="9" spans="1:8" ht="15.75">
      <c r="A9" s="42" t="s">
        <v>96</v>
      </c>
      <c r="B9" s="49">
        <v>9</v>
      </c>
      <c r="C9" s="14"/>
      <c r="D9" s="102"/>
      <c r="E9" s="102"/>
      <c r="F9" s="102"/>
      <c r="G9" s="102"/>
      <c r="H9" s="102"/>
    </row>
    <row r="10" spans="1:8" ht="15.75">
      <c r="A10" s="42" t="s">
        <v>97</v>
      </c>
      <c r="B10" s="49">
        <v>10</v>
      </c>
      <c r="C10" s="14"/>
      <c r="D10" s="102"/>
      <c r="E10" s="102"/>
      <c r="F10" s="102"/>
      <c r="G10" s="102"/>
      <c r="H10" s="102"/>
    </row>
    <row r="11" spans="1:8" ht="15.75">
      <c r="A11" s="42" t="s">
        <v>98</v>
      </c>
      <c r="B11" s="49">
        <v>15</v>
      </c>
      <c r="C11" s="14"/>
      <c r="D11" s="102"/>
      <c r="E11" s="102"/>
      <c r="F11" s="102"/>
      <c r="G11" s="102"/>
      <c r="H11" s="102"/>
    </row>
    <row r="12" spans="1:8" ht="15.75">
      <c r="A12" s="42" t="s">
        <v>99</v>
      </c>
      <c r="B12" s="49">
        <v>24</v>
      </c>
      <c r="C12" s="14"/>
      <c r="D12" s="102"/>
      <c r="E12" s="102"/>
      <c r="F12" s="102"/>
      <c r="G12" s="102"/>
      <c r="H12" s="102"/>
    </row>
    <row r="13" spans="1:8" ht="15.75">
      <c r="A13" s="42" t="s">
        <v>101</v>
      </c>
      <c r="B13" s="50">
        <v>0.01</v>
      </c>
      <c r="C13" s="14"/>
      <c r="D13" s="102"/>
      <c r="E13" s="102"/>
      <c r="F13" s="102"/>
      <c r="G13" s="102"/>
      <c r="H13" s="102"/>
    </row>
    <row r="14" spans="1:8" ht="15.75">
      <c r="A14" s="42" t="s">
        <v>102</v>
      </c>
      <c r="B14" s="49" t="s">
        <v>103</v>
      </c>
      <c r="C14" s="14"/>
      <c r="D14" s="102"/>
      <c r="E14" s="102"/>
      <c r="F14" s="102"/>
      <c r="G14" s="102"/>
      <c r="H14" s="102"/>
    </row>
    <row r="15" spans="1:8" ht="16.5" thickBot="1">
      <c r="A15" s="42" t="s">
        <v>104</v>
      </c>
      <c r="B15" s="51">
        <v>0.09</v>
      </c>
      <c r="C15" s="14"/>
      <c r="D15" s="102"/>
      <c r="E15" s="102"/>
      <c r="F15" s="102"/>
      <c r="G15" s="102"/>
      <c r="H15" s="102"/>
    </row>
    <row r="16" spans="1:8" ht="17.25" thickBot="1" thickTop="1">
      <c r="A16" s="42" t="s">
        <v>105</v>
      </c>
      <c r="B16" s="15"/>
      <c r="C16" s="14"/>
      <c r="D16" s="102"/>
      <c r="E16" s="102"/>
      <c r="F16" s="102"/>
      <c r="G16" s="102"/>
      <c r="H16" s="102"/>
    </row>
    <row r="17" spans="1:8" ht="16.5" thickTop="1">
      <c r="A17" s="42" t="s">
        <v>106</v>
      </c>
      <c r="B17" s="53">
        <v>0.03</v>
      </c>
      <c r="C17" s="14"/>
      <c r="D17" s="102"/>
      <c r="E17" s="102"/>
      <c r="F17" s="102"/>
      <c r="G17" s="102"/>
      <c r="H17" s="102"/>
    </row>
    <row r="18" spans="1:8" ht="15.75">
      <c r="A18" s="42" t="s">
        <v>107</v>
      </c>
      <c r="B18" s="50">
        <v>0.05</v>
      </c>
      <c r="C18" s="14"/>
      <c r="D18" s="102"/>
      <c r="E18" s="102"/>
      <c r="F18" s="102"/>
      <c r="G18" s="102"/>
      <c r="H18" s="102"/>
    </row>
    <row r="19" spans="1:8" ht="15.75">
      <c r="A19" s="42" t="s">
        <v>108</v>
      </c>
      <c r="B19" s="50">
        <v>0.06</v>
      </c>
      <c r="C19" s="14"/>
      <c r="D19" s="102"/>
      <c r="E19" s="102"/>
      <c r="F19" s="102"/>
      <c r="G19" s="102"/>
      <c r="H19" s="102"/>
    </row>
    <row r="20" spans="1:8" ht="15.75">
      <c r="A20" s="42" t="s">
        <v>109</v>
      </c>
      <c r="B20" s="54">
        <v>0.02</v>
      </c>
      <c r="C20" s="14"/>
      <c r="D20" s="102"/>
      <c r="E20" s="102"/>
      <c r="F20" s="102"/>
      <c r="G20" s="102"/>
      <c r="H20" s="102"/>
    </row>
    <row r="21" spans="1:8" ht="15.75">
      <c r="A21" s="42" t="s">
        <v>110</v>
      </c>
      <c r="B21" s="54">
        <v>0.03</v>
      </c>
      <c r="C21" s="14"/>
      <c r="D21" s="102"/>
      <c r="E21" s="102"/>
      <c r="F21" s="102"/>
      <c r="G21" s="102"/>
      <c r="H21" s="102"/>
    </row>
    <row r="22" spans="1:8" ht="16.5" thickBot="1">
      <c r="A22" s="42" t="s">
        <v>185</v>
      </c>
      <c r="B22" s="55">
        <v>0.05</v>
      </c>
      <c r="C22" s="14"/>
      <c r="D22" s="102"/>
      <c r="E22" s="102"/>
      <c r="F22" s="102"/>
      <c r="G22" s="102"/>
      <c r="H22" s="102"/>
    </row>
    <row r="23" spans="1:8" ht="16.5" thickTop="1">
      <c r="A23" s="42"/>
      <c r="B23" s="127"/>
      <c r="C23" s="14"/>
      <c r="D23" s="102"/>
      <c r="E23" s="102"/>
      <c r="F23" s="102"/>
      <c r="G23" s="102"/>
      <c r="H23" s="102"/>
    </row>
    <row r="24" spans="1:8" ht="15.75">
      <c r="A24" s="42"/>
      <c r="B24" s="127"/>
      <c r="C24" s="14"/>
      <c r="D24" s="102"/>
      <c r="E24" s="102"/>
      <c r="F24" s="102"/>
      <c r="G24" s="102"/>
      <c r="H24" s="102"/>
    </row>
    <row r="25" spans="1:8" ht="15.75">
      <c r="A25" s="42"/>
      <c r="B25" s="127"/>
      <c r="C25" s="14"/>
      <c r="D25" s="102"/>
      <c r="E25" s="102"/>
      <c r="F25" s="102"/>
      <c r="G25" s="102"/>
      <c r="H25" s="102"/>
    </row>
    <row r="26" spans="1:8" ht="15.75">
      <c r="A26" s="42"/>
      <c r="B26" s="127"/>
      <c r="C26" s="14"/>
      <c r="D26" s="102"/>
      <c r="E26" s="102"/>
      <c r="F26" s="102"/>
      <c r="G26" s="102"/>
      <c r="H26" s="102"/>
    </row>
    <row r="27" spans="1:8" ht="15.75">
      <c r="A27" s="42"/>
      <c r="B27" s="127"/>
      <c r="C27" s="14"/>
      <c r="D27" s="102"/>
      <c r="E27" s="102"/>
      <c r="F27" s="102"/>
      <c r="G27" s="102"/>
      <c r="H27" s="102"/>
    </row>
    <row r="28" spans="1:8" ht="15.75">
      <c r="A28" s="43"/>
      <c r="B28" s="16"/>
      <c r="C28" s="14"/>
      <c r="D28" s="102"/>
      <c r="E28" s="102"/>
      <c r="F28" s="102"/>
      <c r="G28" s="102"/>
      <c r="H28" s="102"/>
    </row>
    <row r="29" spans="1:8" ht="16.5" thickBot="1">
      <c r="A29" s="44" t="s">
        <v>112</v>
      </c>
      <c r="B29" s="16"/>
      <c r="C29" s="14"/>
      <c r="D29" s="102"/>
      <c r="E29" s="102"/>
      <c r="F29" s="102"/>
      <c r="G29" s="102"/>
      <c r="H29" s="102"/>
    </row>
    <row r="30" spans="1:8" ht="12.75">
      <c r="A30" s="42" t="s">
        <v>113</v>
      </c>
      <c r="B30" s="56">
        <f>IF(B19&gt;B17+B18,0,B17+B18-B19)</f>
        <v>0.020000000000000004</v>
      </c>
      <c r="C30" s="121" t="s">
        <v>114</v>
      </c>
      <c r="D30" s="102"/>
      <c r="E30" s="102"/>
      <c r="F30" s="102"/>
      <c r="G30" s="102"/>
      <c r="H30" s="102"/>
    </row>
    <row r="31" spans="1:8" ht="12.75">
      <c r="A31" s="122"/>
      <c r="B31" s="102"/>
      <c r="C31" s="121"/>
      <c r="D31" s="102"/>
      <c r="E31" s="102"/>
      <c r="F31" s="102"/>
      <c r="G31" s="102"/>
      <c r="H31" s="102"/>
    </row>
    <row r="32" spans="1:8" ht="12.75">
      <c r="A32" s="42" t="s">
        <v>115</v>
      </c>
      <c r="B32" s="57">
        <f>B5*B20</f>
        <v>0.05</v>
      </c>
      <c r="C32" s="17" t="s">
        <v>116</v>
      </c>
      <c r="D32" s="102"/>
      <c r="E32" s="102"/>
      <c r="F32" s="102"/>
      <c r="G32" s="102"/>
      <c r="H32" s="102"/>
    </row>
    <row r="33" spans="1:8" ht="12.75">
      <c r="A33" s="122"/>
      <c r="B33" s="57">
        <f>B5*B21/12</f>
        <v>0.0062499999999999995</v>
      </c>
      <c r="C33" s="17" t="s">
        <v>117</v>
      </c>
      <c r="D33" s="102"/>
      <c r="E33" s="102"/>
      <c r="F33" s="102"/>
      <c r="G33" s="102"/>
      <c r="H33" s="102"/>
    </row>
    <row r="34" spans="1:8" ht="12.75">
      <c r="A34" s="42" t="s">
        <v>118</v>
      </c>
      <c r="B34" s="57">
        <f>B5*B15/12</f>
        <v>0.01875</v>
      </c>
      <c r="C34" s="121" t="s">
        <v>119</v>
      </c>
      <c r="D34" s="102"/>
      <c r="E34" s="102"/>
      <c r="F34" s="102"/>
      <c r="G34" s="102"/>
      <c r="H34" s="102"/>
    </row>
    <row r="35" spans="1:8" ht="12.75">
      <c r="A35" s="122"/>
      <c r="B35" s="102"/>
      <c r="C35" s="102"/>
      <c r="D35" s="102"/>
      <c r="E35" s="102"/>
      <c r="F35" s="102"/>
      <c r="G35" s="102"/>
      <c r="H35" s="102"/>
    </row>
    <row r="36" spans="1:8" ht="12.75">
      <c r="A36" s="102"/>
      <c r="B36" s="102"/>
      <c r="C36" s="102"/>
      <c r="D36" s="102"/>
      <c r="E36" s="102"/>
      <c r="F36" s="102"/>
      <c r="G36" s="102"/>
      <c r="H36" s="102"/>
    </row>
    <row r="37" spans="1:8" ht="12.75">
      <c r="A37" s="102"/>
      <c r="B37" s="102"/>
      <c r="C37" s="102"/>
      <c r="D37" s="102"/>
      <c r="E37" s="102"/>
      <c r="F37" s="102"/>
      <c r="G37" s="102"/>
      <c r="H37" s="102"/>
    </row>
    <row r="38" spans="1:8" ht="15.75">
      <c r="A38" s="102"/>
      <c r="B38" s="18" t="s">
        <v>120</v>
      </c>
      <c r="C38" s="18"/>
      <c r="D38" s="18"/>
      <c r="E38" s="18"/>
      <c r="F38" s="18"/>
      <c r="G38" s="18"/>
      <c r="H38" s="102"/>
    </row>
    <row r="39" spans="1:8" ht="16.5" thickBot="1">
      <c r="A39" s="109"/>
      <c r="B39" s="19" t="s">
        <v>121</v>
      </c>
      <c r="C39" s="19"/>
      <c r="D39" s="19"/>
      <c r="E39" s="19"/>
      <c r="F39" s="19"/>
      <c r="G39" s="19"/>
      <c r="H39" s="102"/>
    </row>
    <row r="40" spans="1:8" ht="16.5" thickBot="1">
      <c r="A40" s="20" t="s">
        <v>122</v>
      </c>
      <c r="B40" s="21">
        <f>B7</f>
        <v>3</v>
      </c>
      <c r="C40" s="21">
        <f>B8</f>
        <v>6</v>
      </c>
      <c r="D40" s="21">
        <f>B9</f>
        <v>9</v>
      </c>
      <c r="E40" s="21">
        <f>B10</f>
        <v>10</v>
      </c>
      <c r="F40" s="21">
        <f>B11</f>
        <v>15</v>
      </c>
      <c r="G40" s="21">
        <f>B12</f>
        <v>24</v>
      </c>
      <c r="H40" s="102"/>
    </row>
    <row r="41" spans="1:8" ht="12.75">
      <c r="A41" s="22" t="s">
        <v>123</v>
      </c>
      <c r="B41" s="58">
        <f aca="true" t="shared" si="0" ref="B41:G41">$B$30</f>
        <v>0.020000000000000004</v>
      </c>
      <c r="C41" s="58">
        <f t="shared" si="0"/>
        <v>0.020000000000000004</v>
      </c>
      <c r="D41" s="58">
        <f t="shared" si="0"/>
        <v>0.020000000000000004</v>
      </c>
      <c r="E41" s="58">
        <f t="shared" si="0"/>
        <v>0.020000000000000004</v>
      </c>
      <c r="F41" s="58">
        <f t="shared" si="0"/>
        <v>0.020000000000000004</v>
      </c>
      <c r="G41" s="58">
        <f t="shared" si="0"/>
        <v>0.020000000000000004</v>
      </c>
      <c r="H41" s="102"/>
    </row>
    <row r="42" spans="1:8" ht="12.75">
      <c r="A42" s="22" t="s">
        <v>124</v>
      </c>
      <c r="B42" s="58">
        <f aca="true" t="shared" si="1" ref="B42:G42">$B$32+($B$33*B40)</f>
        <v>0.06875</v>
      </c>
      <c r="C42" s="58">
        <f t="shared" si="1"/>
        <v>0.0875</v>
      </c>
      <c r="D42" s="58">
        <f t="shared" si="1"/>
        <v>0.10625</v>
      </c>
      <c r="E42" s="58">
        <f t="shared" si="1"/>
        <v>0.11249999999999999</v>
      </c>
      <c r="F42" s="58">
        <f t="shared" si="1"/>
        <v>0.14375</v>
      </c>
      <c r="G42" s="58">
        <f t="shared" si="1"/>
        <v>0.2</v>
      </c>
      <c r="H42" s="102"/>
    </row>
    <row r="43" spans="1:8" ht="12.75">
      <c r="A43" s="22" t="s">
        <v>125</v>
      </c>
      <c r="B43" s="58">
        <f aca="true" t="shared" si="2" ref="B43:G43">$B$22</f>
        <v>0.05</v>
      </c>
      <c r="C43" s="58">
        <f t="shared" si="2"/>
        <v>0.05</v>
      </c>
      <c r="D43" s="58">
        <f t="shared" si="2"/>
        <v>0.05</v>
      </c>
      <c r="E43" s="58">
        <f t="shared" si="2"/>
        <v>0.05</v>
      </c>
      <c r="F43" s="58">
        <f t="shared" si="2"/>
        <v>0.05</v>
      </c>
      <c r="G43" s="58">
        <f t="shared" si="2"/>
        <v>0.05</v>
      </c>
      <c r="H43" s="102"/>
    </row>
    <row r="44" spans="1:8" ht="12.75">
      <c r="A44" s="22" t="s">
        <v>126</v>
      </c>
      <c r="B44" s="58">
        <f aca="true" t="shared" si="3" ref="B44:G44">B40*$B$34</f>
        <v>0.056249999999999994</v>
      </c>
      <c r="C44" s="58">
        <f t="shared" si="3"/>
        <v>0.11249999999999999</v>
      </c>
      <c r="D44" s="58">
        <f t="shared" si="3"/>
        <v>0.16874999999999998</v>
      </c>
      <c r="E44" s="58">
        <f t="shared" si="3"/>
        <v>0.1875</v>
      </c>
      <c r="F44" s="58">
        <f t="shared" si="3"/>
        <v>0.28125</v>
      </c>
      <c r="G44" s="58">
        <f t="shared" si="3"/>
        <v>0.44999999999999996</v>
      </c>
      <c r="H44" s="102"/>
    </row>
    <row r="45" spans="1:8" ht="13.5" thickBot="1">
      <c r="A45" s="22" t="s">
        <v>127</v>
      </c>
      <c r="B45" s="58">
        <f aca="true" t="shared" si="4" ref="B45:G45">$B$13*B40/12</f>
        <v>0.0025</v>
      </c>
      <c r="C45" s="58">
        <f t="shared" si="4"/>
        <v>0.005</v>
      </c>
      <c r="D45" s="58">
        <f t="shared" si="4"/>
        <v>0.0075</v>
      </c>
      <c r="E45" s="58">
        <f t="shared" si="4"/>
        <v>0.008333333333333333</v>
      </c>
      <c r="F45" s="58">
        <f t="shared" si="4"/>
        <v>0.012499999999999999</v>
      </c>
      <c r="G45" s="58">
        <f t="shared" si="4"/>
        <v>0.02</v>
      </c>
      <c r="H45" s="102"/>
    </row>
    <row r="46" spans="1:8" ht="14.25" thickBot="1" thickTop="1">
      <c r="A46" s="24" t="s">
        <v>128</v>
      </c>
      <c r="B46" s="59">
        <f aca="true" t="shared" si="5" ref="B46:G46">SUM(B41:B45)</f>
        <v>0.1975</v>
      </c>
      <c r="C46" s="59">
        <f t="shared" si="5"/>
        <v>0.275</v>
      </c>
      <c r="D46" s="59">
        <f t="shared" si="5"/>
        <v>0.3525</v>
      </c>
      <c r="E46" s="59">
        <f t="shared" si="5"/>
        <v>0.37833333333333335</v>
      </c>
      <c r="F46" s="59">
        <f t="shared" si="5"/>
        <v>0.5075</v>
      </c>
      <c r="G46" s="59">
        <f t="shared" si="5"/>
        <v>0.74</v>
      </c>
      <c r="H46" s="102"/>
    </row>
    <row r="47" spans="1:8" ht="13.5" thickBot="1">
      <c r="A47" s="26" t="s">
        <v>129</v>
      </c>
      <c r="B47" s="60">
        <f aca="true" t="shared" si="6" ref="B47:G47">$B$5+B46</f>
        <v>2.6975</v>
      </c>
      <c r="C47" s="60">
        <f t="shared" si="6"/>
        <v>2.775</v>
      </c>
      <c r="D47" s="60">
        <f t="shared" si="6"/>
        <v>2.8525</v>
      </c>
      <c r="E47" s="60">
        <f t="shared" si="6"/>
        <v>2.8783333333333334</v>
      </c>
      <c r="F47" s="60">
        <f t="shared" si="6"/>
        <v>3.0075</v>
      </c>
      <c r="G47" s="60">
        <f t="shared" si="6"/>
        <v>3.24</v>
      </c>
      <c r="H47" s="102"/>
    </row>
    <row r="48" spans="1:8" ht="12.75">
      <c r="A48" s="102"/>
      <c r="B48" s="102"/>
      <c r="C48" s="102"/>
      <c r="D48" s="102"/>
      <c r="E48" s="102"/>
      <c r="F48" s="102"/>
      <c r="G48" s="102"/>
      <c r="H48" s="102"/>
    </row>
    <row r="49" spans="1:8" ht="12.75">
      <c r="A49" s="102"/>
      <c r="B49" s="102"/>
      <c r="C49" s="102"/>
      <c r="D49" s="102"/>
      <c r="E49" s="102"/>
      <c r="F49" s="102"/>
      <c r="G49" s="102"/>
      <c r="H49" s="102"/>
    </row>
    <row r="50" spans="1:8" ht="12.75">
      <c r="A50" s="102"/>
      <c r="B50" s="102"/>
      <c r="C50" s="102"/>
      <c r="D50" s="102"/>
      <c r="E50" s="102"/>
      <c r="F50" s="102"/>
      <c r="G50" s="102"/>
      <c r="H50" s="102"/>
    </row>
    <row r="55" ht="12.75">
      <c r="J55" s="4"/>
    </row>
    <row r="75" spans="1:6" ht="12.75">
      <c r="A75" s="2"/>
      <c r="B75" s="2"/>
      <c r="C75" s="2"/>
      <c r="D75" s="2"/>
      <c r="E75" s="2"/>
      <c r="F75" s="2"/>
    </row>
    <row r="76" spans="1:6" ht="12.75">
      <c r="A76" s="2"/>
      <c r="B76" s="2"/>
      <c r="C76" s="2"/>
      <c r="D76" s="2"/>
      <c r="E76" s="2"/>
      <c r="F76" s="2"/>
    </row>
  </sheetData>
  <sheetProtection sheet="1" objects="1" scenarios="1"/>
  <mergeCells count="3">
    <mergeCell ref="A3:D3"/>
    <mergeCell ref="A4:D4"/>
    <mergeCell ref="A2:D2"/>
  </mergeCells>
  <printOptions headings="1" horizontalCentered="1"/>
  <pageMargins left="0.75" right="0.75" top="1" bottom="1" header="0.5" footer="0.5"/>
  <pageSetup fitToHeight="1" fitToWidth="1" horizontalDpi="300" verticalDpi="300" orientation="landscape" r:id="rId4"/>
  <drawing r:id="rId3"/>
  <legacyDrawing r:id="rId2"/>
</worksheet>
</file>

<file path=xl/worksheets/sheet7.xml><?xml version="1.0" encoding="utf-8"?>
<worksheet xmlns="http://schemas.openxmlformats.org/spreadsheetml/2006/main" xmlns:r="http://schemas.openxmlformats.org/officeDocument/2006/relationships">
  <dimension ref="A1:H63"/>
  <sheetViews>
    <sheetView zoomScale="90" zoomScaleNormal="90" workbookViewId="0" topLeftCell="A1">
      <selection activeCell="B5" sqref="B5"/>
    </sheetView>
  </sheetViews>
  <sheetFormatPr defaultColWidth="9.140625" defaultRowHeight="12.75"/>
  <cols>
    <col min="1" max="1" width="37.8515625" style="0" customWidth="1"/>
    <col min="2" max="2" width="12.7109375" style="0" customWidth="1"/>
  </cols>
  <sheetData>
    <row r="1" spans="1:8" ht="12.75">
      <c r="A1" s="102"/>
      <c r="B1" s="102"/>
      <c r="C1" s="102"/>
      <c r="D1" s="102"/>
      <c r="E1" s="102"/>
      <c r="F1" s="102"/>
      <c r="G1" s="102"/>
      <c r="H1" s="102"/>
    </row>
    <row r="2" spans="1:8" ht="15.75">
      <c r="A2" s="12" t="s">
        <v>130</v>
      </c>
      <c r="B2" s="13"/>
      <c r="C2" s="102"/>
      <c r="D2" s="102"/>
      <c r="E2" s="102"/>
      <c r="F2" s="102"/>
      <c r="G2" s="102"/>
      <c r="H2" s="102"/>
    </row>
    <row r="3" spans="1:8" ht="15" customHeight="1">
      <c r="A3" s="241" t="s">
        <v>90</v>
      </c>
      <c r="B3" s="241"/>
      <c r="C3" s="241"/>
      <c r="D3" s="241"/>
      <c r="E3" s="241"/>
      <c r="F3" s="28"/>
      <c r="G3" s="28"/>
      <c r="H3" s="102"/>
    </row>
    <row r="4" spans="1:8" ht="12.75">
      <c r="A4" s="241" t="s">
        <v>91</v>
      </c>
      <c r="B4" s="241"/>
      <c r="C4" s="241"/>
      <c r="D4" s="241"/>
      <c r="E4" s="241"/>
      <c r="F4" s="102"/>
      <c r="G4" s="102"/>
      <c r="H4" s="102"/>
    </row>
    <row r="5" spans="1:8" ht="15.75">
      <c r="A5" s="42" t="s">
        <v>92</v>
      </c>
      <c r="B5" s="124">
        <v>4</v>
      </c>
      <c r="C5" s="14"/>
      <c r="D5" s="102"/>
      <c r="E5" s="102"/>
      <c r="F5" s="102"/>
      <c r="G5" s="102"/>
      <c r="H5" s="102"/>
    </row>
    <row r="6" spans="1:8" ht="15.75">
      <c r="A6" s="42" t="s">
        <v>93</v>
      </c>
      <c r="B6" s="29"/>
      <c r="C6" s="14"/>
      <c r="D6" s="102"/>
      <c r="E6" s="102"/>
      <c r="F6" s="102"/>
      <c r="G6" s="102"/>
      <c r="H6" s="102"/>
    </row>
    <row r="7" spans="1:8" ht="15.75">
      <c r="A7" s="42" t="s">
        <v>94</v>
      </c>
      <c r="B7" s="125">
        <v>3</v>
      </c>
      <c r="C7" s="14"/>
      <c r="D7" s="102"/>
      <c r="E7" s="102"/>
      <c r="F7" s="102"/>
      <c r="G7" s="102"/>
      <c r="H7" s="102"/>
    </row>
    <row r="8" spans="1:8" ht="15.75">
      <c r="A8" s="42" t="s">
        <v>95</v>
      </c>
      <c r="B8" s="125">
        <v>6</v>
      </c>
      <c r="C8" s="14"/>
      <c r="D8" s="102"/>
      <c r="E8" s="102"/>
      <c r="F8" s="102"/>
      <c r="G8" s="102"/>
      <c r="H8" s="102"/>
    </row>
    <row r="9" spans="1:8" ht="15.75">
      <c r="A9" s="42" t="s">
        <v>96</v>
      </c>
      <c r="B9" s="125">
        <v>9</v>
      </c>
      <c r="C9" s="14"/>
      <c r="D9" s="102"/>
      <c r="E9" s="102"/>
      <c r="F9" s="102"/>
      <c r="G9" s="102"/>
      <c r="H9" s="102"/>
    </row>
    <row r="10" spans="1:8" ht="15.75">
      <c r="A10" s="42" t="s">
        <v>97</v>
      </c>
      <c r="B10" s="125">
        <v>10</v>
      </c>
      <c r="C10" s="14"/>
      <c r="D10" s="102"/>
      <c r="E10" s="102"/>
      <c r="F10" s="102"/>
      <c r="G10" s="102"/>
      <c r="H10" s="102"/>
    </row>
    <row r="11" spans="1:8" ht="15.75">
      <c r="A11" s="42" t="s">
        <v>98</v>
      </c>
      <c r="B11" s="125">
        <v>15</v>
      </c>
      <c r="C11" s="14"/>
      <c r="D11" s="102"/>
      <c r="E11" s="102"/>
      <c r="F11" s="102"/>
      <c r="G11" s="102"/>
      <c r="H11" s="102"/>
    </row>
    <row r="12" spans="1:8" ht="15.75">
      <c r="A12" s="42" t="s">
        <v>99</v>
      </c>
      <c r="B12" s="125">
        <v>24</v>
      </c>
      <c r="C12" s="14"/>
      <c r="D12" s="102"/>
      <c r="E12" s="102"/>
      <c r="F12" s="102"/>
      <c r="G12" s="102"/>
      <c r="H12" s="102"/>
    </row>
    <row r="13" spans="1:8" ht="15.75">
      <c r="A13" s="42" t="s">
        <v>100</v>
      </c>
      <c r="B13" s="106">
        <v>350</v>
      </c>
      <c r="C13" s="14"/>
      <c r="D13" s="102"/>
      <c r="E13" s="102"/>
      <c r="F13" s="102"/>
      <c r="G13" s="102"/>
      <c r="H13" s="102"/>
    </row>
    <row r="14" spans="1:8" ht="15.75">
      <c r="A14" s="42" t="s">
        <v>131</v>
      </c>
      <c r="B14" s="36">
        <v>10000</v>
      </c>
      <c r="C14" s="14"/>
      <c r="D14" s="102"/>
      <c r="E14" s="102"/>
      <c r="F14" s="102"/>
      <c r="G14" s="102"/>
      <c r="H14" s="102"/>
    </row>
    <row r="15" spans="1:8" ht="15.75">
      <c r="A15" s="42" t="s">
        <v>132</v>
      </c>
      <c r="B15" s="37">
        <v>30</v>
      </c>
      <c r="C15" s="14"/>
      <c r="D15" s="102"/>
      <c r="E15" s="102"/>
      <c r="F15" s="102"/>
      <c r="G15" s="102"/>
      <c r="H15" s="102"/>
    </row>
    <row r="16" spans="1:8" ht="15.75">
      <c r="A16" s="42" t="s">
        <v>133</v>
      </c>
      <c r="B16" s="37">
        <v>5000</v>
      </c>
      <c r="C16" s="14"/>
      <c r="D16" s="102"/>
      <c r="E16" s="102"/>
      <c r="F16" s="102"/>
      <c r="G16" s="102"/>
      <c r="H16" s="102"/>
    </row>
    <row r="17" spans="1:8" ht="15.75">
      <c r="A17" s="42" t="s">
        <v>134</v>
      </c>
      <c r="B17" s="38">
        <v>0.1</v>
      </c>
      <c r="C17" s="14"/>
      <c r="D17" s="102"/>
      <c r="E17" s="102"/>
      <c r="F17" s="102"/>
      <c r="G17" s="102"/>
      <c r="H17" s="102"/>
    </row>
    <row r="18" spans="1:8" ht="15.75">
      <c r="A18" s="42" t="s">
        <v>135</v>
      </c>
      <c r="B18" s="36">
        <v>8000</v>
      </c>
      <c r="C18" s="14"/>
      <c r="D18" s="102"/>
      <c r="E18" s="102"/>
      <c r="F18" s="102"/>
      <c r="G18" s="102"/>
      <c r="H18" s="102"/>
    </row>
    <row r="19" spans="1:8" ht="15.75">
      <c r="A19" s="42" t="s">
        <v>102</v>
      </c>
      <c r="B19" s="106" t="s">
        <v>103</v>
      </c>
      <c r="C19" s="14"/>
      <c r="D19" s="102"/>
      <c r="E19" s="102"/>
      <c r="F19" s="102"/>
      <c r="G19" s="102"/>
      <c r="H19" s="102"/>
    </row>
    <row r="20" spans="1:8" ht="15.75">
      <c r="A20" s="42" t="s">
        <v>104</v>
      </c>
      <c r="B20" s="126">
        <v>0.09</v>
      </c>
      <c r="C20" s="14"/>
      <c r="D20" s="102"/>
      <c r="E20" s="102"/>
      <c r="F20" s="102"/>
      <c r="G20" s="102"/>
      <c r="H20" s="102"/>
    </row>
    <row r="21" spans="1:8" ht="15.75">
      <c r="A21" s="42" t="s">
        <v>105</v>
      </c>
      <c r="B21" s="15"/>
      <c r="C21" s="14"/>
      <c r="D21" s="102"/>
      <c r="E21" s="102"/>
      <c r="F21" s="102"/>
      <c r="G21" s="102"/>
      <c r="H21" s="102"/>
    </row>
    <row r="22" spans="1:8" ht="15.75">
      <c r="A22" s="42" t="s">
        <v>106</v>
      </c>
      <c r="B22" s="30">
        <v>0.03</v>
      </c>
      <c r="C22" s="14"/>
      <c r="D22" s="102"/>
      <c r="E22" s="102"/>
      <c r="F22" s="102"/>
      <c r="G22" s="102"/>
      <c r="H22" s="102"/>
    </row>
    <row r="23" spans="1:8" ht="15.75">
      <c r="A23" s="42" t="s">
        <v>107</v>
      </c>
      <c r="B23" s="30">
        <v>0.05</v>
      </c>
      <c r="C23" s="14"/>
      <c r="D23" s="102"/>
      <c r="E23" s="102"/>
      <c r="F23" s="102"/>
      <c r="G23" s="102"/>
      <c r="H23" s="102"/>
    </row>
    <row r="24" spans="1:8" ht="15.75">
      <c r="A24" s="42" t="s">
        <v>108</v>
      </c>
      <c r="B24" s="30">
        <v>0.06</v>
      </c>
      <c r="C24" s="14"/>
      <c r="D24" s="102"/>
      <c r="E24" s="102"/>
      <c r="F24" s="102"/>
      <c r="G24" s="102"/>
      <c r="H24" s="102"/>
    </row>
    <row r="25" spans="1:8" ht="15.75">
      <c r="A25" s="42" t="s">
        <v>109</v>
      </c>
      <c r="B25" s="31">
        <v>0.02</v>
      </c>
      <c r="C25" s="14"/>
      <c r="D25" s="102"/>
      <c r="E25" s="102"/>
      <c r="F25" s="102"/>
      <c r="G25" s="102"/>
      <c r="H25" s="102"/>
    </row>
    <row r="26" spans="1:8" ht="15.75">
      <c r="A26" s="42" t="s">
        <v>110</v>
      </c>
      <c r="B26" s="31">
        <v>0.03</v>
      </c>
      <c r="C26" s="14"/>
      <c r="D26" s="102"/>
      <c r="E26" s="102"/>
      <c r="F26" s="102"/>
      <c r="G26" s="102"/>
      <c r="H26" s="102"/>
    </row>
    <row r="27" spans="1:8" ht="15.75">
      <c r="A27" s="42" t="s">
        <v>111</v>
      </c>
      <c r="B27" s="30">
        <v>0.05</v>
      </c>
      <c r="C27" s="14"/>
      <c r="D27" s="102"/>
      <c r="E27" s="102"/>
      <c r="F27" s="102"/>
      <c r="G27" s="102"/>
      <c r="H27" s="102"/>
    </row>
    <row r="28" spans="1:8" ht="15.75">
      <c r="A28" s="43"/>
      <c r="B28" s="16"/>
      <c r="C28" s="14"/>
      <c r="D28" s="102"/>
      <c r="E28" s="102"/>
      <c r="F28" s="102"/>
      <c r="G28" s="102"/>
      <c r="H28" s="102"/>
    </row>
    <row r="29" spans="1:8" ht="16.5" thickBot="1">
      <c r="A29" s="44" t="s">
        <v>112</v>
      </c>
      <c r="B29" s="32"/>
      <c r="C29" s="33"/>
      <c r="D29" s="34"/>
      <c r="E29" s="34"/>
      <c r="F29" s="34"/>
      <c r="G29" s="102"/>
      <c r="H29" s="102"/>
    </row>
    <row r="30" spans="1:8" ht="12.75">
      <c r="A30" s="42" t="s">
        <v>113</v>
      </c>
      <c r="B30" s="39">
        <f>IF(B24&gt;B22+B23,0,B22+B23-B24)</f>
        <v>0.020000000000000004</v>
      </c>
      <c r="C30" s="121" t="s">
        <v>114</v>
      </c>
      <c r="D30" s="102"/>
      <c r="E30" s="102"/>
      <c r="F30" s="102"/>
      <c r="G30" s="102"/>
      <c r="H30" s="102"/>
    </row>
    <row r="31" spans="1:8" ht="12.75">
      <c r="A31" s="122"/>
      <c r="B31" s="102"/>
      <c r="C31" s="121"/>
      <c r="D31" s="102"/>
      <c r="E31" s="102"/>
      <c r="F31" s="102"/>
      <c r="G31" s="102"/>
      <c r="H31" s="102"/>
    </row>
    <row r="32" spans="1:8" ht="12.75">
      <c r="A32" s="42" t="s">
        <v>115</v>
      </c>
      <c r="B32" s="40">
        <f>B5*B25</f>
        <v>0.08</v>
      </c>
      <c r="C32" s="17" t="s">
        <v>116</v>
      </c>
      <c r="D32" s="102"/>
      <c r="E32" s="102"/>
      <c r="F32" s="102"/>
      <c r="G32" s="102"/>
      <c r="H32" s="102"/>
    </row>
    <row r="33" spans="1:8" ht="12.75">
      <c r="A33" s="122"/>
      <c r="B33" s="40">
        <f>B5*B26/12</f>
        <v>0.01</v>
      </c>
      <c r="C33" s="17" t="s">
        <v>117</v>
      </c>
      <c r="D33" s="102"/>
      <c r="E33" s="102"/>
      <c r="F33" s="102"/>
      <c r="G33" s="102"/>
      <c r="H33" s="102"/>
    </row>
    <row r="34" spans="1:8" ht="12.75">
      <c r="A34" s="42" t="s">
        <v>118</v>
      </c>
      <c r="B34" s="40">
        <f>B5*B20/12</f>
        <v>0.03</v>
      </c>
      <c r="C34" s="121" t="s">
        <v>119</v>
      </c>
      <c r="D34" s="102"/>
      <c r="E34" s="102"/>
      <c r="F34" s="102"/>
      <c r="G34" s="102"/>
      <c r="H34" s="102"/>
    </row>
    <row r="35" spans="1:8" ht="12.75">
      <c r="A35" s="122"/>
      <c r="B35" s="102"/>
      <c r="C35" s="102"/>
      <c r="D35" s="102"/>
      <c r="E35" s="102"/>
      <c r="F35" s="102"/>
      <c r="G35" s="102"/>
      <c r="H35" s="102"/>
    </row>
    <row r="36" spans="1:8" ht="12.75">
      <c r="A36" s="42" t="s">
        <v>136</v>
      </c>
      <c r="B36" s="40">
        <f>B14/B15/B16</f>
        <v>0.06666666666666667</v>
      </c>
      <c r="C36" s="35" t="s">
        <v>137</v>
      </c>
      <c r="D36" s="102"/>
      <c r="E36" s="102"/>
      <c r="F36" s="102"/>
      <c r="G36" s="102"/>
      <c r="H36" s="102"/>
    </row>
    <row r="37" spans="1:8" ht="12.75">
      <c r="A37" s="102"/>
      <c r="B37" s="40">
        <f>B14*B17/B16</f>
        <v>0.2</v>
      </c>
      <c r="C37" s="35" t="s">
        <v>138</v>
      </c>
      <c r="D37" s="102"/>
      <c r="E37" s="102"/>
      <c r="F37" s="102"/>
      <c r="G37" s="102"/>
      <c r="H37" s="102"/>
    </row>
    <row r="38" spans="1:8" ht="12.75">
      <c r="A38" s="102"/>
      <c r="B38" s="40">
        <f>B18*G38*B13/1000/B16</f>
        <v>0.021616</v>
      </c>
      <c r="C38" s="35" t="s">
        <v>139</v>
      </c>
      <c r="D38" s="123"/>
      <c r="E38" s="118"/>
      <c r="F38" s="119" t="s">
        <v>140</v>
      </c>
      <c r="G38" s="120">
        <v>0.0386</v>
      </c>
      <c r="H38" s="102"/>
    </row>
    <row r="39" spans="1:8" ht="13.5" thickBot="1">
      <c r="A39" s="102"/>
      <c r="B39" s="41"/>
      <c r="C39" s="35" t="s">
        <v>141</v>
      </c>
      <c r="D39" s="102"/>
      <c r="E39" s="102"/>
      <c r="F39" s="102"/>
      <c r="G39" s="102"/>
      <c r="H39" s="102"/>
    </row>
    <row r="40" spans="1:8" ht="13.5" thickTop="1">
      <c r="A40" s="102"/>
      <c r="B40" s="40">
        <f>SUM(B36:B39)</f>
        <v>0.2882826666666667</v>
      </c>
      <c r="C40" s="5" t="s">
        <v>142</v>
      </c>
      <c r="D40" s="102"/>
      <c r="E40" s="102"/>
      <c r="F40" s="102"/>
      <c r="G40" s="102"/>
      <c r="H40" s="102"/>
    </row>
    <row r="41" spans="1:8" ht="12.75">
      <c r="A41" s="102"/>
      <c r="B41" s="102"/>
      <c r="C41" s="102"/>
      <c r="D41" s="102"/>
      <c r="E41" s="102"/>
      <c r="F41" s="102"/>
      <c r="G41" s="102"/>
      <c r="H41" s="102"/>
    </row>
    <row r="42" spans="1:8" ht="12.75">
      <c r="A42" s="102"/>
      <c r="B42" s="102"/>
      <c r="C42" s="102"/>
      <c r="D42" s="102"/>
      <c r="E42" s="102"/>
      <c r="F42" s="102"/>
      <c r="G42" s="102"/>
      <c r="H42" s="102"/>
    </row>
    <row r="43" spans="1:8" ht="12.75">
      <c r="A43" s="102"/>
      <c r="B43" s="102"/>
      <c r="C43" s="102"/>
      <c r="D43" s="102"/>
      <c r="E43" s="102"/>
      <c r="F43" s="102"/>
      <c r="G43" s="102"/>
      <c r="H43" s="102"/>
    </row>
    <row r="44" spans="1:8" ht="12.75">
      <c r="A44" s="102"/>
      <c r="B44" s="102"/>
      <c r="C44" s="102"/>
      <c r="D44" s="102"/>
      <c r="E44" s="102"/>
      <c r="F44" s="102"/>
      <c r="G44" s="102"/>
      <c r="H44" s="102"/>
    </row>
    <row r="45" spans="1:8" ht="12.75">
      <c r="A45" s="102"/>
      <c r="B45" s="102"/>
      <c r="C45" s="102"/>
      <c r="D45" s="102"/>
      <c r="E45" s="102"/>
      <c r="F45" s="102"/>
      <c r="G45" s="102"/>
      <c r="H45" s="102"/>
    </row>
    <row r="46" spans="1:8" ht="12.75">
      <c r="A46" s="102"/>
      <c r="B46" s="102"/>
      <c r="C46" s="102"/>
      <c r="D46" s="102"/>
      <c r="E46" s="102"/>
      <c r="F46" s="102"/>
      <c r="G46" s="102"/>
      <c r="H46" s="102"/>
    </row>
    <row r="47" spans="1:8" ht="12.75">
      <c r="A47" s="102"/>
      <c r="B47" s="102"/>
      <c r="C47" s="102"/>
      <c r="D47" s="102"/>
      <c r="E47" s="102"/>
      <c r="F47" s="102"/>
      <c r="G47" s="102"/>
      <c r="H47" s="102"/>
    </row>
    <row r="48" spans="1:8" ht="12.75">
      <c r="A48" s="102"/>
      <c r="B48" s="102"/>
      <c r="C48" s="102"/>
      <c r="D48" s="102"/>
      <c r="E48" s="102"/>
      <c r="F48" s="102"/>
      <c r="G48" s="102"/>
      <c r="H48" s="102"/>
    </row>
    <row r="49" spans="1:8" ht="12.75">
      <c r="A49" s="102"/>
      <c r="B49" s="102"/>
      <c r="C49" s="102"/>
      <c r="D49" s="102"/>
      <c r="E49" s="102"/>
      <c r="F49" s="102"/>
      <c r="G49" s="102"/>
      <c r="H49" s="102"/>
    </row>
    <row r="50" spans="1:8" ht="12.75">
      <c r="A50" s="102"/>
      <c r="B50" s="102"/>
      <c r="C50" s="102"/>
      <c r="D50" s="102"/>
      <c r="E50" s="102"/>
      <c r="F50" s="102"/>
      <c r="G50" s="102"/>
      <c r="H50" s="102"/>
    </row>
    <row r="51" spans="1:8" ht="15.75">
      <c r="A51" s="102"/>
      <c r="B51" s="18" t="s">
        <v>120</v>
      </c>
      <c r="C51" s="18"/>
      <c r="D51" s="18"/>
      <c r="E51" s="18"/>
      <c r="F51" s="18"/>
      <c r="G51" s="18"/>
      <c r="H51" s="102"/>
    </row>
    <row r="52" spans="1:8" ht="16.5" thickBot="1">
      <c r="A52" s="102"/>
      <c r="B52" s="19" t="s">
        <v>121</v>
      </c>
      <c r="C52" s="19"/>
      <c r="D52" s="19"/>
      <c r="E52" s="19"/>
      <c r="F52" s="19"/>
      <c r="G52" s="19"/>
      <c r="H52" s="102"/>
    </row>
    <row r="53" spans="1:8" ht="16.5" thickBot="1">
      <c r="A53" s="20" t="s">
        <v>122</v>
      </c>
      <c r="B53" s="21">
        <f>B7</f>
        <v>3</v>
      </c>
      <c r="C53" s="21">
        <f>B8</f>
        <v>6</v>
      </c>
      <c r="D53" s="21">
        <f>B9</f>
        <v>9</v>
      </c>
      <c r="E53" s="21">
        <f>B10</f>
        <v>10</v>
      </c>
      <c r="F53" s="21">
        <f>B11</f>
        <v>15</v>
      </c>
      <c r="G53" s="21">
        <f>B12</f>
        <v>24</v>
      </c>
      <c r="H53" s="102"/>
    </row>
    <row r="54" spans="1:8" ht="12.75">
      <c r="A54" s="22" t="s">
        <v>123</v>
      </c>
      <c r="B54" s="23">
        <f aca="true" t="shared" si="0" ref="B54:G54">$B$30</f>
        <v>0.020000000000000004</v>
      </c>
      <c r="C54" s="23">
        <f t="shared" si="0"/>
        <v>0.020000000000000004</v>
      </c>
      <c r="D54" s="23">
        <f t="shared" si="0"/>
        <v>0.020000000000000004</v>
      </c>
      <c r="E54" s="23">
        <f t="shared" si="0"/>
        <v>0.020000000000000004</v>
      </c>
      <c r="F54" s="23">
        <f t="shared" si="0"/>
        <v>0.020000000000000004</v>
      </c>
      <c r="G54" s="23">
        <f t="shared" si="0"/>
        <v>0.020000000000000004</v>
      </c>
      <c r="H54" s="102"/>
    </row>
    <row r="55" spans="1:8" ht="12.75">
      <c r="A55" s="22" t="s">
        <v>124</v>
      </c>
      <c r="B55" s="23">
        <f aca="true" t="shared" si="1" ref="B55:G55">$B$32+($B$33*B53)</f>
        <v>0.11</v>
      </c>
      <c r="C55" s="23">
        <f t="shared" si="1"/>
        <v>0.14</v>
      </c>
      <c r="D55" s="23">
        <f t="shared" si="1"/>
        <v>0.16999999999999998</v>
      </c>
      <c r="E55" s="23">
        <f t="shared" si="1"/>
        <v>0.18</v>
      </c>
      <c r="F55" s="23">
        <f t="shared" si="1"/>
        <v>0.22999999999999998</v>
      </c>
      <c r="G55" s="23">
        <f t="shared" si="1"/>
        <v>0.32</v>
      </c>
      <c r="H55" s="102"/>
    </row>
    <row r="56" spans="1:8" ht="12.75">
      <c r="A56" s="22" t="s">
        <v>125</v>
      </c>
      <c r="B56" s="23">
        <f aca="true" t="shared" si="2" ref="B56:G56">$B$27</f>
        <v>0.05</v>
      </c>
      <c r="C56" s="23">
        <f t="shared" si="2"/>
        <v>0.05</v>
      </c>
      <c r="D56" s="23">
        <f t="shared" si="2"/>
        <v>0.05</v>
      </c>
      <c r="E56" s="23">
        <f t="shared" si="2"/>
        <v>0.05</v>
      </c>
      <c r="F56" s="23">
        <f t="shared" si="2"/>
        <v>0.05</v>
      </c>
      <c r="G56" s="23">
        <f t="shared" si="2"/>
        <v>0.05</v>
      </c>
      <c r="H56" s="102"/>
    </row>
    <row r="57" spans="1:8" ht="12.75">
      <c r="A57" s="22" t="s">
        <v>126</v>
      </c>
      <c r="B57" s="23">
        <f aca="true" t="shared" si="3" ref="B57:G57">B53*$B$34</f>
        <v>0.09</v>
      </c>
      <c r="C57" s="23">
        <f t="shared" si="3"/>
        <v>0.18</v>
      </c>
      <c r="D57" s="23">
        <f t="shared" si="3"/>
        <v>0.27</v>
      </c>
      <c r="E57" s="23">
        <f t="shared" si="3"/>
        <v>0.3</v>
      </c>
      <c r="F57" s="23">
        <f t="shared" si="3"/>
        <v>0.44999999999999996</v>
      </c>
      <c r="G57" s="23">
        <f t="shared" si="3"/>
        <v>0.72</v>
      </c>
      <c r="H57" s="102"/>
    </row>
    <row r="58" spans="1:8" ht="13.5" thickBot="1">
      <c r="A58" s="22" t="s">
        <v>127</v>
      </c>
      <c r="B58" s="23">
        <f aca="true" t="shared" si="4" ref="B58:G58">$B$40*B53/12</f>
        <v>0.07207066666666667</v>
      </c>
      <c r="C58" s="23">
        <f t="shared" si="4"/>
        <v>0.14414133333333334</v>
      </c>
      <c r="D58" s="23">
        <f t="shared" si="4"/>
        <v>0.216212</v>
      </c>
      <c r="E58" s="23">
        <f t="shared" si="4"/>
        <v>0.24023555555555556</v>
      </c>
      <c r="F58" s="23">
        <f t="shared" si="4"/>
        <v>0.36035333333333336</v>
      </c>
      <c r="G58" s="23">
        <f t="shared" si="4"/>
        <v>0.5765653333333334</v>
      </c>
      <c r="H58" s="102"/>
    </row>
    <row r="59" spans="1:8" ht="14.25" thickBot="1" thickTop="1">
      <c r="A59" s="24" t="s">
        <v>128</v>
      </c>
      <c r="B59" s="25">
        <f aca="true" t="shared" si="5" ref="B59:G59">SUM(B54:B58)</f>
        <v>0.3420706666666667</v>
      </c>
      <c r="C59" s="25">
        <f t="shared" si="5"/>
        <v>0.5341413333333334</v>
      </c>
      <c r="D59" s="25">
        <f t="shared" si="5"/>
        <v>0.726212</v>
      </c>
      <c r="E59" s="25">
        <f t="shared" si="5"/>
        <v>0.7902355555555556</v>
      </c>
      <c r="F59" s="25">
        <f t="shared" si="5"/>
        <v>1.1103533333333333</v>
      </c>
      <c r="G59" s="25">
        <f t="shared" si="5"/>
        <v>1.6865653333333332</v>
      </c>
      <c r="H59" s="102"/>
    </row>
    <row r="60" spans="1:8" ht="13.5" thickBot="1">
      <c r="A60" s="26" t="s">
        <v>129</v>
      </c>
      <c r="B60" s="27">
        <f aca="true" t="shared" si="6" ref="B60:G60">$B$5+B59</f>
        <v>4.342070666666666</v>
      </c>
      <c r="C60" s="27">
        <f t="shared" si="6"/>
        <v>4.534141333333333</v>
      </c>
      <c r="D60" s="27">
        <f t="shared" si="6"/>
        <v>4.726212</v>
      </c>
      <c r="E60" s="27">
        <f t="shared" si="6"/>
        <v>4.790235555555555</v>
      </c>
      <c r="F60" s="27">
        <f t="shared" si="6"/>
        <v>5.110353333333333</v>
      </c>
      <c r="G60" s="27">
        <f t="shared" si="6"/>
        <v>5.686565333333333</v>
      </c>
      <c r="H60" s="102"/>
    </row>
    <row r="61" spans="1:8" ht="12.75">
      <c r="A61" s="102"/>
      <c r="B61" s="102"/>
      <c r="C61" s="102"/>
      <c r="D61" s="102"/>
      <c r="E61" s="102"/>
      <c r="F61" s="102"/>
      <c r="G61" s="102"/>
      <c r="H61" s="102"/>
    </row>
    <row r="62" spans="1:8" ht="12.75">
      <c r="A62" s="102"/>
      <c r="B62" s="102"/>
      <c r="C62" s="102"/>
      <c r="D62" s="102"/>
      <c r="E62" s="102"/>
      <c r="F62" s="102"/>
      <c r="G62" s="102"/>
      <c r="H62" s="102"/>
    </row>
    <row r="63" spans="1:8" ht="12.75">
      <c r="A63" s="102"/>
      <c r="B63" s="102"/>
      <c r="C63" s="102"/>
      <c r="D63" s="102"/>
      <c r="E63" s="102"/>
      <c r="F63" s="102"/>
      <c r="G63" s="102"/>
      <c r="H63" s="102"/>
    </row>
  </sheetData>
  <sheetProtection sheet="1" objects="1" scenarios="1"/>
  <mergeCells count="2">
    <mergeCell ref="A3:E3"/>
    <mergeCell ref="A4:E4"/>
  </mergeCells>
  <printOptions/>
  <pageMargins left="0.75" right="0.75" top="1" bottom="1" header="0.5" footer="0.5"/>
  <pageSetup orientation="landscape"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AJ110"/>
  <sheetViews>
    <sheetView workbookViewId="0" topLeftCell="A1">
      <pane xSplit="1" topLeftCell="B1" activePane="topRight" state="frozen"/>
      <selection pane="topLeft" activeCell="A1" sqref="A1"/>
      <selection pane="topRight" activeCell="B1" sqref="B1"/>
    </sheetView>
  </sheetViews>
  <sheetFormatPr defaultColWidth="9.140625" defaultRowHeight="12.75"/>
  <cols>
    <col min="1" max="1" width="10.7109375" style="0" customWidth="1"/>
    <col min="2" max="2" width="10.00390625" style="0" customWidth="1"/>
    <col min="9" max="9" width="10.00390625" style="0" customWidth="1"/>
    <col min="16" max="16" width="10.140625" style="0" customWidth="1"/>
    <col min="23" max="23" width="10.28125" style="0" customWidth="1"/>
    <col min="26" max="26" width="9.7109375" style="0" customWidth="1"/>
  </cols>
  <sheetData>
    <row r="2" ht="12.75">
      <c r="B2" s="10" t="s">
        <v>209</v>
      </c>
    </row>
    <row r="3" ht="13.5" thickBot="1"/>
    <row r="4" spans="1:36" ht="13.5" thickBot="1">
      <c r="A4" s="7" t="s">
        <v>4</v>
      </c>
      <c r="B4" s="243" t="s">
        <v>195</v>
      </c>
      <c r="C4" s="243"/>
      <c r="D4" s="243"/>
      <c r="E4" s="243"/>
      <c r="F4" s="243" t="s">
        <v>196</v>
      </c>
      <c r="G4" s="243"/>
      <c r="H4" s="243"/>
      <c r="I4" s="243" t="s">
        <v>195</v>
      </c>
      <c r="J4" s="243"/>
      <c r="K4" s="243"/>
      <c r="L4" s="243"/>
      <c r="M4" s="243" t="s">
        <v>196</v>
      </c>
      <c r="N4" s="243"/>
      <c r="O4" s="243"/>
      <c r="P4" s="243" t="s">
        <v>195</v>
      </c>
      <c r="Q4" s="243"/>
      <c r="R4" s="243"/>
      <c r="S4" s="243"/>
      <c r="T4" s="243" t="s">
        <v>196</v>
      </c>
      <c r="U4" s="243"/>
      <c r="V4" s="243"/>
      <c r="W4" s="243" t="s">
        <v>195</v>
      </c>
      <c r="X4" s="243"/>
      <c r="Y4" s="243"/>
      <c r="Z4" s="243"/>
      <c r="AA4" s="243" t="s">
        <v>196</v>
      </c>
      <c r="AB4" s="243"/>
      <c r="AC4" s="243"/>
      <c r="AD4" s="243" t="s">
        <v>195</v>
      </c>
      <c r="AE4" s="243"/>
      <c r="AF4" s="243"/>
      <c r="AG4" s="243"/>
      <c r="AH4" s="243" t="s">
        <v>196</v>
      </c>
      <c r="AI4" s="243"/>
      <c r="AJ4" s="243"/>
    </row>
    <row r="5" spans="1:36" ht="12.75">
      <c r="A5" s="7" t="s">
        <v>197</v>
      </c>
      <c r="B5" s="244" t="s">
        <v>198</v>
      </c>
      <c r="C5" s="244"/>
      <c r="D5" s="244"/>
      <c r="E5" s="244"/>
      <c r="F5" s="244"/>
      <c r="G5" s="244"/>
      <c r="H5" s="244"/>
      <c r="I5" s="245" t="s">
        <v>199</v>
      </c>
      <c r="J5" s="245"/>
      <c r="K5" s="245"/>
      <c r="L5" s="245"/>
      <c r="M5" s="245"/>
      <c r="N5" s="245"/>
      <c r="O5" s="245"/>
      <c r="P5" s="246" t="s">
        <v>200</v>
      </c>
      <c r="Q5" s="246"/>
      <c r="R5" s="246"/>
      <c r="S5" s="246"/>
      <c r="T5" s="246"/>
      <c r="U5" s="246"/>
      <c r="V5" s="246"/>
      <c r="W5" s="247" t="s">
        <v>201</v>
      </c>
      <c r="X5" s="247"/>
      <c r="Y5" s="247"/>
      <c r="Z5" s="247"/>
      <c r="AA5" s="247"/>
      <c r="AB5" s="247"/>
      <c r="AC5" s="247"/>
      <c r="AD5" s="242" t="s">
        <v>218</v>
      </c>
      <c r="AE5" s="242"/>
      <c r="AF5" s="242"/>
      <c r="AG5" s="242"/>
      <c r="AH5" s="242"/>
      <c r="AI5" s="242"/>
      <c r="AJ5" s="242"/>
    </row>
    <row r="6" spans="1:36" ht="12.75">
      <c r="A6" s="7">
        <v>1997</v>
      </c>
      <c r="B6" t="s">
        <v>202</v>
      </c>
      <c r="C6" t="s">
        <v>203</v>
      </c>
      <c r="D6" t="s">
        <v>204</v>
      </c>
      <c r="E6" t="s">
        <v>205</v>
      </c>
      <c r="F6" t="s">
        <v>206</v>
      </c>
      <c r="G6" t="s">
        <v>207</v>
      </c>
      <c r="H6" t="s">
        <v>208</v>
      </c>
      <c r="I6" t="s">
        <v>202</v>
      </c>
      <c r="J6" t="s">
        <v>203</v>
      </c>
      <c r="K6" t="s">
        <v>204</v>
      </c>
      <c r="L6" t="s">
        <v>205</v>
      </c>
      <c r="M6" t="s">
        <v>206</v>
      </c>
      <c r="N6" t="s">
        <v>207</v>
      </c>
      <c r="O6" t="s">
        <v>208</v>
      </c>
      <c r="P6" t="s">
        <v>202</v>
      </c>
      <c r="Q6" t="s">
        <v>203</v>
      </c>
      <c r="R6" t="s">
        <v>204</v>
      </c>
      <c r="S6" t="s">
        <v>205</v>
      </c>
      <c r="T6" t="s">
        <v>206</v>
      </c>
      <c r="U6" t="s">
        <v>207</v>
      </c>
      <c r="V6" t="s">
        <v>208</v>
      </c>
      <c r="W6" t="s">
        <v>202</v>
      </c>
      <c r="X6" t="s">
        <v>203</v>
      </c>
      <c r="Y6" t="s">
        <v>204</v>
      </c>
      <c r="Z6" t="s">
        <v>205</v>
      </c>
      <c r="AA6" t="s">
        <v>206</v>
      </c>
      <c r="AB6" t="s">
        <v>207</v>
      </c>
      <c r="AC6" t="s">
        <v>208</v>
      </c>
      <c r="AD6" t="s">
        <v>202</v>
      </c>
      <c r="AE6" t="s">
        <v>203</v>
      </c>
      <c r="AF6" t="s">
        <v>204</v>
      </c>
      <c r="AG6" t="s">
        <v>205</v>
      </c>
      <c r="AH6" t="s">
        <v>206</v>
      </c>
      <c r="AI6" t="s">
        <v>207</v>
      </c>
      <c r="AJ6" t="s">
        <v>208</v>
      </c>
    </row>
    <row r="7" spans="1:36" ht="12.75">
      <c r="A7" t="s">
        <v>167</v>
      </c>
      <c r="B7" s="100">
        <v>-22.35</v>
      </c>
      <c r="C7" s="100">
        <v>-22.35</v>
      </c>
      <c r="D7" s="100">
        <v>-20.65</v>
      </c>
      <c r="E7" s="100">
        <v>-19.95</v>
      </c>
      <c r="F7" s="100">
        <v>-15.45</v>
      </c>
      <c r="G7" s="100">
        <v>7.15</v>
      </c>
      <c r="H7" s="100">
        <v>20.45</v>
      </c>
      <c r="I7" s="100">
        <v>-2.6</v>
      </c>
      <c r="J7" s="100">
        <v>-11.55</v>
      </c>
      <c r="K7" s="100">
        <v>-11.05</v>
      </c>
      <c r="L7" s="100">
        <v>-8.65</v>
      </c>
      <c r="M7" s="100">
        <v>0.45</v>
      </c>
      <c r="N7" s="100">
        <v>19.75</v>
      </c>
      <c r="O7" s="100">
        <v>33.55</v>
      </c>
      <c r="P7" s="100">
        <v>-8.15</v>
      </c>
      <c r="Q7" s="100">
        <v>-8.15</v>
      </c>
      <c r="R7" s="100">
        <v>-7.45</v>
      </c>
      <c r="S7" s="100">
        <v>-4.45</v>
      </c>
      <c r="T7" s="100">
        <v>7.45</v>
      </c>
      <c r="U7" s="100">
        <v>23.25</v>
      </c>
      <c r="V7" s="100">
        <v>40.35</v>
      </c>
      <c r="W7" s="100">
        <v>-30.55</v>
      </c>
      <c r="X7" s="100">
        <v>-30.55</v>
      </c>
      <c r="Y7" s="100">
        <v>-30.15</v>
      </c>
      <c r="Z7" s="100">
        <v>-27.35</v>
      </c>
      <c r="AA7" s="100">
        <v>-15.25</v>
      </c>
      <c r="AB7" s="100">
        <v>3.35</v>
      </c>
      <c r="AC7" s="100">
        <v>19.15</v>
      </c>
      <c r="AD7" s="100">
        <v>-41.85</v>
      </c>
      <c r="AE7" s="100">
        <v>-41.85</v>
      </c>
      <c r="AF7" s="100">
        <v>-39.85</v>
      </c>
      <c r="AG7" s="100">
        <v>-38.55</v>
      </c>
      <c r="AH7" s="100">
        <v>-32.35</v>
      </c>
      <c r="AI7" s="100">
        <v>-7.15</v>
      </c>
      <c r="AJ7" s="100">
        <v>8.95</v>
      </c>
    </row>
    <row r="8" spans="1:36" ht="12.75">
      <c r="A8" t="s">
        <v>168</v>
      </c>
      <c r="B8" s="100">
        <v>-14.625</v>
      </c>
      <c r="C8" s="100">
        <v>-14.625</v>
      </c>
      <c r="D8" s="100">
        <v>-13.5</v>
      </c>
      <c r="E8" s="100">
        <v>-13</v>
      </c>
      <c r="F8" s="100">
        <v>-7.375</v>
      </c>
      <c r="G8" s="100">
        <v>13.875</v>
      </c>
      <c r="H8" s="100">
        <v>26.875</v>
      </c>
      <c r="I8" s="100">
        <v>-2.625</v>
      </c>
      <c r="J8" s="100">
        <v>-3.875</v>
      </c>
      <c r="K8" s="100">
        <v>-1.625</v>
      </c>
      <c r="L8" s="100">
        <v>1</v>
      </c>
      <c r="M8" s="100">
        <v>8.5</v>
      </c>
      <c r="N8" s="100">
        <v>27.75</v>
      </c>
      <c r="O8" s="100">
        <v>39.875</v>
      </c>
      <c r="P8" s="100">
        <v>-1.625</v>
      </c>
      <c r="Q8" s="100">
        <v>-1.625</v>
      </c>
      <c r="R8" s="100">
        <v>-0.125</v>
      </c>
      <c r="S8" s="100">
        <v>1.5</v>
      </c>
      <c r="T8" s="100">
        <v>9.625</v>
      </c>
      <c r="U8" s="100">
        <v>27.75</v>
      </c>
      <c r="V8" s="100">
        <v>43.5</v>
      </c>
      <c r="W8" s="100">
        <v>-24.375</v>
      </c>
      <c r="X8" s="100">
        <v>-24.375</v>
      </c>
      <c r="Y8" s="100">
        <v>-22.125</v>
      </c>
      <c r="Z8" s="100">
        <v>-19.375</v>
      </c>
      <c r="AA8" s="100">
        <v>-7.75</v>
      </c>
      <c r="AB8" s="100">
        <v>11</v>
      </c>
      <c r="AC8" s="100">
        <v>23.5</v>
      </c>
      <c r="AD8" s="100">
        <v>-33.75</v>
      </c>
      <c r="AE8" s="100">
        <v>-33.75</v>
      </c>
      <c r="AF8" s="100">
        <v>-33</v>
      </c>
      <c r="AG8" s="100">
        <v>-31.375</v>
      </c>
      <c r="AH8" s="100">
        <v>-24.75</v>
      </c>
      <c r="AI8" s="100">
        <v>-1.5</v>
      </c>
      <c r="AJ8" s="100">
        <v>12.125</v>
      </c>
    </row>
    <row r="9" spans="1:36" ht="12.75">
      <c r="A9" t="s">
        <v>169</v>
      </c>
      <c r="B9" s="100">
        <v>-25.375</v>
      </c>
      <c r="C9" s="100">
        <v>-25.375</v>
      </c>
      <c r="D9" s="100">
        <v>-24.375</v>
      </c>
      <c r="E9" s="100">
        <v>-23.875</v>
      </c>
      <c r="F9" s="100">
        <v>-17.6875</v>
      </c>
      <c r="G9" s="100">
        <v>1.6875</v>
      </c>
      <c r="H9" s="100">
        <v>13.9375</v>
      </c>
      <c r="I9" s="100">
        <v>-1.125</v>
      </c>
      <c r="J9" s="100">
        <v>-18.25</v>
      </c>
      <c r="K9" s="100">
        <v>-16.625</v>
      </c>
      <c r="L9" s="100">
        <v>-14.125</v>
      </c>
      <c r="M9" s="100">
        <v>-5.4375</v>
      </c>
      <c r="N9" s="100">
        <v>12.3125</v>
      </c>
      <c r="O9" s="100">
        <v>23.4375</v>
      </c>
      <c r="P9" s="100">
        <v>-14.375</v>
      </c>
      <c r="Q9" s="100">
        <v>-14.375</v>
      </c>
      <c r="R9" s="100">
        <v>-12.875</v>
      </c>
      <c r="S9" s="100">
        <v>-11.75</v>
      </c>
      <c r="T9" s="100">
        <v>-3.4375</v>
      </c>
      <c r="U9" s="100">
        <v>10.8125</v>
      </c>
      <c r="V9" s="100">
        <v>24.6875</v>
      </c>
      <c r="W9" s="100">
        <v>-38.125</v>
      </c>
      <c r="X9" s="100">
        <v>-38.125</v>
      </c>
      <c r="Y9" s="100">
        <v>-37.25</v>
      </c>
      <c r="Z9" s="100">
        <v>-34.375</v>
      </c>
      <c r="AA9" s="100">
        <v>-24.5625</v>
      </c>
      <c r="AB9" s="100">
        <v>-8.3125</v>
      </c>
      <c r="AC9" s="100">
        <v>4.8125</v>
      </c>
      <c r="AD9" s="100">
        <v>-48.125</v>
      </c>
      <c r="AE9" s="100">
        <v>-48.125</v>
      </c>
      <c r="AF9" s="100">
        <v>-46.75</v>
      </c>
      <c r="AG9" s="100">
        <v>-44.625</v>
      </c>
      <c r="AH9" s="100">
        <v>-37.4375</v>
      </c>
      <c r="AI9" s="100">
        <v>-15.3125</v>
      </c>
      <c r="AJ9" s="100">
        <v>-3.3125</v>
      </c>
    </row>
    <row r="10" spans="1:36" ht="12.75">
      <c r="A10" t="s">
        <v>170</v>
      </c>
      <c r="B10" s="100">
        <v>-40.875</v>
      </c>
      <c r="C10" s="100">
        <v>-40.875</v>
      </c>
      <c r="D10" s="100">
        <v>-38.875</v>
      </c>
      <c r="E10" s="100">
        <v>-37.875</v>
      </c>
      <c r="F10" s="100">
        <v>-37.4375</v>
      </c>
      <c r="G10" s="100">
        <v>-17.0625</v>
      </c>
      <c r="H10" s="100">
        <v>-13.8125</v>
      </c>
      <c r="I10" s="100">
        <v>14.875</v>
      </c>
      <c r="J10" s="100">
        <v>-32.5</v>
      </c>
      <c r="K10" s="100">
        <v>-30.75</v>
      </c>
      <c r="L10" s="100">
        <v>-28.875</v>
      </c>
      <c r="M10" s="100">
        <v>-24.3125</v>
      </c>
      <c r="N10" s="100">
        <v>-10.0625</v>
      </c>
      <c r="O10" s="100">
        <v>1.3125</v>
      </c>
      <c r="P10" s="100">
        <v>-24</v>
      </c>
      <c r="Q10" s="100">
        <v>-24</v>
      </c>
      <c r="R10" s="100">
        <v>-22.625</v>
      </c>
      <c r="S10" s="100">
        <v>-21</v>
      </c>
      <c r="T10" s="100">
        <v>-23.5625</v>
      </c>
      <c r="U10" s="100">
        <v>-8.4375</v>
      </c>
      <c r="V10" s="100">
        <v>3.8125</v>
      </c>
      <c r="W10" s="100">
        <v>-51.25</v>
      </c>
      <c r="X10" s="100">
        <v>-51.25</v>
      </c>
      <c r="Y10" s="100">
        <v>-50.625</v>
      </c>
      <c r="Z10" s="100">
        <v>-47.625</v>
      </c>
      <c r="AA10" s="100">
        <v>-46.1875</v>
      </c>
      <c r="AB10" s="100">
        <v>-29.9375</v>
      </c>
      <c r="AC10" s="100">
        <v>-17.9375</v>
      </c>
      <c r="AD10" s="100">
        <v>-62.25</v>
      </c>
      <c r="AE10" s="100">
        <v>-62.25</v>
      </c>
      <c r="AF10" s="100">
        <v>-61.25</v>
      </c>
      <c r="AG10" s="100">
        <v>-59</v>
      </c>
      <c r="AH10" s="100">
        <v>-57.5625</v>
      </c>
      <c r="AI10" s="100">
        <v>-36.0625</v>
      </c>
      <c r="AJ10" s="100">
        <v>-24.0625</v>
      </c>
    </row>
    <row r="11" spans="1:36" ht="12.75">
      <c r="A11" t="s">
        <v>157</v>
      </c>
      <c r="B11" s="100">
        <v>-21</v>
      </c>
      <c r="C11" s="100">
        <v>-21</v>
      </c>
      <c r="D11" s="100">
        <v>-18.2</v>
      </c>
      <c r="E11" s="100">
        <v>-12.5</v>
      </c>
      <c r="F11" s="100">
        <v>-21.4</v>
      </c>
      <c r="G11" s="100">
        <v>-1.5</v>
      </c>
      <c r="H11" s="100">
        <v>1.8</v>
      </c>
      <c r="I11" s="100">
        <v>8.5</v>
      </c>
      <c r="J11" s="100">
        <v>-9.8</v>
      </c>
      <c r="K11" s="100">
        <v>-7.6</v>
      </c>
      <c r="L11" s="100">
        <v>-3.4</v>
      </c>
      <c r="M11" s="100">
        <v>-10.4</v>
      </c>
      <c r="N11" s="100">
        <v>6.9</v>
      </c>
      <c r="O11" s="100">
        <v>17.2</v>
      </c>
      <c r="P11" s="100">
        <v>-9.1</v>
      </c>
      <c r="Q11" s="100">
        <v>-9.1</v>
      </c>
      <c r="R11" s="100">
        <v>-7.4</v>
      </c>
      <c r="S11" s="100">
        <v>-4.4</v>
      </c>
      <c r="T11" s="100">
        <v>-8.1</v>
      </c>
      <c r="U11" s="100">
        <v>4.3</v>
      </c>
      <c r="V11" s="100">
        <v>18.7</v>
      </c>
      <c r="W11" s="100">
        <v>-30.6</v>
      </c>
      <c r="X11" s="100">
        <v>-30.3</v>
      </c>
      <c r="Y11" s="100">
        <v>-28.4</v>
      </c>
      <c r="Z11" s="100">
        <v>-12.8</v>
      </c>
      <c r="AA11" s="100">
        <v>-28.1</v>
      </c>
      <c r="AB11" s="100">
        <v>-11.2</v>
      </c>
      <c r="AC11" s="100">
        <v>-1.2</v>
      </c>
      <c r="AD11" s="100">
        <v>-41.7</v>
      </c>
      <c r="AE11" s="100">
        <v>-41.7</v>
      </c>
      <c r="AF11" s="100">
        <v>-42.7</v>
      </c>
      <c r="AG11" s="100">
        <v>-37.4</v>
      </c>
      <c r="AH11" s="100">
        <v>-37.1</v>
      </c>
      <c r="AI11" s="100">
        <v>-18.9</v>
      </c>
      <c r="AJ11" s="100">
        <v>-8.6</v>
      </c>
    </row>
    <row r="12" spans="1:36" ht="12.75">
      <c r="A12" t="s">
        <v>171</v>
      </c>
      <c r="B12" s="100">
        <v>-37.4375</v>
      </c>
      <c r="C12" s="100">
        <v>-37.4375</v>
      </c>
      <c r="D12" s="100">
        <v>-25.5625</v>
      </c>
      <c r="E12" s="100">
        <v>-8.0625</v>
      </c>
      <c r="F12" s="100">
        <v>-19.25</v>
      </c>
      <c r="G12" s="100">
        <v>2.875</v>
      </c>
      <c r="H12" s="100">
        <v>9.25</v>
      </c>
      <c r="I12" s="100">
        <v>-53.75</v>
      </c>
      <c r="J12" s="100">
        <v>-17.8125</v>
      </c>
      <c r="K12" s="100">
        <v>-8.1875</v>
      </c>
      <c r="L12" s="100">
        <v>8.1875</v>
      </c>
      <c r="M12" s="100">
        <v>-2.375</v>
      </c>
      <c r="N12" s="100">
        <v>15.75</v>
      </c>
      <c r="O12" s="100">
        <v>27.375</v>
      </c>
      <c r="P12" s="100">
        <v>-4.3125</v>
      </c>
      <c r="Q12" s="100">
        <v>0.1875</v>
      </c>
      <c r="R12" s="100">
        <v>7.3125</v>
      </c>
      <c r="S12" s="100">
        <v>15.6875</v>
      </c>
      <c r="T12" s="100">
        <v>-0.375</v>
      </c>
      <c r="U12" s="100">
        <v>18.25</v>
      </c>
      <c r="V12" s="100">
        <v>31</v>
      </c>
      <c r="W12" s="100">
        <v>-37.1875</v>
      </c>
      <c r="X12" s="100">
        <v>-37.1875</v>
      </c>
      <c r="Y12" s="100">
        <v>-29.5625</v>
      </c>
      <c r="Z12" s="100">
        <v>-12.0625</v>
      </c>
      <c r="AA12" s="100">
        <v>-21.25</v>
      </c>
      <c r="AB12" s="100">
        <v>-3.125</v>
      </c>
      <c r="AC12" s="100">
        <v>9.375</v>
      </c>
      <c r="AD12" s="100">
        <v>-54.0625</v>
      </c>
      <c r="AE12" s="100">
        <v>-54.0625</v>
      </c>
      <c r="AF12" s="100">
        <v>-39.4375</v>
      </c>
      <c r="AG12" s="100">
        <v>-19.0625</v>
      </c>
      <c r="AH12" s="100">
        <v>-25.125</v>
      </c>
      <c r="AI12" s="100">
        <v>-7.375</v>
      </c>
      <c r="AJ12" s="100">
        <v>3</v>
      </c>
    </row>
    <row r="13" spans="1:36" ht="12.75">
      <c r="A13" t="s">
        <v>172</v>
      </c>
      <c r="B13" s="100">
        <v>-80.1875</v>
      </c>
      <c r="C13" s="100">
        <v>-79.9375</v>
      </c>
      <c r="D13" s="100">
        <v>-61.5625</v>
      </c>
      <c r="E13" s="100">
        <v>-12.3125</v>
      </c>
      <c r="F13" s="100">
        <v>-23.0625</v>
      </c>
      <c r="G13" s="100">
        <v>8.4375</v>
      </c>
      <c r="H13" s="100">
        <v>34.0625</v>
      </c>
      <c r="I13" s="100">
        <v>-115.5</v>
      </c>
      <c r="J13" s="100">
        <v>-61.8125</v>
      </c>
      <c r="K13" s="100">
        <v>-42.6875</v>
      </c>
      <c r="L13" s="100">
        <v>0.6875</v>
      </c>
      <c r="M13" s="100">
        <v>-5.5625</v>
      </c>
      <c r="N13" s="100">
        <v>23.5625</v>
      </c>
      <c r="O13" s="100">
        <v>45.5625</v>
      </c>
      <c r="P13" s="100">
        <v>-48.9375</v>
      </c>
      <c r="Q13" s="100">
        <v>-43.5625</v>
      </c>
      <c r="R13" s="100">
        <v>-17.1875</v>
      </c>
      <c r="S13" s="100">
        <v>7.4375</v>
      </c>
      <c r="T13" s="100">
        <v>-3.9375</v>
      </c>
      <c r="U13" s="100">
        <v>23.4375</v>
      </c>
      <c r="V13" s="100">
        <v>50.6875</v>
      </c>
      <c r="W13" s="100">
        <v>-84.5625</v>
      </c>
      <c r="X13" s="100">
        <v>-84.5625</v>
      </c>
      <c r="Y13" s="100">
        <v>-67.1875</v>
      </c>
      <c r="Z13" s="100">
        <v>-18.9375</v>
      </c>
      <c r="AA13" s="100">
        <v>-29.1875</v>
      </c>
      <c r="AB13" s="100">
        <v>2.1875</v>
      </c>
      <c r="AC13" s="100">
        <v>21.5625</v>
      </c>
      <c r="AD13" s="100">
        <v>-93.0625</v>
      </c>
      <c r="AE13" s="100">
        <v>-93.0625</v>
      </c>
      <c r="AF13" s="100">
        <v>-79.5625</v>
      </c>
      <c r="AG13" s="100">
        <v>-28.5625</v>
      </c>
      <c r="AH13" s="100">
        <v>-32.4375</v>
      </c>
      <c r="AI13" s="100">
        <v>-1.5625</v>
      </c>
      <c r="AJ13" s="100">
        <v>18.1875</v>
      </c>
    </row>
    <row r="14" spans="1:36" ht="12.75">
      <c r="A14" t="s">
        <v>173</v>
      </c>
      <c r="B14" s="100">
        <v>-82.2</v>
      </c>
      <c r="C14" s="100">
        <v>-81.1</v>
      </c>
      <c r="D14" s="100">
        <v>-64.3</v>
      </c>
      <c r="E14" s="100">
        <v>-28.3</v>
      </c>
      <c r="F14" s="100">
        <v>-36.7</v>
      </c>
      <c r="G14" s="100">
        <v>-8.6</v>
      </c>
      <c r="H14" s="100">
        <v>7</v>
      </c>
      <c r="I14" s="100">
        <v>-84</v>
      </c>
      <c r="J14" s="100">
        <v>-67.8</v>
      </c>
      <c r="K14" s="100">
        <v>-51.5</v>
      </c>
      <c r="L14" s="100">
        <v>-15.8</v>
      </c>
      <c r="M14" s="100">
        <v>-24.6</v>
      </c>
      <c r="N14" s="100">
        <v>2</v>
      </c>
      <c r="O14" s="100">
        <v>21</v>
      </c>
      <c r="P14" s="100">
        <v>-66.8</v>
      </c>
      <c r="Q14" s="100">
        <v>-62.7</v>
      </c>
      <c r="R14" s="100">
        <v>-41.8</v>
      </c>
      <c r="S14" s="100">
        <v>-7.3</v>
      </c>
      <c r="T14" s="100">
        <v>-30</v>
      </c>
      <c r="U14" s="100">
        <v>1.3</v>
      </c>
      <c r="V14" s="100">
        <v>27.8</v>
      </c>
      <c r="W14" s="100">
        <v>-90.3</v>
      </c>
      <c r="X14" s="100">
        <v>-89.8</v>
      </c>
      <c r="Y14" s="100">
        <v>-71.8</v>
      </c>
      <c r="Z14" s="100">
        <v>-37.1</v>
      </c>
      <c r="AA14" s="100">
        <v>-46.3</v>
      </c>
      <c r="AB14" s="100">
        <v>-20</v>
      </c>
      <c r="AC14" s="100">
        <v>-0.7</v>
      </c>
      <c r="AD14" s="100">
        <v>-66.95673076923077</v>
      </c>
      <c r="AE14" s="100">
        <v>-66.67788461538461</v>
      </c>
      <c r="AF14" s="100">
        <v>-57.34134615384615</v>
      </c>
      <c r="AG14" s="100">
        <v>-40.08173076923077</v>
      </c>
      <c r="AH14" s="100">
        <v>-44.76442307692308</v>
      </c>
      <c r="AI14" s="100">
        <v>-20.620192307692307</v>
      </c>
      <c r="AJ14" s="100">
        <v>-5.3798076923076925</v>
      </c>
    </row>
    <row r="15" spans="1:36" ht="12.75">
      <c r="A15" t="s">
        <v>143</v>
      </c>
      <c r="B15" s="100">
        <v>-75.8125</v>
      </c>
      <c r="C15" s="100">
        <v>-74.8125</v>
      </c>
      <c r="D15" s="100">
        <v>-60.9375</v>
      </c>
      <c r="E15" s="100">
        <v>-27.5625</v>
      </c>
      <c r="F15" s="100">
        <v>-46.4375</v>
      </c>
      <c r="G15" s="100">
        <v>-25.4375</v>
      </c>
      <c r="H15" s="100">
        <v>-15.3125</v>
      </c>
      <c r="I15" s="100">
        <v>-84</v>
      </c>
      <c r="J15" s="100">
        <v>-65.1875</v>
      </c>
      <c r="K15" s="100">
        <v>-48.0625</v>
      </c>
      <c r="L15" s="100">
        <v>-15.3125</v>
      </c>
      <c r="M15" s="100">
        <v>-34.9375</v>
      </c>
      <c r="N15" s="100">
        <v>-13.4375</v>
      </c>
      <c r="O15" s="100">
        <v>-0.3125</v>
      </c>
      <c r="P15" s="100">
        <v>-65.1875</v>
      </c>
      <c r="Q15" s="100">
        <v>-64.0625</v>
      </c>
      <c r="R15" s="100">
        <v>-45.0625</v>
      </c>
      <c r="S15" s="100">
        <v>-10.9375</v>
      </c>
      <c r="T15" s="100">
        <v>-36.1875</v>
      </c>
      <c r="U15" s="100">
        <v>-15.1875</v>
      </c>
      <c r="V15" s="100">
        <v>-0.9375</v>
      </c>
      <c r="W15" s="100">
        <v>-87.5625</v>
      </c>
      <c r="X15" s="100">
        <v>-85.5625</v>
      </c>
      <c r="Y15" s="100">
        <v>-70.6875</v>
      </c>
      <c r="Z15" s="100">
        <v>-36.9375</v>
      </c>
      <c r="AA15" s="100">
        <v>-55.5625</v>
      </c>
      <c r="AB15" s="100">
        <v>-34.6875</v>
      </c>
      <c r="AC15" s="100">
        <v>-21.9375</v>
      </c>
      <c r="AD15" s="100">
        <v>-66.95673076923077</v>
      </c>
      <c r="AE15" s="100">
        <v>-66.67788461538461</v>
      </c>
      <c r="AF15" s="100">
        <v>-57.34134615384615</v>
      </c>
      <c r="AG15" s="100">
        <v>-40.08173076923077</v>
      </c>
      <c r="AH15" s="100">
        <v>-44.76442307692308</v>
      </c>
      <c r="AI15" s="100">
        <v>-20.620192307692307</v>
      </c>
      <c r="AJ15" s="100">
        <v>-5.3798076923076925</v>
      </c>
    </row>
    <row r="16" spans="1:36" ht="12.75">
      <c r="A16" t="s">
        <v>174</v>
      </c>
      <c r="B16" s="100">
        <v>-60.95</v>
      </c>
      <c r="C16" s="100">
        <v>-60.35</v>
      </c>
      <c r="D16" s="100">
        <v>-44.65</v>
      </c>
      <c r="E16" s="100">
        <v>-25.15</v>
      </c>
      <c r="F16" s="100">
        <v>-25.55</v>
      </c>
      <c r="G16" s="100">
        <v>-4.65</v>
      </c>
      <c r="H16" s="100">
        <v>10.95</v>
      </c>
      <c r="I16" s="100">
        <v>-83</v>
      </c>
      <c r="J16" s="100">
        <v>-55.65</v>
      </c>
      <c r="K16" s="100">
        <v>-39.05</v>
      </c>
      <c r="L16" s="100">
        <v>-15.55</v>
      </c>
      <c r="M16" s="100">
        <v>-21.65</v>
      </c>
      <c r="N16" s="100">
        <v>3.15</v>
      </c>
      <c r="O16" s="100">
        <v>18.15</v>
      </c>
      <c r="P16" s="100">
        <v>-57.05</v>
      </c>
      <c r="Q16" s="100">
        <v>-55.55</v>
      </c>
      <c r="R16" s="100">
        <v>-33.05</v>
      </c>
      <c r="S16" s="100">
        <v>-11.05</v>
      </c>
      <c r="T16" s="100">
        <v>-18.65</v>
      </c>
      <c r="U16" s="100">
        <v>2.55</v>
      </c>
      <c r="V16" s="100">
        <v>18.85</v>
      </c>
      <c r="W16" s="100">
        <v>-77.95</v>
      </c>
      <c r="X16" s="100">
        <v>-72.45</v>
      </c>
      <c r="Y16" s="100">
        <v>-58.55</v>
      </c>
      <c r="Z16" s="100">
        <v>-36.05</v>
      </c>
      <c r="AA16" s="100">
        <v>-39.35</v>
      </c>
      <c r="AB16" s="100">
        <v>-17.55</v>
      </c>
      <c r="AC16" s="100">
        <v>-1.15</v>
      </c>
      <c r="AD16" s="100">
        <v>-66.95673076923077</v>
      </c>
      <c r="AE16" s="100">
        <v>-66.67788461538461</v>
      </c>
      <c r="AF16" s="100">
        <v>-57.34134615384615</v>
      </c>
      <c r="AG16" s="100">
        <v>-40.08173076923077</v>
      </c>
      <c r="AH16" s="100">
        <v>-44.76442307692308</v>
      </c>
      <c r="AI16" s="100">
        <v>-20.620192307692307</v>
      </c>
      <c r="AJ16" s="100">
        <v>-5.3798076923076925</v>
      </c>
    </row>
    <row r="17" spans="1:36" ht="12.75">
      <c r="A17" t="s">
        <v>175</v>
      </c>
      <c r="B17" s="100">
        <v>-48.875</v>
      </c>
      <c r="C17" s="100">
        <v>-48.5</v>
      </c>
      <c r="D17" s="100">
        <v>-29.25</v>
      </c>
      <c r="E17" s="100">
        <v>-5.25</v>
      </c>
      <c r="F17" s="100">
        <v>-41</v>
      </c>
      <c r="G17" s="100">
        <v>-14.875</v>
      </c>
      <c r="H17" s="100">
        <v>3.375</v>
      </c>
      <c r="I17" s="100">
        <v>-83.125</v>
      </c>
      <c r="J17" s="100">
        <v>-45.25</v>
      </c>
      <c r="K17" s="100">
        <v>-23.625</v>
      </c>
      <c r="L17" s="100">
        <v>0.125</v>
      </c>
      <c r="M17" s="100">
        <v>-35.75</v>
      </c>
      <c r="N17" s="100">
        <v>-9.625</v>
      </c>
      <c r="O17" s="100">
        <v>8.25</v>
      </c>
      <c r="P17" s="100">
        <v>-44</v>
      </c>
      <c r="Q17" s="100">
        <v>-43.125</v>
      </c>
      <c r="R17" s="100">
        <v>-20.25</v>
      </c>
      <c r="S17" s="100">
        <v>4</v>
      </c>
      <c r="T17" s="100">
        <v>-34.625</v>
      </c>
      <c r="U17" s="100">
        <v>-9.875</v>
      </c>
      <c r="V17" s="100">
        <v>10.125</v>
      </c>
      <c r="W17" s="100">
        <v>-62.5</v>
      </c>
      <c r="X17" s="100">
        <v>-60</v>
      </c>
      <c r="Y17" s="100">
        <v>-39</v>
      </c>
      <c r="Z17" s="100">
        <v>-16</v>
      </c>
      <c r="AA17" s="100">
        <v>-52</v>
      </c>
      <c r="AB17" s="100">
        <v>-27.75</v>
      </c>
      <c r="AC17" s="100">
        <v>-6.5</v>
      </c>
      <c r="AD17" s="100">
        <v>-66.95673076923077</v>
      </c>
      <c r="AE17" s="100">
        <v>-66.67788461538461</v>
      </c>
      <c r="AF17" s="100">
        <v>-57.34134615384615</v>
      </c>
      <c r="AG17" s="100">
        <v>-40.08173076923077</v>
      </c>
      <c r="AH17" s="100">
        <v>-44.76442307692308</v>
      </c>
      <c r="AI17" s="100">
        <v>-20.620192307692307</v>
      </c>
      <c r="AJ17" s="100">
        <v>-5.3798076923076925</v>
      </c>
    </row>
    <row r="18" spans="1:36" ht="12.75">
      <c r="A18" t="s">
        <v>176</v>
      </c>
      <c r="B18" s="100">
        <v>-58.25</v>
      </c>
      <c r="C18" s="100">
        <v>-57.25</v>
      </c>
      <c r="D18" s="100">
        <v>-39.25</v>
      </c>
      <c r="E18" s="100">
        <v>-10.5</v>
      </c>
      <c r="F18" s="100">
        <v>-43.1875</v>
      </c>
      <c r="G18" s="100">
        <v>-17.4375</v>
      </c>
      <c r="H18" s="100">
        <v>2.4375</v>
      </c>
      <c r="I18" s="100">
        <v>-98.75</v>
      </c>
      <c r="J18" s="100">
        <v>-51.375</v>
      </c>
      <c r="K18" s="100">
        <v>-28.625</v>
      </c>
      <c r="L18" s="100">
        <v>0.625</v>
      </c>
      <c r="M18" s="100">
        <v>-35.4375</v>
      </c>
      <c r="N18" s="100">
        <v>-7.4375</v>
      </c>
      <c r="O18" s="100">
        <v>13.0625</v>
      </c>
      <c r="P18" s="100">
        <v>-50.375</v>
      </c>
      <c r="Q18" s="100">
        <v>-49.25</v>
      </c>
      <c r="R18" s="100">
        <v>-25.625</v>
      </c>
      <c r="S18" s="100">
        <v>0.625</v>
      </c>
      <c r="T18" s="100">
        <v>-36.8125</v>
      </c>
      <c r="U18" s="100">
        <v>-9.6875</v>
      </c>
      <c r="V18" s="100">
        <v>13.6875</v>
      </c>
      <c r="W18" s="100">
        <v>-71.125</v>
      </c>
      <c r="X18" s="100">
        <v>-71.125</v>
      </c>
      <c r="Y18" s="100">
        <v>-48.125</v>
      </c>
      <c r="Z18" s="100">
        <v>-21.75</v>
      </c>
      <c r="AA18" s="100">
        <v>-53.5625</v>
      </c>
      <c r="AB18" s="100">
        <v>-29.6875</v>
      </c>
      <c r="AC18" s="100">
        <v>-6.9375</v>
      </c>
      <c r="AD18" s="100">
        <v>-79.75</v>
      </c>
      <c r="AE18" s="100">
        <v>-79.75</v>
      </c>
      <c r="AF18" s="100">
        <v>-61.125</v>
      </c>
      <c r="AG18" s="100">
        <v>-32.125</v>
      </c>
      <c r="AH18" s="100">
        <v>-62.4375</v>
      </c>
      <c r="AI18" s="100">
        <v>-36.0625</v>
      </c>
      <c r="AJ18" s="100">
        <v>-12.4375</v>
      </c>
    </row>
    <row r="21" ht="13.5" thickBot="1"/>
    <row r="22" spans="1:36" ht="13.5" thickBot="1">
      <c r="A22" s="7" t="s">
        <v>4</v>
      </c>
      <c r="B22" s="243" t="s">
        <v>195</v>
      </c>
      <c r="C22" s="243"/>
      <c r="D22" s="243"/>
      <c r="E22" s="243"/>
      <c r="F22" s="243" t="s">
        <v>196</v>
      </c>
      <c r="G22" s="243"/>
      <c r="H22" s="243"/>
      <c r="I22" s="243" t="s">
        <v>195</v>
      </c>
      <c r="J22" s="243"/>
      <c r="K22" s="243"/>
      <c r="L22" s="243"/>
      <c r="M22" s="243" t="s">
        <v>196</v>
      </c>
      <c r="N22" s="243"/>
      <c r="O22" s="243"/>
      <c r="P22" s="243" t="s">
        <v>195</v>
      </c>
      <c r="Q22" s="243"/>
      <c r="R22" s="243"/>
      <c r="S22" s="243"/>
      <c r="T22" s="243" t="s">
        <v>196</v>
      </c>
      <c r="U22" s="243"/>
      <c r="V22" s="243"/>
      <c r="W22" s="243" t="s">
        <v>195</v>
      </c>
      <c r="X22" s="243"/>
      <c r="Y22" s="243"/>
      <c r="Z22" s="243"/>
      <c r="AA22" s="243" t="s">
        <v>196</v>
      </c>
      <c r="AB22" s="243"/>
      <c r="AC22" s="243"/>
      <c r="AD22" s="243" t="s">
        <v>195</v>
      </c>
      <c r="AE22" s="243"/>
      <c r="AF22" s="243"/>
      <c r="AG22" s="243"/>
      <c r="AH22" s="243" t="s">
        <v>196</v>
      </c>
      <c r="AI22" s="243"/>
      <c r="AJ22" s="243"/>
    </row>
    <row r="23" spans="1:36" ht="12.75">
      <c r="A23" s="7" t="s">
        <v>197</v>
      </c>
      <c r="B23" s="244" t="s">
        <v>198</v>
      </c>
      <c r="C23" s="244"/>
      <c r="D23" s="244"/>
      <c r="E23" s="244"/>
      <c r="F23" s="244"/>
      <c r="G23" s="244"/>
      <c r="H23" s="244"/>
      <c r="I23" s="245" t="s">
        <v>199</v>
      </c>
      <c r="J23" s="245"/>
      <c r="K23" s="245"/>
      <c r="L23" s="245"/>
      <c r="M23" s="245"/>
      <c r="N23" s="245"/>
      <c r="O23" s="245"/>
      <c r="P23" s="246" t="s">
        <v>200</v>
      </c>
      <c r="Q23" s="246"/>
      <c r="R23" s="246"/>
      <c r="S23" s="246"/>
      <c r="T23" s="246"/>
      <c r="U23" s="246"/>
      <c r="V23" s="246"/>
      <c r="W23" s="247" t="s">
        <v>201</v>
      </c>
      <c r="X23" s="247"/>
      <c r="Y23" s="247"/>
      <c r="Z23" s="247"/>
      <c r="AA23" s="247"/>
      <c r="AB23" s="247"/>
      <c r="AC23" s="247"/>
      <c r="AD23" s="242" t="s">
        <v>218</v>
      </c>
      <c r="AE23" s="242"/>
      <c r="AF23" s="242"/>
      <c r="AG23" s="242"/>
      <c r="AH23" s="242"/>
      <c r="AI23" s="242"/>
      <c r="AJ23" s="242"/>
    </row>
    <row r="24" spans="1:36" ht="12.75">
      <c r="A24" s="7">
        <v>1996</v>
      </c>
      <c r="B24" t="s">
        <v>202</v>
      </c>
      <c r="C24" t="s">
        <v>203</v>
      </c>
      <c r="D24" t="s">
        <v>204</v>
      </c>
      <c r="E24" t="s">
        <v>205</v>
      </c>
      <c r="F24" t="s">
        <v>206</v>
      </c>
      <c r="G24" t="s">
        <v>207</v>
      </c>
      <c r="H24" t="s">
        <v>208</v>
      </c>
      <c r="I24" t="s">
        <v>202</v>
      </c>
      <c r="J24" t="s">
        <v>203</v>
      </c>
      <c r="K24" t="s">
        <v>204</v>
      </c>
      <c r="L24" t="s">
        <v>205</v>
      </c>
      <c r="M24" t="s">
        <v>206</v>
      </c>
      <c r="N24" t="s">
        <v>207</v>
      </c>
      <c r="O24" t="s">
        <v>208</v>
      </c>
      <c r="P24" t="s">
        <v>202</v>
      </c>
      <c r="Q24" t="s">
        <v>203</v>
      </c>
      <c r="R24" t="s">
        <v>204</v>
      </c>
      <c r="S24" t="s">
        <v>205</v>
      </c>
      <c r="T24" t="s">
        <v>206</v>
      </c>
      <c r="U24" t="s">
        <v>207</v>
      </c>
      <c r="V24" t="s">
        <v>208</v>
      </c>
      <c r="W24" t="s">
        <v>202</v>
      </c>
      <c r="X24" t="s">
        <v>203</v>
      </c>
      <c r="Y24" t="s">
        <v>204</v>
      </c>
      <c r="Z24" t="s">
        <v>205</v>
      </c>
      <c r="AA24" t="s">
        <v>206</v>
      </c>
      <c r="AB24" t="s">
        <v>207</v>
      </c>
      <c r="AC24" t="s">
        <v>208</v>
      </c>
      <c r="AD24" t="s">
        <v>202</v>
      </c>
      <c r="AE24" t="s">
        <v>203</v>
      </c>
      <c r="AF24" t="s">
        <v>204</v>
      </c>
      <c r="AG24" t="s">
        <v>205</v>
      </c>
      <c r="AH24" t="s">
        <v>206</v>
      </c>
      <c r="AI24" t="s">
        <v>207</v>
      </c>
      <c r="AJ24" t="s">
        <v>208</v>
      </c>
    </row>
    <row r="25" spans="1:36" ht="12.75">
      <c r="A25" t="s">
        <v>167</v>
      </c>
      <c r="B25" s="100">
        <v>-64.375</v>
      </c>
      <c r="C25" s="100">
        <v>-56.125</v>
      </c>
      <c r="D25" s="100">
        <v>-36.25</v>
      </c>
      <c r="E25" s="100">
        <v>-4</v>
      </c>
      <c r="F25" s="100">
        <v>-26.625</v>
      </c>
      <c r="G25" s="100">
        <v>4.875</v>
      </c>
      <c r="H25" s="100">
        <v>20.875</v>
      </c>
      <c r="I25" s="100">
        <v>-40.625</v>
      </c>
      <c r="J25" s="100">
        <v>-43.625</v>
      </c>
      <c r="K25" s="100">
        <v>-22.5</v>
      </c>
      <c r="L25" s="100">
        <v>23.625</v>
      </c>
      <c r="M25" s="100">
        <v>-3.5</v>
      </c>
      <c r="N25" s="100">
        <v>20.25</v>
      </c>
      <c r="O25" s="100">
        <v>38.625</v>
      </c>
      <c r="P25" s="100">
        <v>-48</v>
      </c>
      <c r="Q25" s="100">
        <v>-41.75</v>
      </c>
      <c r="R25" s="100">
        <v>-19.75</v>
      </c>
      <c r="S25" s="100">
        <v>16.125</v>
      </c>
      <c r="T25" s="100">
        <v>3</v>
      </c>
      <c r="U25" s="100">
        <v>23.25</v>
      </c>
      <c r="V25" s="100">
        <v>44.25</v>
      </c>
      <c r="W25" s="100">
        <v>-71.875</v>
      </c>
      <c r="X25" s="100">
        <v>-67.875</v>
      </c>
      <c r="Y25" s="100">
        <v>-44</v>
      </c>
      <c r="Z25" s="100">
        <v>-10.25</v>
      </c>
      <c r="AA25" s="100">
        <v>-18.75</v>
      </c>
      <c r="AB25" s="100">
        <v>0</v>
      </c>
      <c r="AC25" s="100">
        <v>20</v>
      </c>
      <c r="AD25" s="100">
        <v>-78</v>
      </c>
      <c r="AE25" s="100">
        <v>-78</v>
      </c>
      <c r="AF25" s="100">
        <v>-56.5</v>
      </c>
      <c r="AG25" s="100">
        <v>-17.125</v>
      </c>
      <c r="AH25" s="100">
        <v>-29.75</v>
      </c>
      <c r="AI25" s="100">
        <v>-7.5</v>
      </c>
      <c r="AJ25" s="100">
        <v>11.625</v>
      </c>
    </row>
    <row r="26" spans="1:36" ht="12.75">
      <c r="A26" t="s">
        <v>168</v>
      </c>
      <c r="B26" s="100">
        <v>-54.25</v>
      </c>
      <c r="C26" s="100">
        <v>-49.25</v>
      </c>
      <c r="D26" s="100">
        <v>-33.125</v>
      </c>
      <c r="E26" s="100">
        <v>-8.375</v>
      </c>
      <c r="F26" s="100">
        <v>-20.6875</v>
      </c>
      <c r="G26" s="100">
        <v>4.3125</v>
      </c>
      <c r="H26" s="100">
        <v>20.3125</v>
      </c>
      <c r="I26" s="100">
        <v>-16.125</v>
      </c>
      <c r="J26" s="100">
        <v>-31.375</v>
      </c>
      <c r="K26" s="100">
        <v>-14</v>
      </c>
      <c r="L26" s="100">
        <v>13.375</v>
      </c>
      <c r="M26" s="100">
        <v>3.9375</v>
      </c>
      <c r="N26" s="100">
        <v>23.6875</v>
      </c>
      <c r="O26" s="100">
        <v>41.3125</v>
      </c>
      <c r="P26" s="100">
        <v>-33.75</v>
      </c>
      <c r="Q26" s="100">
        <v>-29.75</v>
      </c>
      <c r="R26" s="100">
        <v>-13</v>
      </c>
      <c r="S26" s="100">
        <v>18</v>
      </c>
      <c r="T26" s="100">
        <v>9.9375</v>
      </c>
      <c r="U26" s="100">
        <v>30.8125</v>
      </c>
      <c r="V26" s="100">
        <v>52.3125</v>
      </c>
      <c r="W26" s="100">
        <v>-60.5</v>
      </c>
      <c r="X26" s="100">
        <v>-56.375</v>
      </c>
      <c r="Y26" s="100">
        <v>-36.5</v>
      </c>
      <c r="Z26" s="100">
        <v>-7.125</v>
      </c>
      <c r="AA26" s="100">
        <v>-14.4375</v>
      </c>
      <c r="AB26" s="100">
        <v>5.0625</v>
      </c>
      <c r="AC26" s="100">
        <v>26.4375</v>
      </c>
      <c r="AD26" s="100">
        <v>-66.125</v>
      </c>
      <c r="AE26" s="100">
        <v>-65.5</v>
      </c>
      <c r="AF26" s="100">
        <v>-48.75</v>
      </c>
      <c r="AG26" s="100">
        <v>-14.125</v>
      </c>
      <c r="AH26" s="100">
        <v>-31.583333333333332</v>
      </c>
      <c r="AI26" s="100">
        <v>-6.583333333333333</v>
      </c>
      <c r="AJ26" s="100">
        <v>32.5625</v>
      </c>
    </row>
    <row r="27" spans="1:36" ht="12.75">
      <c r="A27" t="s">
        <v>169</v>
      </c>
      <c r="B27" s="100">
        <v>-47.05</v>
      </c>
      <c r="C27" s="100">
        <v>-42.75</v>
      </c>
      <c r="D27" s="100">
        <v>-29.45</v>
      </c>
      <c r="E27" s="100">
        <v>1.45</v>
      </c>
      <c r="F27" s="100">
        <v>-24.65</v>
      </c>
      <c r="G27" s="100">
        <v>2.45</v>
      </c>
      <c r="H27" s="100">
        <v>19.65</v>
      </c>
      <c r="I27" s="100">
        <v>-16.15</v>
      </c>
      <c r="J27" s="100">
        <v>-26.95</v>
      </c>
      <c r="K27" s="100">
        <v>-11.25</v>
      </c>
      <c r="L27" s="100">
        <v>20.05</v>
      </c>
      <c r="M27" s="100">
        <v>2.25</v>
      </c>
      <c r="N27" s="100">
        <v>21.05</v>
      </c>
      <c r="O27" s="100">
        <v>39.35</v>
      </c>
      <c r="P27" s="100">
        <v>-22.85</v>
      </c>
      <c r="Q27" s="100">
        <v>-21.25</v>
      </c>
      <c r="R27" s="100">
        <v>-5.85</v>
      </c>
      <c r="S27" s="100">
        <v>21.85</v>
      </c>
      <c r="T27" s="100">
        <v>10.65</v>
      </c>
      <c r="U27" s="100">
        <v>31.95</v>
      </c>
      <c r="V27" s="100">
        <v>55.55</v>
      </c>
      <c r="W27" s="100">
        <v>-50.85</v>
      </c>
      <c r="X27" s="100">
        <v>-45.55</v>
      </c>
      <c r="Y27" s="100">
        <v>-34.45</v>
      </c>
      <c r="Z27" s="100">
        <v>-4.55</v>
      </c>
      <c r="AA27" s="100">
        <v>-14.45</v>
      </c>
      <c r="AB27" s="100">
        <v>5.05</v>
      </c>
      <c r="AC27" s="100">
        <v>21.85</v>
      </c>
      <c r="AD27" s="100">
        <v>-60.35</v>
      </c>
      <c r="AE27" s="100">
        <v>-60.35</v>
      </c>
      <c r="AF27" s="100">
        <v>-45.25</v>
      </c>
      <c r="AG27" s="100">
        <v>-8.35</v>
      </c>
      <c r="AH27" s="100">
        <v>-28.55</v>
      </c>
      <c r="AI27" s="100">
        <v>-2.15</v>
      </c>
      <c r="AJ27" s="100">
        <v>14.45</v>
      </c>
    </row>
    <row r="28" spans="1:36" ht="12.75">
      <c r="A28" t="s">
        <v>170</v>
      </c>
      <c r="B28" s="100">
        <v>-113.625</v>
      </c>
      <c r="C28" s="100">
        <v>-110.125</v>
      </c>
      <c r="D28" s="100">
        <v>-90.75</v>
      </c>
      <c r="E28" s="100">
        <v>-55.75</v>
      </c>
      <c r="F28" s="100">
        <v>-78.4375</v>
      </c>
      <c r="G28" s="100">
        <v>-51.5625</v>
      </c>
      <c r="H28" s="100">
        <v>-35.3125</v>
      </c>
      <c r="I28" s="100">
        <v>43.25</v>
      </c>
      <c r="J28" s="100">
        <v>-87.625</v>
      </c>
      <c r="K28" s="100">
        <v>-70.125</v>
      </c>
      <c r="L28" s="100">
        <v>-33.875</v>
      </c>
      <c r="M28" s="100">
        <v>-55.9375</v>
      </c>
      <c r="N28" s="100">
        <v>-28.4375</v>
      </c>
      <c r="O28" s="100">
        <v>-13.4375</v>
      </c>
      <c r="P28" s="100">
        <v>-87.625</v>
      </c>
      <c r="Q28" s="100">
        <v>-84.5</v>
      </c>
      <c r="R28" s="100">
        <v>-67</v>
      </c>
      <c r="S28" s="100">
        <v>-32.625</v>
      </c>
      <c r="T28" s="100">
        <v>-44.6875</v>
      </c>
      <c r="U28" s="100">
        <v>-25.3125</v>
      </c>
      <c r="V28" s="100">
        <v>0.3125</v>
      </c>
      <c r="W28" s="100">
        <v>-116.375</v>
      </c>
      <c r="X28" s="100">
        <v>-112</v>
      </c>
      <c r="Y28" s="100">
        <v>-92</v>
      </c>
      <c r="Z28" s="100">
        <v>-58.25</v>
      </c>
      <c r="AA28" s="100">
        <v>-64.0625</v>
      </c>
      <c r="AB28" s="100">
        <v>-45.3125</v>
      </c>
      <c r="AC28" s="100">
        <v>-29.6875</v>
      </c>
      <c r="AD28" s="100">
        <v>-125.125</v>
      </c>
      <c r="AE28" s="100">
        <v>-125.125</v>
      </c>
      <c r="AF28" s="100">
        <v>-106.375</v>
      </c>
      <c r="AG28" s="100">
        <v>-63.25</v>
      </c>
      <c r="AH28" s="100">
        <v>-82.1875</v>
      </c>
      <c r="AI28" s="100">
        <v>-55.3125</v>
      </c>
      <c r="AJ28" s="100">
        <v>-39.0625</v>
      </c>
    </row>
    <row r="29" spans="1:36" ht="12.75">
      <c r="A29" t="s">
        <v>157</v>
      </c>
      <c r="B29" s="100">
        <v>-86.95</v>
      </c>
      <c r="C29" s="100">
        <v>-85.45</v>
      </c>
      <c r="D29" s="100">
        <v>-67.45</v>
      </c>
      <c r="E29" s="100">
        <v>-25.95</v>
      </c>
      <c r="F29" s="100">
        <v>-52.75</v>
      </c>
      <c r="G29" s="100">
        <v>-27.75</v>
      </c>
      <c r="H29" s="100">
        <v>-13.75</v>
      </c>
      <c r="I29" s="100">
        <v>92.25</v>
      </c>
      <c r="J29" s="100">
        <v>-65.45</v>
      </c>
      <c r="K29" s="100">
        <v>-43.45</v>
      </c>
      <c r="L29" s="100">
        <v>3.55</v>
      </c>
      <c r="M29" s="100">
        <v>-27.75</v>
      </c>
      <c r="N29" s="100">
        <v>-3.25</v>
      </c>
      <c r="O29" s="100">
        <v>24.75</v>
      </c>
      <c r="P29" s="100">
        <v>-59.45</v>
      </c>
      <c r="Q29" s="100">
        <v>-56.45</v>
      </c>
      <c r="R29" s="100">
        <v>-29.45</v>
      </c>
      <c r="S29" s="100">
        <v>17.55</v>
      </c>
      <c r="T29" s="100">
        <v>-11.75</v>
      </c>
      <c r="U29" s="100">
        <v>13.25</v>
      </c>
      <c r="V29" s="100">
        <v>35.25</v>
      </c>
      <c r="W29" s="100">
        <v>-91.45</v>
      </c>
      <c r="X29" s="100">
        <v>-89.95</v>
      </c>
      <c r="Y29" s="100">
        <v>-65.95</v>
      </c>
      <c r="Z29" s="100">
        <v>-19.45</v>
      </c>
      <c r="AA29" s="100">
        <v>-33.75</v>
      </c>
      <c r="AB29" s="100">
        <v>-5.75</v>
      </c>
      <c r="AC29" s="100">
        <v>8.25</v>
      </c>
      <c r="AD29" s="100">
        <v>-95.95</v>
      </c>
      <c r="AE29" s="100">
        <v>-95.95</v>
      </c>
      <c r="AF29" s="100">
        <v>-78.45</v>
      </c>
      <c r="AG29" s="100">
        <v>-20.45</v>
      </c>
      <c r="AH29" s="100">
        <v>-41.25</v>
      </c>
      <c r="AI29" s="100">
        <v>-15.25</v>
      </c>
      <c r="AJ29" s="100">
        <v>-1.25</v>
      </c>
    </row>
    <row r="30" spans="1:36" ht="12.75">
      <c r="A30" t="s">
        <v>171</v>
      </c>
      <c r="B30" s="100">
        <v>-60.8125</v>
      </c>
      <c r="C30" s="100">
        <v>-59.5625</v>
      </c>
      <c r="D30" s="100">
        <v>-26.4375</v>
      </c>
      <c r="E30" s="100">
        <v>5.4375</v>
      </c>
      <c r="F30" s="100">
        <v>9.3125</v>
      </c>
      <c r="G30" s="100">
        <v>48.6875</v>
      </c>
      <c r="H30" s="100">
        <v>63.6875</v>
      </c>
      <c r="I30" s="100">
        <v>22</v>
      </c>
      <c r="J30" s="100">
        <v>-37.0625</v>
      </c>
      <c r="K30" s="100">
        <v>-3.9375</v>
      </c>
      <c r="L30" s="100">
        <v>26.6875</v>
      </c>
      <c r="M30" s="100">
        <v>51.1875</v>
      </c>
      <c r="N30" s="100">
        <v>79.3125</v>
      </c>
      <c r="O30" s="100">
        <v>98.6875</v>
      </c>
      <c r="P30" s="100">
        <v>-28.9375</v>
      </c>
      <c r="Q30" s="100">
        <v>-22.6875</v>
      </c>
      <c r="R30" s="100">
        <v>4.8125</v>
      </c>
      <c r="S30" s="100">
        <v>37.3125</v>
      </c>
      <c r="T30" s="100">
        <v>58.0625</v>
      </c>
      <c r="U30" s="100">
        <v>88.6875</v>
      </c>
      <c r="V30" s="100">
        <v>113.0625</v>
      </c>
      <c r="W30" s="100">
        <v>-67.6875</v>
      </c>
      <c r="X30" s="100">
        <v>-65.1875</v>
      </c>
      <c r="Y30" s="100">
        <v>-37.0625</v>
      </c>
      <c r="Z30" s="100">
        <v>-5.1875</v>
      </c>
      <c r="AA30" s="100">
        <v>33.0625</v>
      </c>
      <c r="AB30" s="100">
        <v>61.1875</v>
      </c>
      <c r="AC30" s="100">
        <v>76.1875</v>
      </c>
      <c r="AD30" s="100">
        <v>-71.4375</v>
      </c>
      <c r="AE30" s="100">
        <v>-70.1875</v>
      </c>
      <c r="AF30" s="100">
        <v>-41.4375</v>
      </c>
      <c r="AG30" s="100">
        <v>-5.8125</v>
      </c>
      <c r="AH30" s="100">
        <v>20.5625</v>
      </c>
      <c r="AI30" s="100">
        <v>52.4375</v>
      </c>
      <c r="AJ30" s="100">
        <v>64.3125</v>
      </c>
    </row>
    <row r="31" spans="1:36" ht="12.75">
      <c r="A31" t="s">
        <v>172</v>
      </c>
      <c r="B31" s="100">
        <v>-46.5</v>
      </c>
      <c r="C31" s="100">
        <v>-44.625</v>
      </c>
      <c r="D31" s="100">
        <v>-16.625</v>
      </c>
      <c r="E31" s="100">
        <v>9.75</v>
      </c>
      <c r="F31" s="100">
        <v>28.3125</v>
      </c>
      <c r="G31" s="100">
        <v>57.8125</v>
      </c>
      <c r="H31" s="100">
        <v>73.6875</v>
      </c>
      <c r="I31" s="100">
        <v>-34.75</v>
      </c>
      <c r="J31" s="100">
        <v>-41.625</v>
      </c>
      <c r="K31" s="100">
        <v>-27.5</v>
      </c>
      <c r="L31" s="100">
        <v>-2.125</v>
      </c>
      <c r="M31" s="100">
        <v>22.6875</v>
      </c>
      <c r="N31" s="100">
        <v>54.4375</v>
      </c>
      <c r="O31" s="100">
        <v>70.3125</v>
      </c>
      <c r="P31" s="100">
        <v>-38.375</v>
      </c>
      <c r="Q31" s="100">
        <v>-34.125</v>
      </c>
      <c r="R31" s="100">
        <v>-16.25</v>
      </c>
      <c r="S31" s="100">
        <v>5.75</v>
      </c>
      <c r="T31" s="100">
        <v>34.8125</v>
      </c>
      <c r="U31" s="100">
        <v>57.8125</v>
      </c>
      <c r="V31" s="100">
        <v>93.4375</v>
      </c>
      <c r="W31" s="100">
        <v>-74.5</v>
      </c>
      <c r="X31" s="100">
        <v>-73.75</v>
      </c>
      <c r="Y31" s="100">
        <v>-57.625</v>
      </c>
      <c r="Z31" s="100">
        <v>-30.875</v>
      </c>
      <c r="AA31" s="100">
        <v>2.1875</v>
      </c>
      <c r="AB31" s="100">
        <v>36.5625</v>
      </c>
      <c r="AC31" s="100">
        <v>48.4375</v>
      </c>
      <c r="AD31" s="100">
        <v>-71.25</v>
      </c>
      <c r="AE31" s="100">
        <v>-69.75</v>
      </c>
      <c r="AF31" s="100">
        <v>-54.75</v>
      </c>
      <c r="AG31" s="100">
        <v>-30.125</v>
      </c>
      <c r="AH31" s="100">
        <v>-4.0625</v>
      </c>
      <c r="AI31" s="100">
        <v>26.5625</v>
      </c>
      <c r="AJ31" s="100">
        <v>40.0625</v>
      </c>
    </row>
    <row r="32" spans="1:36" ht="12.75">
      <c r="A32" t="s">
        <v>173</v>
      </c>
      <c r="B32" s="100">
        <v>-55.1</v>
      </c>
      <c r="C32" s="100">
        <v>-53.8</v>
      </c>
      <c r="D32" s="100">
        <v>-42.9</v>
      </c>
      <c r="E32" s="100">
        <v>-31.6</v>
      </c>
      <c r="F32" s="100">
        <v>-21.8</v>
      </c>
      <c r="G32" s="100">
        <v>2.8</v>
      </c>
      <c r="H32" s="100">
        <v>16.7</v>
      </c>
      <c r="I32" s="100">
        <v>-57.85</v>
      </c>
      <c r="J32" s="100">
        <v>-41.1</v>
      </c>
      <c r="K32" s="100">
        <v>-32.5</v>
      </c>
      <c r="L32" s="100">
        <v>-20.7</v>
      </c>
      <c r="M32" s="100">
        <v>-4.1</v>
      </c>
      <c r="N32" s="100">
        <v>19.4</v>
      </c>
      <c r="O32" s="100">
        <v>29</v>
      </c>
      <c r="P32" s="100">
        <v>-32.5</v>
      </c>
      <c r="Q32" s="100">
        <v>-29.9</v>
      </c>
      <c r="R32" s="100">
        <v>-22.4</v>
      </c>
      <c r="S32" s="100">
        <v>-12.6</v>
      </c>
      <c r="T32" s="100">
        <v>-6.5</v>
      </c>
      <c r="U32" s="100">
        <v>17.7</v>
      </c>
      <c r="V32" s="100">
        <v>32.4</v>
      </c>
      <c r="W32" s="100">
        <v>-67.1</v>
      </c>
      <c r="X32" s="100">
        <v>-66</v>
      </c>
      <c r="Y32" s="100">
        <v>-56.2</v>
      </c>
      <c r="Z32" s="100">
        <v>-44.4</v>
      </c>
      <c r="AA32" s="100">
        <v>-21.3</v>
      </c>
      <c r="AB32" s="100">
        <v>-0.2</v>
      </c>
      <c r="AC32" s="100">
        <v>12.4</v>
      </c>
      <c r="AD32" s="100">
        <v>-66.77884615384616</v>
      </c>
      <c r="AE32" s="100">
        <v>-66.29807692307692</v>
      </c>
      <c r="AF32" s="100">
        <v>-53.46153846153846</v>
      </c>
      <c r="AG32" s="100">
        <v>-28.615384615384617</v>
      </c>
      <c r="AH32" s="100">
        <v>-31.40686274509804</v>
      </c>
      <c r="AI32" s="100">
        <v>-5.328431372549019</v>
      </c>
      <c r="AJ32" s="100">
        <v>11.716346153846153</v>
      </c>
    </row>
    <row r="33" spans="1:36" ht="12.75">
      <c r="A33" t="s">
        <v>143</v>
      </c>
      <c r="B33" s="100">
        <v>-37.875</v>
      </c>
      <c r="C33" s="100">
        <v>-37.875</v>
      </c>
      <c r="D33" s="100">
        <v>-35.75</v>
      </c>
      <c r="E33" s="100">
        <v>-32.375</v>
      </c>
      <c r="F33" s="100">
        <v>-27.75</v>
      </c>
      <c r="G33" s="100">
        <v>-3.125</v>
      </c>
      <c r="H33" s="100">
        <v>10</v>
      </c>
      <c r="I33" s="100">
        <v>-79.375</v>
      </c>
      <c r="J33" s="100">
        <v>-24.625</v>
      </c>
      <c r="K33" s="100">
        <v>-23.125</v>
      </c>
      <c r="L33" s="100">
        <v>-18.5</v>
      </c>
      <c r="M33" s="100">
        <v>-20.375</v>
      </c>
      <c r="N33" s="100">
        <v>1.25</v>
      </c>
      <c r="O33" s="100">
        <v>19.625</v>
      </c>
      <c r="P33" s="100">
        <v>-17.625</v>
      </c>
      <c r="Q33" s="100">
        <v>-17.625</v>
      </c>
      <c r="R33" s="100">
        <v>-16.25</v>
      </c>
      <c r="S33" s="100">
        <v>-13.875</v>
      </c>
      <c r="T33" s="100">
        <v>-6.625</v>
      </c>
      <c r="U33" s="100">
        <v>9.375</v>
      </c>
      <c r="V33" s="100">
        <v>28.125</v>
      </c>
      <c r="W33" s="100">
        <v>-46.125</v>
      </c>
      <c r="X33" s="100">
        <v>-46.125</v>
      </c>
      <c r="Y33" s="100">
        <v>-44.25</v>
      </c>
      <c r="Z33" s="100">
        <v>-40</v>
      </c>
      <c r="AA33" s="100">
        <v>-40.625</v>
      </c>
      <c r="AB33" s="100">
        <v>-18</v>
      </c>
      <c r="AC33" s="100">
        <v>-1.5</v>
      </c>
      <c r="AD33" s="100">
        <v>-66.77884615384616</v>
      </c>
      <c r="AE33" s="100">
        <v>-66.29807692307692</v>
      </c>
      <c r="AF33" s="100">
        <v>-53.46153846153846</v>
      </c>
      <c r="AG33" s="100">
        <v>-28.615384615384617</v>
      </c>
      <c r="AH33" s="100">
        <v>-31.40686274509804</v>
      </c>
      <c r="AI33" s="100">
        <v>-5.328431372549019</v>
      </c>
      <c r="AJ33" s="100">
        <v>11.716346153846153</v>
      </c>
    </row>
    <row r="34" spans="1:36" ht="12.75">
      <c r="A34" t="s">
        <v>174</v>
      </c>
      <c r="B34" s="100">
        <v>-27.8125</v>
      </c>
      <c r="C34" s="100">
        <v>-27.8125</v>
      </c>
      <c r="D34" s="100">
        <v>-23.0625</v>
      </c>
      <c r="E34" s="100">
        <v>-17.0625</v>
      </c>
      <c r="F34" s="100">
        <v>-22.4375</v>
      </c>
      <c r="G34" s="100">
        <v>-1.0625</v>
      </c>
      <c r="H34" s="100">
        <v>-3.3125</v>
      </c>
      <c r="I34" s="100">
        <v>-74</v>
      </c>
      <c r="J34" s="100">
        <v>-14.1875</v>
      </c>
      <c r="K34" s="100">
        <v>-11.3125</v>
      </c>
      <c r="L34" s="100">
        <v>-6.9375</v>
      </c>
      <c r="M34" s="100">
        <v>-6.3125</v>
      </c>
      <c r="N34" s="100">
        <v>13.3125</v>
      </c>
      <c r="O34" s="100">
        <v>38.5625</v>
      </c>
      <c r="P34" s="100">
        <v>-18.0625</v>
      </c>
      <c r="Q34" s="100">
        <v>-6.0625</v>
      </c>
      <c r="R34" s="100">
        <v>-2.8125</v>
      </c>
      <c r="S34" s="100">
        <v>1.4375</v>
      </c>
      <c r="T34" s="100">
        <v>-0.4375</v>
      </c>
      <c r="U34" s="100">
        <v>18.0625</v>
      </c>
      <c r="V34" s="100">
        <v>50.8125</v>
      </c>
      <c r="W34" s="100">
        <v>-37.4375</v>
      </c>
      <c r="X34" s="100">
        <v>-37.4375</v>
      </c>
      <c r="Y34" s="100">
        <v>-34.3125</v>
      </c>
      <c r="Z34" s="100">
        <v>-29.8125</v>
      </c>
      <c r="AA34" s="100">
        <v>-27.8125</v>
      </c>
      <c r="AB34" s="100">
        <v>-1.8125</v>
      </c>
      <c r="AC34" s="100">
        <v>26.8125</v>
      </c>
      <c r="AD34" s="100">
        <v>-66.77884615384616</v>
      </c>
      <c r="AE34" s="100">
        <v>-66.29807692307692</v>
      </c>
      <c r="AF34" s="100">
        <v>-53.46153846153846</v>
      </c>
      <c r="AG34" s="100">
        <v>-28.615384615384617</v>
      </c>
      <c r="AH34" s="100">
        <v>-31.40686274509804</v>
      </c>
      <c r="AI34" s="100">
        <v>-5.328431372549019</v>
      </c>
      <c r="AJ34" s="100">
        <v>11.716346153846153</v>
      </c>
    </row>
    <row r="35" spans="1:36" ht="12.75">
      <c r="A35" t="s">
        <v>175</v>
      </c>
      <c r="B35" s="100">
        <v>-13.55</v>
      </c>
      <c r="C35" s="100">
        <v>-13.55</v>
      </c>
      <c r="D35" s="100">
        <v>-10.05</v>
      </c>
      <c r="E35" s="100">
        <v>-6.55</v>
      </c>
      <c r="F35" s="100">
        <v>-12.7</v>
      </c>
      <c r="G35" s="100">
        <v>8.4</v>
      </c>
      <c r="H35" s="100">
        <v>31.2</v>
      </c>
      <c r="I35" s="100">
        <v>-92.35</v>
      </c>
      <c r="J35" s="100">
        <v>-5.15</v>
      </c>
      <c r="K35" s="100">
        <v>-2.35</v>
      </c>
      <c r="L35" s="100">
        <v>1.45</v>
      </c>
      <c r="M35" s="100">
        <v>0.3</v>
      </c>
      <c r="N35" s="100">
        <v>20.1</v>
      </c>
      <c r="O35" s="100">
        <v>44.3</v>
      </c>
      <c r="P35" s="100">
        <v>-2.15</v>
      </c>
      <c r="Q35" s="100">
        <v>-0.85</v>
      </c>
      <c r="R35" s="100">
        <v>1.75</v>
      </c>
      <c r="S35" s="100">
        <v>4.15</v>
      </c>
      <c r="T35" s="100">
        <v>5.4</v>
      </c>
      <c r="U35" s="100">
        <v>22.1</v>
      </c>
      <c r="V35" s="100">
        <v>48.6</v>
      </c>
      <c r="W35" s="100">
        <v>-24.75</v>
      </c>
      <c r="X35" s="100">
        <v>-24.75</v>
      </c>
      <c r="Y35" s="100">
        <v>-22.45</v>
      </c>
      <c r="Z35" s="100">
        <v>-18.05</v>
      </c>
      <c r="AA35" s="100">
        <v>-17.7</v>
      </c>
      <c r="AB35" s="100">
        <v>4.1</v>
      </c>
      <c r="AC35" s="100">
        <v>32.1</v>
      </c>
      <c r="AD35" s="100">
        <v>-66.77884615384616</v>
      </c>
      <c r="AE35" s="100">
        <v>-66.29807692307692</v>
      </c>
      <c r="AF35" s="100">
        <v>-53.46153846153846</v>
      </c>
      <c r="AG35" s="100">
        <v>-28.615384615384617</v>
      </c>
      <c r="AH35" s="100">
        <v>-31.40686274509804</v>
      </c>
      <c r="AI35" s="100">
        <v>-5.328431372549019</v>
      </c>
      <c r="AJ35" s="100">
        <v>11.716346153846153</v>
      </c>
    </row>
    <row r="36" spans="1:36" ht="12.75">
      <c r="A36" t="s">
        <v>176</v>
      </c>
      <c r="B36" s="100">
        <v>-15.3125</v>
      </c>
      <c r="C36" s="100">
        <v>-15.3125</v>
      </c>
      <c r="D36" s="100">
        <v>-12.4375</v>
      </c>
      <c r="E36" s="100">
        <v>-8.9375</v>
      </c>
      <c r="F36" s="100">
        <v>-9.375</v>
      </c>
      <c r="G36" s="100">
        <v>13</v>
      </c>
      <c r="H36" s="100">
        <v>29.125</v>
      </c>
      <c r="I36" s="100">
        <v>-93.75</v>
      </c>
      <c r="J36" s="100">
        <v>-6.1875</v>
      </c>
      <c r="K36" s="100">
        <v>-2.3125</v>
      </c>
      <c r="L36" s="100">
        <v>2.4375</v>
      </c>
      <c r="M36" s="100">
        <v>2.625</v>
      </c>
      <c r="N36" s="100">
        <v>24.875</v>
      </c>
      <c r="O36" s="100">
        <v>41</v>
      </c>
      <c r="P36" s="100">
        <v>-4.5625</v>
      </c>
      <c r="Q36" s="100">
        <v>-4.3125</v>
      </c>
      <c r="R36" s="100">
        <v>-2.0625</v>
      </c>
      <c r="S36" s="100">
        <v>1.9375</v>
      </c>
      <c r="T36" s="100">
        <v>8.5</v>
      </c>
      <c r="U36" s="100">
        <v>23.25</v>
      </c>
      <c r="V36" s="100">
        <v>42.125</v>
      </c>
      <c r="W36" s="100">
        <v>-26.4375</v>
      </c>
      <c r="X36" s="100">
        <v>-26.4375</v>
      </c>
      <c r="Y36" s="100">
        <v>-24.5625</v>
      </c>
      <c r="Z36" s="100">
        <v>-20.0625</v>
      </c>
      <c r="AA36" s="100">
        <v>-14.25</v>
      </c>
      <c r="AB36" s="100">
        <v>6.125</v>
      </c>
      <c r="AC36" s="100">
        <v>23.5</v>
      </c>
      <c r="AD36" s="100">
        <v>-66.77884615384616</v>
      </c>
      <c r="AE36" s="100">
        <v>-66.29807692307692</v>
      </c>
      <c r="AF36" s="100">
        <v>-53.46153846153846</v>
      </c>
      <c r="AG36" s="100">
        <v>-28.615384615384617</v>
      </c>
      <c r="AH36" s="100">
        <v>-31.40686274509804</v>
      </c>
      <c r="AI36" s="100">
        <v>-5.328431372549019</v>
      </c>
      <c r="AJ36" s="100">
        <v>11.716346153846153</v>
      </c>
    </row>
    <row r="40" ht="13.5" thickBot="1"/>
    <row r="41" spans="1:36" ht="13.5" thickBot="1">
      <c r="A41" s="7" t="s">
        <v>4</v>
      </c>
      <c r="B41" s="243" t="s">
        <v>195</v>
      </c>
      <c r="C41" s="243"/>
      <c r="D41" s="243"/>
      <c r="E41" s="243"/>
      <c r="F41" s="243" t="s">
        <v>196</v>
      </c>
      <c r="G41" s="243"/>
      <c r="H41" s="243"/>
      <c r="I41" s="243" t="s">
        <v>195</v>
      </c>
      <c r="J41" s="243"/>
      <c r="K41" s="243"/>
      <c r="L41" s="243"/>
      <c r="M41" s="243" t="s">
        <v>196</v>
      </c>
      <c r="N41" s="243"/>
      <c r="O41" s="243"/>
      <c r="P41" s="243" t="s">
        <v>195</v>
      </c>
      <c r="Q41" s="243"/>
      <c r="R41" s="243"/>
      <c r="S41" s="243"/>
      <c r="T41" s="243" t="s">
        <v>196</v>
      </c>
      <c r="U41" s="243"/>
      <c r="V41" s="243"/>
      <c r="W41" s="243" t="s">
        <v>195</v>
      </c>
      <c r="X41" s="243"/>
      <c r="Y41" s="243"/>
      <c r="Z41" s="243"/>
      <c r="AA41" s="243" t="s">
        <v>196</v>
      </c>
      <c r="AB41" s="243"/>
      <c r="AC41" s="243"/>
      <c r="AD41" s="243" t="s">
        <v>195</v>
      </c>
      <c r="AE41" s="243"/>
      <c r="AF41" s="243"/>
      <c r="AG41" s="243"/>
      <c r="AH41" s="243" t="s">
        <v>196</v>
      </c>
      <c r="AI41" s="243"/>
      <c r="AJ41" s="243"/>
    </row>
    <row r="42" spans="1:36" ht="12.75">
      <c r="A42" s="7" t="s">
        <v>197</v>
      </c>
      <c r="B42" s="244" t="s">
        <v>198</v>
      </c>
      <c r="C42" s="244"/>
      <c r="D42" s="244"/>
      <c r="E42" s="244"/>
      <c r="F42" s="244"/>
      <c r="G42" s="244"/>
      <c r="H42" s="244"/>
      <c r="I42" s="245" t="s">
        <v>199</v>
      </c>
      <c r="J42" s="245"/>
      <c r="K42" s="245"/>
      <c r="L42" s="245"/>
      <c r="M42" s="245"/>
      <c r="N42" s="245"/>
      <c r="O42" s="245"/>
      <c r="P42" s="246" t="s">
        <v>200</v>
      </c>
      <c r="Q42" s="246"/>
      <c r="R42" s="246"/>
      <c r="S42" s="246"/>
      <c r="T42" s="246"/>
      <c r="U42" s="246"/>
      <c r="V42" s="246"/>
      <c r="W42" s="247" t="s">
        <v>201</v>
      </c>
      <c r="X42" s="247"/>
      <c r="Y42" s="247"/>
      <c r="Z42" s="247"/>
      <c r="AA42" s="247"/>
      <c r="AB42" s="247"/>
      <c r="AC42" s="247"/>
      <c r="AD42" s="242" t="s">
        <v>218</v>
      </c>
      <c r="AE42" s="242"/>
      <c r="AF42" s="242"/>
      <c r="AG42" s="242"/>
      <c r="AH42" s="242"/>
      <c r="AI42" s="242"/>
      <c r="AJ42" s="242"/>
    </row>
    <row r="43" spans="1:36" ht="12.75">
      <c r="A43" s="7">
        <v>1995</v>
      </c>
      <c r="B43" t="s">
        <v>202</v>
      </c>
      <c r="C43" t="s">
        <v>203</v>
      </c>
      <c r="D43" t="s">
        <v>204</v>
      </c>
      <c r="E43" t="s">
        <v>205</v>
      </c>
      <c r="F43" t="s">
        <v>206</v>
      </c>
      <c r="G43" t="s">
        <v>207</v>
      </c>
      <c r="H43" t="s">
        <v>208</v>
      </c>
      <c r="I43" t="s">
        <v>202</v>
      </c>
      <c r="J43" t="s">
        <v>203</v>
      </c>
      <c r="K43" t="s">
        <v>204</v>
      </c>
      <c r="L43" t="s">
        <v>205</v>
      </c>
      <c r="M43" t="s">
        <v>206</v>
      </c>
      <c r="N43" t="s">
        <v>207</v>
      </c>
      <c r="O43" t="s">
        <v>208</v>
      </c>
      <c r="P43" t="s">
        <v>202</v>
      </c>
      <c r="Q43" t="s">
        <v>203</v>
      </c>
      <c r="R43" t="s">
        <v>204</v>
      </c>
      <c r="S43" t="s">
        <v>205</v>
      </c>
      <c r="T43" t="s">
        <v>206</v>
      </c>
      <c r="U43" t="s">
        <v>207</v>
      </c>
      <c r="V43" t="s">
        <v>208</v>
      </c>
      <c r="W43" t="s">
        <v>202</v>
      </c>
      <c r="X43" t="s">
        <v>203</v>
      </c>
      <c r="Y43" t="s">
        <v>204</v>
      </c>
      <c r="Z43" t="s">
        <v>205</v>
      </c>
      <c r="AA43" t="s">
        <v>206</v>
      </c>
      <c r="AB43" t="s">
        <v>207</v>
      </c>
      <c r="AC43" t="s">
        <v>208</v>
      </c>
      <c r="AD43" t="s">
        <v>202</v>
      </c>
      <c r="AE43" t="s">
        <v>203</v>
      </c>
      <c r="AF43" t="s">
        <v>204</v>
      </c>
      <c r="AG43" t="s">
        <v>205</v>
      </c>
      <c r="AH43" t="s">
        <v>206</v>
      </c>
      <c r="AI43" t="s">
        <v>207</v>
      </c>
      <c r="AJ43" t="s">
        <v>208</v>
      </c>
    </row>
    <row r="44" spans="1:36" ht="12.75">
      <c r="A44" t="s">
        <v>167</v>
      </c>
      <c r="B44" s="100">
        <v>-53</v>
      </c>
      <c r="C44" s="100">
        <v>-53</v>
      </c>
      <c r="D44" s="100">
        <v>-44.875</v>
      </c>
      <c r="E44" s="100">
        <v>-38.375</v>
      </c>
      <c r="F44" s="100">
        <v>-40.4375</v>
      </c>
      <c r="G44" s="100">
        <v>-5.5625</v>
      </c>
      <c r="H44" s="100">
        <v>12.9375</v>
      </c>
      <c r="I44" s="100">
        <v>-49.75</v>
      </c>
      <c r="J44" s="100">
        <v>-39.375</v>
      </c>
      <c r="K44" s="100">
        <v>-31.125</v>
      </c>
      <c r="L44" s="100">
        <v>-24</v>
      </c>
      <c r="M44" s="100">
        <v>-20.5625</v>
      </c>
      <c r="N44" s="100">
        <v>10.4375</v>
      </c>
      <c r="O44" s="100">
        <v>30.4375</v>
      </c>
      <c r="P44" s="100">
        <v>-41.375</v>
      </c>
      <c r="Q44" s="100">
        <v>-39</v>
      </c>
      <c r="R44" s="100">
        <v>-33.75</v>
      </c>
      <c r="S44" s="100">
        <v>-26</v>
      </c>
      <c r="T44" s="100">
        <v>-26.1875</v>
      </c>
      <c r="U44" s="100">
        <v>3.1875</v>
      </c>
      <c r="V44" s="100">
        <v>29.5625</v>
      </c>
      <c r="W44" s="100">
        <v>-64.375</v>
      </c>
      <c r="X44" s="100">
        <v>-63</v>
      </c>
      <c r="Y44" s="100">
        <v>-59.125</v>
      </c>
      <c r="Z44" s="100">
        <v>-52.5</v>
      </c>
      <c r="AA44" s="100">
        <v>-44.8125</v>
      </c>
      <c r="AB44" s="100">
        <v>-15.8125</v>
      </c>
      <c r="AC44" s="100">
        <v>7.0625</v>
      </c>
      <c r="AD44" s="100">
        <v>-74.75</v>
      </c>
      <c r="AE44" s="100">
        <v>-74.25</v>
      </c>
      <c r="AF44" s="100">
        <v>-69.125</v>
      </c>
      <c r="AG44" s="100">
        <v>-63.25</v>
      </c>
      <c r="AH44" s="100">
        <v>-55.5625</v>
      </c>
      <c r="AI44" s="100">
        <v>-26.8125</v>
      </c>
      <c r="AJ44" s="100">
        <v>-4.3125</v>
      </c>
    </row>
    <row r="45" spans="1:36" ht="12.75">
      <c r="A45" t="s">
        <v>168</v>
      </c>
      <c r="B45" s="100">
        <v>-48</v>
      </c>
      <c r="C45" s="100">
        <v>-48</v>
      </c>
      <c r="D45" s="100">
        <v>-44.5</v>
      </c>
      <c r="E45" s="100">
        <v>-41</v>
      </c>
      <c r="F45" s="100">
        <v>-31.5625</v>
      </c>
      <c r="G45" s="100">
        <v>-5.4375</v>
      </c>
      <c r="H45" s="100">
        <v>0.1875</v>
      </c>
      <c r="I45" s="100">
        <v>-47.75</v>
      </c>
      <c r="J45" s="100">
        <v>-29</v>
      </c>
      <c r="K45" s="100">
        <v>-23.75</v>
      </c>
      <c r="L45" s="100">
        <v>-21</v>
      </c>
      <c r="M45" s="100">
        <v>-13.9375</v>
      </c>
      <c r="N45" s="100">
        <v>19.9375</v>
      </c>
      <c r="O45" s="100">
        <v>37.4375</v>
      </c>
      <c r="P45" s="100">
        <v>-26.75</v>
      </c>
      <c r="Q45" s="100">
        <v>-26.5</v>
      </c>
      <c r="R45" s="100">
        <v>-25.125</v>
      </c>
      <c r="S45" s="100">
        <v>-20</v>
      </c>
      <c r="T45" s="100">
        <v>-16.3125</v>
      </c>
      <c r="U45" s="100">
        <v>11.9375</v>
      </c>
      <c r="V45" s="100">
        <v>34.1875</v>
      </c>
      <c r="W45" s="100">
        <v>-55.875</v>
      </c>
      <c r="X45" s="100">
        <v>-55.875</v>
      </c>
      <c r="Y45" s="100">
        <v>-54.625</v>
      </c>
      <c r="Z45" s="100">
        <v>-52</v>
      </c>
      <c r="AA45" s="100">
        <v>-38.3125</v>
      </c>
      <c r="AB45" s="100">
        <v>-9.9375</v>
      </c>
      <c r="AC45" s="100">
        <v>7.6875</v>
      </c>
      <c r="AD45" s="100">
        <v>-65.375</v>
      </c>
      <c r="AE45" s="100">
        <v>-65.125</v>
      </c>
      <c r="AF45" s="100">
        <v>-64.375</v>
      </c>
      <c r="AG45" s="100">
        <v>-62.125</v>
      </c>
      <c r="AH45" s="100">
        <v>-48.6875</v>
      </c>
      <c r="AI45" s="100">
        <v>-20.4375</v>
      </c>
      <c r="AJ45" s="100">
        <v>-1.9375</v>
      </c>
    </row>
    <row r="46" spans="1:36" ht="12.75">
      <c r="A46" t="s">
        <v>169</v>
      </c>
      <c r="B46" s="100">
        <v>-37.5</v>
      </c>
      <c r="C46" s="100">
        <v>-37.5</v>
      </c>
      <c r="D46" s="100">
        <v>-36.3</v>
      </c>
      <c r="E46" s="100">
        <v>-33.7</v>
      </c>
      <c r="F46" s="100">
        <v>-30.55</v>
      </c>
      <c r="G46" s="100">
        <v>-2.45</v>
      </c>
      <c r="H46" s="100">
        <v>14.85</v>
      </c>
      <c r="I46" s="100">
        <v>-56.1</v>
      </c>
      <c r="J46" s="100">
        <v>-14.5</v>
      </c>
      <c r="K46" s="100">
        <v>-14.1</v>
      </c>
      <c r="L46" s="100">
        <v>-12.3</v>
      </c>
      <c r="M46" s="100">
        <v>-10.45</v>
      </c>
      <c r="N46" s="100">
        <v>23.05</v>
      </c>
      <c r="O46" s="100">
        <v>38.45</v>
      </c>
      <c r="P46" s="100">
        <v>-10.4</v>
      </c>
      <c r="Q46" s="100">
        <v>-10.2</v>
      </c>
      <c r="R46" s="100">
        <v>-9.9</v>
      </c>
      <c r="S46" s="100">
        <v>-7.7</v>
      </c>
      <c r="T46" s="100">
        <v>-7.65</v>
      </c>
      <c r="U46" s="100">
        <v>20.15</v>
      </c>
      <c r="V46" s="100">
        <v>39.35</v>
      </c>
      <c r="W46" s="100">
        <v>-44.6</v>
      </c>
      <c r="X46" s="100">
        <v>-44.9</v>
      </c>
      <c r="Y46" s="100">
        <v>-43.7</v>
      </c>
      <c r="Z46" s="100">
        <v>-42.2</v>
      </c>
      <c r="AA46" s="100">
        <v>-34.45</v>
      </c>
      <c r="AB46" s="100">
        <v>-4.85</v>
      </c>
      <c r="AC46" s="100">
        <v>11.75</v>
      </c>
      <c r="AD46" s="100">
        <v>-53</v>
      </c>
      <c r="AE46" s="100">
        <v>-52.5</v>
      </c>
      <c r="AF46" s="100">
        <v>-52</v>
      </c>
      <c r="AG46" s="100">
        <v>-50.7</v>
      </c>
      <c r="AH46" s="100">
        <v>-41.95</v>
      </c>
      <c r="AI46" s="100">
        <v>-11.95</v>
      </c>
      <c r="AJ46" s="100">
        <v>4.05</v>
      </c>
    </row>
    <row r="47" spans="1:36" ht="12.75">
      <c r="A47" t="s">
        <v>170</v>
      </c>
      <c r="B47" s="100">
        <v>-39.8125</v>
      </c>
      <c r="C47" s="100">
        <v>-39.8125</v>
      </c>
      <c r="D47" s="100">
        <v>-38.8125</v>
      </c>
      <c r="E47" s="100">
        <v>-36.1875</v>
      </c>
      <c r="F47" s="100">
        <v>-20.625</v>
      </c>
      <c r="G47" s="100">
        <v>8.5</v>
      </c>
      <c r="H47" s="100">
        <v>30.25</v>
      </c>
      <c r="I47" s="100">
        <v>-54</v>
      </c>
      <c r="J47" s="100">
        <v>-19.3125</v>
      </c>
      <c r="K47" s="100">
        <v>-18.8125</v>
      </c>
      <c r="L47" s="100">
        <v>-15.4375</v>
      </c>
      <c r="M47" s="100">
        <v>-4.625</v>
      </c>
      <c r="N47" s="100">
        <v>32.5</v>
      </c>
      <c r="O47" s="100">
        <v>50.625</v>
      </c>
      <c r="P47" s="100">
        <v>-13.1875</v>
      </c>
      <c r="Q47" s="100">
        <v>-13.1875</v>
      </c>
      <c r="R47" s="100">
        <v>-12.9375</v>
      </c>
      <c r="S47" s="100">
        <v>-10.0625</v>
      </c>
      <c r="T47" s="100">
        <v>-1.5</v>
      </c>
      <c r="U47" s="100">
        <v>34.875</v>
      </c>
      <c r="V47" s="100">
        <v>55.75</v>
      </c>
      <c r="W47" s="100">
        <v>-46.8125</v>
      </c>
      <c r="X47" s="100">
        <v>-46.8125</v>
      </c>
      <c r="Y47" s="100">
        <v>-46.0625</v>
      </c>
      <c r="Z47" s="100">
        <v>-44.0625</v>
      </c>
      <c r="AA47" s="100">
        <v>-30.25</v>
      </c>
      <c r="AB47" s="100">
        <v>5.5</v>
      </c>
      <c r="AC47" s="100">
        <v>25.375</v>
      </c>
      <c r="AD47" s="100">
        <v>-57.1875</v>
      </c>
      <c r="AE47" s="100">
        <v>-57.1875</v>
      </c>
      <c r="AF47" s="100">
        <v>-55.5625</v>
      </c>
      <c r="AG47" s="100">
        <v>-56.0625</v>
      </c>
      <c r="AH47" s="100">
        <v>-40.625</v>
      </c>
      <c r="AI47" s="100">
        <v>-3.875</v>
      </c>
      <c r="AJ47" s="100">
        <v>15.125</v>
      </c>
    </row>
    <row r="48" spans="1:36" ht="12.75">
      <c r="A48" t="s">
        <v>157</v>
      </c>
      <c r="B48" s="100">
        <v>-29.333333333333332</v>
      </c>
      <c r="C48" s="100">
        <v>-29.333333333333332</v>
      </c>
      <c r="D48" s="100">
        <v>-27.333333333333332</v>
      </c>
      <c r="E48" s="100">
        <v>-24</v>
      </c>
      <c r="F48" s="100">
        <v>-33.833333333333336</v>
      </c>
      <c r="G48" s="100">
        <v>2</v>
      </c>
      <c r="H48" s="100">
        <v>27.666666666666668</v>
      </c>
      <c r="I48" s="100">
        <v>-35.833333333333336</v>
      </c>
      <c r="J48" s="100">
        <v>-13.333333333333334</v>
      </c>
      <c r="K48" s="100">
        <v>-11.5</v>
      </c>
      <c r="L48" s="100">
        <v>-6.5</v>
      </c>
      <c r="M48" s="100">
        <v>-18.666666666666668</v>
      </c>
      <c r="N48" s="100">
        <v>18.5</v>
      </c>
      <c r="O48" s="100">
        <v>38.666666666666664</v>
      </c>
      <c r="P48" s="100">
        <v>-12.333333333333334</v>
      </c>
      <c r="Q48" s="100">
        <v>-12</v>
      </c>
      <c r="R48" s="100">
        <v>-11</v>
      </c>
      <c r="S48" s="100">
        <v>-6.833333333333333</v>
      </c>
      <c r="T48" s="100">
        <v>-16</v>
      </c>
      <c r="U48" s="100">
        <v>20</v>
      </c>
      <c r="V48" s="100">
        <v>55.666666666666664</v>
      </c>
      <c r="W48" s="100">
        <v>-40.166666666666664</v>
      </c>
      <c r="X48" s="100">
        <v>-40.166666666666664</v>
      </c>
      <c r="Y48" s="100">
        <v>-38.833333333333336</v>
      </c>
      <c r="Z48" s="100">
        <v>-34.166666666666664</v>
      </c>
      <c r="AA48" s="100">
        <v>-41.666666666666664</v>
      </c>
      <c r="AB48" s="100">
        <v>-8.166666666666666</v>
      </c>
      <c r="AC48" s="100">
        <v>11.833333333333334</v>
      </c>
      <c r="AD48" s="100">
        <v>-49.166666666666664</v>
      </c>
      <c r="AE48" s="100">
        <v>-49.166666666666664</v>
      </c>
      <c r="AF48" s="100">
        <v>-48.5</v>
      </c>
      <c r="AG48" s="100">
        <v>-46.5</v>
      </c>
      <c r="AH48" s="100">
        <v>-52.166666666666664</v>
      </c>
      <c r="AI48" s="100">
        <v>-17.833333333333332</v>
      </c>
      <c r="AJ48" s="100">
        <v>2.1666666666666665</v>
      </c>
    </row>
    <row r="49" spans="1:36" ht="12.75">
      <c r="A49" t="s">
        <v>171</v>
      </c>
      <c r="B49" s="100">
        <v>-44.8</v>
      </c>
      <c r="C49" s="100">
        <v>-44</v>
      </c>
      <c r="D49" s="100">
        <v>-36.5</v>
      </c>
      <c r="E49" s="100">
        <v>-26.2</v>
      </c>
      <c r="F49" s="100">
        <v>-39.55</v>
      </c>
      <c r="G49" s="100">
        <v>5.25</v>
      </c>
      <c r="H49" s="100">
        <v>25.55</v>
      </c>
      <c r="I49" s="100">
        <v>2.4</v>
      </c>
      <c r="J49" s="100">
        <v>-27</v>
      </c>
      <c r="K49" s="100">
        <v>-18.3</v>
      </c>
      <c r="L49" s="100">
        <v>-1.3</v>
      </c>
      <c r="M49" s="100">
        <v>-8.45</v>
      </c>
      <c r="N49" s="100">
        <v>26.35</v>
      </c>
      <c r="O49" s="100">
        <v>46.85</v>
      </c>
      <c r="P49" s="100">
        <v>-27.2</v>
      </c>
      <c r="Q49" s="100">
        <v>-26.3</v>
      </c>
      <c r="R49" s="100">
        <v>-21.1</v>
      </c>
      <c r="S49" s="100">
        <v>-3.3</v>
      </c>
      <c r="T49" s="100">
        <v>-13.15</v>
      </c>
      <c r="U49" s="100">
        <v>25.15</v>
      </c>
      <c r="V49" s="100">
        <v>52.95</v>
      </c>
      <c r="W49" s="100">
        <v>-57</v>
      </c>
      <c r="X49" s="100">
        <v>-55.3</v>
      </c>
      <c r="Y49" s="100">
        <v>-48.9</v>
      </c>
      <c r="Z49" s="100">
        <v>-28.7</v>
      </c>
      <c r="AA49" s="100">
        <v>-36.25</v>
      </c>
      <c r="AB49" s="100">
        <v>2.65</v>
      </c>
      <c r="AC49" s="100">
        <v>22.65</v>
      </c>
      <c r="AD49" s="100">
        <v>-68.3</v>
      </c>
      <c r="AE49" s="100">
        <v>-67.1</v>
      </c>
      <c r="AF49" s="100">
        <v>-64.5</v>
      </c>
      <c r="AG49" s="100">
        <v>-57.1</v>
      </c>
      <c r="AH49" s="100">
        <v>-46.85</v>
      </c>
      <c r="AI49" s="100">
        <v>-8.25</v>
      </c>
      <c r="AJ49" s="100">
        <v>11.75</v>
      </c>
    </row>
    <row r="50" spans="1:36" ht="12.75">
      <c r="A50" t="s">
        <v>172</v>
      </c>
      <c r="B50" s="100">
        <v>-61.5625</v>
      </c>
      <c r="C50" s="100">
        <v>-61.1875</v>
      </c>
      <c r="D50" s="100">
        <v>-48.3125</v>
      </c>
      <c r="E50" s="100">
        <v>-18.1875</v>
      </c>
      <c r="F50" s="100">
        <v>-23.125</v>
      </c>
      <c r="G50" s="100">
        <v>18.75</v>
      </c>
      <c r="H50" s="100">
        <v>40.75</v>
      </c>
      <c r="I50" s="100">
        <v>45.375</v>
      </c>
      <c r="J50" s="100">
        <v>-31.9375</v>
      </c>
      <c r="K50" s="100">
        <v>-20.6875</v>
      </c>
      <c r="L50" s="100">
        <v>14.9375</v>
      </c>
      <c r="M50" s="100">
        <v>-3</v>
      </c>
      <c r="N50" s="100">
        <v>37.375</v>
      </c>
      <c r="O50" s="100">
        <v>59.375</v>
      </c>
      <c r="P50" s="100">
        <v>-38.5625</v>
      </c>
      <c r="Q50" s="100">
        <v>-32.4375</v>
      </c>
      <c r="R50" s="100">
        <v>-17.8125</v>
      </c>
      <c r="S50" s="100">
        <v>14.6875</v>
      </c>
      <c r="T50" s="100">
        <v>-1.625</v>
      </c>
      <c r="U50" s="100">
        <v>38.5</v>
      </c>
      <c r="V50" s="100">
        <v>72.375</v>
      </c>
      <c r="W50" s="100">
        <v>-62.1875</v>
      </c>
      <c r="X50" s="100">
        <v>-57.4375</v>
      </c>
      <c r="Y50" s="100">
        <v>-44.4375</v>
      </c>
      <c r="Z50" s="100">
        <v>-13.5625</v>
      </c>
      <c r="AA50" s="100">
        <v>-28.375</v>
      </c>
      <c r="AB50" s="100">
        <v>12.875</v>
      </c>
      <c r="AC50" s="100">
        <v>38.125</v>
      </c>
      <c r="AD50" s="100">
        <v>-75.8125</v>
      </c>
      <c r="AE50" s="100">
        <v>-73.0625</v>
      </c>
      <c r="AF50" s="100">
        <v>-59.3125</v>
      </c>
      <c r="AG50" s="100">
        <v>-24.8125</v>
      </c>
      <c r="AH50" s="100">
        <v>-35.625</v>
      </c>
      <c r="AI50" s="100">
        <v>3.75</v>
      </c>
      <c r="AJ50" s="100">
        <v>26</v>
      </c>
    </row>
    <row r="51" spans="1:36" ht="12.75">
      <c r="A51" t="s">
        <v>173</v>
      </c>
      <c r="B51" s="100">
        <v>-75.5</v>
      </c>
      <c r="C51" s="100">
        <v>-74.25</v>
      </c>
      <c r="D51" s="100">
        <v>-54.75</v>
      </c>
      <c r="E51" s="100">
        <v>-14.625</v>
      </c>
      <c r="F51" s="100">
        <v>-42.8125</v>
      </c>
      <c r="G51" s="100">
        <v>-9.8125</v>
      </c>
      <c r="H51" s="100">
        <v>12.1875</v>
      </c>
      <c r="I51" s="100">
        <v>-5.125</v>
      </c>
      <c r="J51" s="100">
        <v>-67.375</v>
      </c>
      <c r="K51" s="100">
        <v>-43</v>
      </c>
      <c r="L51" s="100">
        <v>-4.75</v>
      </c>
      <c r="M51" s="100">
        <v>-33.8125</v>
      </c>
      <c r="N51" s="100">
        <v>-1.4375</v>
      </c>
      <c r="O51" s="100">
        <v>22.5625</v>
      </c>
      <c r="P51" s="100">
        <v>-69.5</v>
      </c>
      <c r="Q51" s="100">
        <v>-62.625</v>
      </c>
      <c r="R51" s="100">
        <v>-37.75</v>
      </c>
      <c r="S51" s="100">
        <v>4.875</v>
      </c>
      <c r="T51" s="100">
        <v>-22.5625</v>
      </c>
      <c r="U51" s="100">
        <v>2.4375</v>
      </c>
      <c r="V51" s="100">
        <v>33.3125</v>
      </c>
      <c r="W51" s="100">
        <v>-100</v>
      </c>
      <c r="X51" s="100">
        <v>-96.375</v>
      </c>
      <c r="Y51" s="100">
        <v>-67.875</v>
      </c>
      <c r="Z51" s="100">
        <v>-27</v>
      </c>
      <c r="AA51" s="100">
        <v>-59.6875</v>
      </c>
      <c r="AB51" s="100">
        <v>-24.8125</v>
      </c>
      <c r="AC51" s="100">
        <v>-1.6875</v>
      </c>
      <c r="AD51" s="100">
        <v>-73.25980392156863</v>
      </c>
      <c r="AE51" s="100">
        <v>-72.06372549019608</v>
      </c>
      <c r="AF51" s="100">
        <v>-58.9264705882353</v>
      </c>
      <c r="AG51" s="100">
        <v>-38.51470588235294</v>
      </c>
      <c r="AH51" s="100">
        <v>-48.90196078431372</v>
      </c>
      <c r="AI51" s="100">
        <v>-16.57843137254902</v>
      </c>
      <c r="AJ51" s="100">
        <v>3.3137254901960786</v>
      </c>
    </row>
    <row r="52" spans="1:36" ht="12.75">
      <c r="A52" t="s">
        <v>143</v>
      </c>
      <c r="B52" s="100">
        <v>-84.15</v>
      </c>
      <c r="C52" s="100">
        <v>-78.05</v>
      </c>
      <c r="D52" s="100">
        <v>-50.75</v>
      </c>
      <c r="E52" s="100">
        <v>-10.05</v>
      </c>
      <c r="F52" s="100">
        <v>-51.05</v>
      </c>
      <c r="G52" s="100">
        <v>-15.45</v>
      </c>
      <c r="H52" s="100">
        <v>3.35</v>
      </c>
      <c r="I52" s="100">
        <v>22</v>
      </c>
      <c r="J52" s="100">
        <v>-61.15</v>
      </c>
      <c r="K52" s="100">
        <v>-34.85</v>
      </c>
      <c r="L52" s="100">
        <v>5.25</v>
      </c>
      <c r="M52" s="100">
        <v>-29.35</v>
      </c>
      <c r="N52" s="100">
        <v>-3.55</v>
      </c>
      <c r="O52" s="100">
        <v>12.35</v>
      </c>
      <c r="P52" s="100">
        <v>-62.35</v>
      </c>
      <c r="Q52" s="100">
        <v>-56.65</v>
      </c>
      <c r="R52" s="100">
        <v>-28.65</v>
      </c>
      <c r="S52" s="100">
        <v>12.95</v>
      </c>
      <c r="T52" s="100">
        <v>-13.25</v>
      </c>
      <c r="U52" s="100">
        <v>6.85</v>
      </c>
      <c r="V52" s="100">
        <v>25.25</v>
      </c>
      <c r="W52" s="100">
        <v>-86.75</v>
      </c>
      <c r="X52" s="100">
        <v>-82.85</v>
      </c>
      <c r="Y52" s="100">
        <v>-56.65</v>
      </c>
      <c r="Z52" s="100">
        <v>-11.65</v>
      </c>
      <c r="AA52" s="100">
        <v>-43.15</v>
      </c>
      <c r="AB52" s="100">
        <v>-20.35</v>
      </c>
      <c r="AC52" s="100">
        <v>-2.35</v>
      </c>
      <c r="AD52" s="100">
        <v>-73.25980392156863</v>
      </c>
      <c r="AE52" s="100">
        <v>-72.06372549019608</v>
      </c>
      <c r="AF52" s="100">
        <v>-58.9264705882353</v>
      </c>
      <c r="AG52" s="100">
        <v>-38.51470588235294</v>
      </c>
      <c r="AH52" s="100">
        <v>-48.90196078431372</v>
      </c>
      <c r="AI52" s="100">
        <v>-16.57843137254902</v>
      </c>
      <c r="AJ52" s="100">
        <v>3.3137254901960786</v>
      </c>
    </row>
    <row r="53" spans="1:36" ht="12.75">
      <c r="A53" t="s">
        <v>174</v>
      </c>
      <c r="B53" s="100">
        <v>-71.25</v>
      </c>
      <c r="C53" s="100">
        <v>-61.625</v>
      </c>
      <c r="D53" s="100">
        <v>-33.625</v>
      </c>
      <c r="E53" s="100">
        <v>4.25</v>
      </c>
      <c r="F53" s="100">
        <v>-39.125</v>
      </c>
      <c r="G53" s="100">
        <v>-9.625</v>
      </c>
      <c r="H53" s="100">
        <v>10.125</v>
      </c>
      <c r="I53" s="100">
        <v>61.625</v>
      </c>
      <c r="J53" s="100">
        <v>-46.875</v>
      </c>
      <c r="K53" s="100">
        <v>-23.625</v>
      </c>
      <c r="L53" s="100">
        <v>1.875</v>
      </c>
      <c r="M53" s="100">
        <v>-31.625</v>
      </c>
      <c r="N53" s="100">
        <v>-5</v>
      </c>
      <c r="O53" s="100">
        <v>14.375</v>
      </c>
      <c r="P53" s="100">
        <v>-53</v>
      </c>
      <c r="Q53" s="100">
        <v>-38.75</v>
      </c>
      <c r="R53" s="100">
        <v>-17.75</v>
      </c>
      <c r="S53" s="100">
        <v>20.25</v>
      </c>
      <c r="T53" s="100">
        <v>-17.5</v>
      </c>
      <c r="U53" s="100">
        <v>4.375</v>
      </c>
      <c r="V53" s="100">
        <v>29.75</v>
      </c>
      <c r="W53" s="100">
        <v>-76.125</v>
      </c>
      <c r="X53" s="100">
        <v>-68.5</v>
      </c>
      <c r="Y53" s="100">
        <v>-44.375</v>
      </c>
      <c r="Z53" s="100">
        <v>-7.125</v>
      </c>
      <c r="AA53" s="100">
        <v>-50.375</v>
      </c>
      <c r="AB53" s="100">
        <v>-23.5</v>
      </c>
      <c r="AC53" s="100">
        <v>-0.375</v>
      </c>
      <c r="AD53" s="100">
        <v>-73.25980392156863</v>
      </c>
      <c r="AE53" s="100">
        <v>-72.06372549019608</v>
      </c>
      <c r="AF53" s="100">
        <v>-58.9264705882353</v>
      </c>
      <c r="AG53" s="100">
        <v>-38.51470588235294</v>
      </c>
      <c r="AH53" s="100">
        <v>-48.90196078431372</v>
      </c>
      <c r="AI53" s="100">
        <v>-16.57843137254902</v>
      </c>
      <c r="AJ53" s="100">
        <v>3.3137254901960786</v>
      </c>
    </row>
    <row r="54" spans="1:36" ht="12.75">
      <c r="A54" t="s">
        <v>175</v>
      </c>
      <c r="B54" s="100">
        <v>-64.1875</v>
      </c>
      <c r="C54" s="100">
        <v>-56.8125</v>
      </c>
      <c r="D54" s="100">
        <v>-32.9375</v>
      </c>
      <c r="E54" s="100">
        <v>-0.5625</v>
      </c>
      <c r="F54" s="100">
        <v>-39.25</v>
      </c>
      <c r="G54" s="100">
        <v>-8.875</v>
      </c>
      <c r="H54" s="100">
        <v>13.375</v>
      </c>
      <c r="I54" s="100">
        <v>67</v>
      </c>
      <c r="J54" s="100">
        <v>-44.4375</v>
      </c>
      <c r="K54" s="100">
        <v>-20.5625</v>
      </c>
      <c r="L54" s="100">
        <v>8.3125</v>
      </c>
      <c r="M54" s="100">
        <v>-20.5</v>
      </c>
      <c r="N54" s="100">
        <v>6.25</v>
      </c>
      <c r="O54" s="100">
        <v>32.5</v>
      </c>
      <c r="P54" s="100">
        <v>-47.3125</v>
      </c>
      <c r="Q54" s="100">
        <v>-40.1875</v>
      </c>
      <c r="R54" s="100">
        <v>-19.3125</v>
      </c>
      <c r="S54" s="100">
        <v>15.6875</v>
      </c>
      <c r="T54" s="100">
        <v>-15.625</v>
      </c>
      <c r="U54" s="100">
        <v>8.5</v>
      </c>
      <c r="V54" s="100">
        <v>33.875</v>
      </c>
      <c r="W54" s="100">
        <v>-69.0625</v>
      </c>
      <c r="X54" s="100">
        <v>-62.5625</v>
      </c>
      <c r="Y54" s="100">
        <v>-40.0625</v>
      </c>
      <c r="Z54" s="100">
        <v>-7.0625</v>
      </c>
      <c r="AA54" s="100">
        <v>-39.375</v>
      </c>
      <c r="AB54" s="100">
        <v>-12</v>
      </c>
      <c r="AC54" s="100">
        <v>12.625</v>
      </c>
      <c r="AD54" s="100">
        <v>-73.25980392156863</v>
      </c>
      <c r="AE54" s="100">
        <v>-72.06372549019608</v>
      </c>
      <c r="AF54" s="100">
        <v>-58.9264705882353</v>
      </c>
      <c r="AG54" s="100">
        <v>-38.51470588235294</v>
      </c>
      <c r="AH54" s="100">
        <v>-48.90196078431372</v>
      </c>
      <c r="AI54" s="100">
        <v>-16.57843137254902</v>
      </c>
      <c r="AJ54" s="100">
        <v>3.3137254901960786</v>
      </c>
    </row>
    <row r="55" spans="1:36" ht="12.75">
      <c r="A55" t="s">
        <v>176</v>
      </c>
      <c r="B55" s="100">
        <v>-61.25</v>
      </c>
      <c r="C55" s="100">
        <v>-51.65</v>
      </c>
      <c r="D55" s="100">
        <v>-33.65</v>
      </c>
      <c r="E55" s="100">
        <v>-3.45</v>
      </c>
      <c r="F55" s="100">
        <v>-29</v>
      </c>
      <c r="G55" s="100">
        <v>2.3</v>
      </c>
      <c r="H55" s="100">
        <v>18.7</v>
      </c>
      <c r="I55" s="100">
        <v>77</v>
      </c>
      <c r="J55" s="100">
        <v>-41.15</v>
      </c>
      <c r="K55" s="100">
        <v>-20.45</v>
      </c>
      <c r="L55" s="100">
        <v>7.55</v>
      </c>
      <c r="M55" s="100">
        <v>-12.6</v>
      </c>
      <c r="N55" s="100">
        <v>16.5</v>
      </c>
      <c r="O55" s="100">
        <v>39.9</v>
      </c>
      <c r="P55" s="100">
        <v>-44.85</v>
      </c>
      <c r="Q55" s="100">
        <v>-35.35</v>
      </c>
      <c r="R55" s="100">
        <v>-17.85</v>
      </c>
      <c r="S55" s="100">
        <v>13.75</v>
      </c>
      <c r="T55" s="100">
        <v>-7.4</v>
      </c>
      <c r="U55" s="100">
        <v>18.3</v>
      </c>
      <c r="V55" s="100">
        <v>41.9</v>
      </c>
      <c r="W55" s="100">
        <v>-70.45</v>
      </c>
      <c r="X55" s="100">
        <v>-58.55</v>
      </c>
      <c r="Y55" s="100">
        <v>-42.15</v>
      </c>
      <c r="Z55" s="100">
        <v>-12.85</v>
      </c>
      <c r="AA55" s="100">
        <v>-28.8</v>
      </c>
      <c r="AB55" s="100">
        <v>-3.4</v>
      </c>
      <c r="AC55" s="100">
        <v>17</v>
      </c>
      <c r="AD55" s="100">
        <v>-76.05</v>
      </c>
      <c r="AE55" s="100">
        <v>-76.05</v>
      </c>
      <c r="AF55" s="100">
        <v>-55.45</v>
      </c>
      <c r="AG55" s="100">
        <v>-18.55</v>
      </c>
      <c r="AH55" s="100">
        <v>-39.3</v>
      </c>
      <c r="AI55" s="100">
        <v>-11.6</v>
      </c>
      <c r="AJ55" s="100">
        <v>6.8</v>
      </c>
    </row>
    <row r="57" ht="13.5" thickBot="1"/>
    <row r="58" spans="1:36" ht="13.5" thickBot="1">
      <c r="A58" s="7" t="s">
        <v>4</v>
      </c>
      <c r="B58" s="243" t="s">
        <v>195</v>
      </c>
      <c r="C58" s="243"/>
      <c r="D58" s="243"/>
      <c r="E58" s="243"/>
      <c r="F58" s="243" t="s">
        <v>196</v>
      </c>
      <c r="G58" s="243"/>
      <c r="H58" s="243"/>
      <c r="I58" s="243" t="s">
        <v>195</v>
      </c>
      <c r="J58" s="243"/>
      <c r="K58" s="243"/>
      <c r="L58" s="243"/>
      <c r="M58" s="243" t="s">
        <v>196</v>
      </c>
      <c r="N58" s="243"/>
      <c r="O58" s="243"/>
      <c r="P58" s="243" t="s">
        <v>195</v>
      </c>
      <c r="Q58" s="243"/>
      <c r="R58" s="243"/>
      <c r="S58" s="243"/>
      <c r="T58" s="243" t="s">
        <v>196</v>
      </c>
      <c r="U58" s="243"/>
      <c r="V58" s="243"/>
      <c r="W58" s="243" t="s">
        <v>195</v>
      </c>
      <c r="X58" s="243"/>
      <c r="Y58" s="243"/>
      <c r="Z58" s="243"/>
      <c r="AA58" s="243" t="s">
        <v>196</v>
      </c>
      <c r="AB58" s="243"/>
      <c r="AC58" s="243"/>
      <c r="AD58" s="243" t="s">
        <v>195</v>
      </c>
      <c r="AE58" s="243"/>
      <c r="AF58" s="243"/>
      <c r="AG58" s="243"/>
      <c r="AH58" s="243" t="s">
        <v>196</v>
      </c>
      <c r="AI58" s="243"/>
      <c r="AJ58" s="243"/>
    </row>
    <row r="59" spans="1:36" ht="12.75">
      <c r="A59" s="7" t="s">
        <v>197</v>
      </c>
      <c r="B59" s="244" t="s">
        <v>198</v>
      </c>
      <c r="C59" s="244"/>
      <c r="D59" s="244"/>
      <c r="E59" s="244"/>
      <c r="F59" s="244"/>
      <c r="G59" s="244"/>
      <c r="H59" s="244"/>
      <c r="I59" s="245" t="s">
        <v>199</v>
      </c>
      <c r="J59" s="245"/>
      <c r="K59" s="245"/>
      <c r="L59" s="245"/>
      <c r="M59" s="245"/>
      <c r="N59" s="245"/>
      <c r="O59" s="245"/>
      <c r="P59" s="246" t="s">
        <v>200</v>
      </c>
      <c r="Q59" s="246"/>
      <c r="R59" s="246"/>
      <c r="S59" s="246"/>
      <c r="T59" s="246"/>
      <c r="U59" s="246"/>
      <c r="V59" s="246"/>
      <c r="W59" s="247" t="s">
        <v>201</v>
      </c>
      <c r="X59" s="247"/>
      <c r="Y59" s="247"/>
      <c r="Z59" s="247"/>
      <c r="AA59" s="247"/>
      <c r="AB59" s="247"/>
      <c r="AC59" s="247"/>
      <c r="AD59" s="242" t="s">
        <v>218</v>
      </c>
      <c r="AE59" s="242"/>
      <c r="AF59" s="242"/>
      <c r="AG59" s="242"/>
      <c r="AH59" s="242"/>
      <c r="AI59" s="242"/>
      <c r="AJ59" s="242"/>
    </row>
    <row r="60" spans="1:36" ht="12.75">
      <c r="A60" s="7">
        <v>1994</v>
      </c>
      <c r="B60" t="s">
        <v>202</v>
      </c>
      <c r="C60" t="s">
        <v>203</v>
      </c>
      <c r="D60" t="s">
        <v>204</v>
      </c>
      <c r="E60" t="s">
        <v>205</v>
      </c>
      <c r="F60" t="s">
        <v>206</v>
      </c>
      <c r="G60" t="s">
        <v>207</v>
      </c>
      <c r="H60" t="s">
        <v>208</v>
      </c>
      <c r="I60" t="s">
        <v>202</v>
      </c>
      <c r="J60" t="s">
        <v>203</v>
      </c>
      <c r="K60" t="s">
        <v>204</v>
      </c>
      <c r="L60" t="s">
        <v>205</v>
      </c>
      <c r="M60" t="s">
        <v>206</v>
      </c>
      <c r="N60" t="s">
        <v>207</v>
      </c>
      <c r="O60" t="s">
        <v>208</v>
      </c>
      <c r="P60" t="s">
        <v>202</v>
      </c>
      <c r="Q60" t="s">
        <v>203</v>
      </c>
      <c r="R60" t="s">
        <v>204</v>
      </c>
      <c r="S60" t="s">
        <v>205</v>
      </c>
      <c r="T60" t="s">
        <v>206</v>
      </c>
      <c r="U60" t="s">
        <v>207</v>
      </c>
      <c r="V60" t="s">
        <v>208</v>
      </c>
      <c r="W60" t="s">
        <v>202</v>
      </c>
      <c r="X60" t="s">
        <v>203</v>
      </c>
      <c r="Y60" t="s">
        <v>204</v>
      </c>
      <c r="Z60" t="s">
        <v>205</v>
      </c>
      <c r="AA60" t="s">
        <v>206</v>
      </c>
      <c r="AB60" t="s">
        <v>207</v>
      </c>
      <c r="AC60" t="s">
        <v>208</v>
      </c>
      <c r="AD60" t="s">
        <v>202</v>
      </c>
      <c r="AE60" t="s">
        <v>203</v>
      </c>
      <c r="AF60" t="s">
        <v>204</v>
      </c>
      <c r="AG60" t="s">
        <v>205</v>
      </c>
      <c r="AH60" t="s">
        <v>206</v>
      </c>
      <c r="AI60" t="s">
        <v>207</v>
      </c>
      <c r="AJ60" t="s">
        <v>208</v>
      </c>
    </row>
    <row r="61" spans="1:36" ht="12.75">
      <c r="A61" t="s">
        <v>167</v>
      </c>
      <c r="B61" s="100">
        <v>-68.875</v>
      </c>
      <c r="C61" s="100">
        <v>-67.75</v>
      </c>
      <c r="D61" s="100">
        <v>-37.125</v>
      </c>
      <c r="E61" s="100">
        <v>27.875</v>
      </c>
      <c r="F61" s="100">
        <v>-8</v>
      </c>
      <c r="G61" s="100">
        <v>79.875</v>
      </c>
      <c r="H61" s="100">
        <v>165.625</v>
      </c>
      <c r="I61" s="100">
        <v>-69.625</v>
      </c>
      <c r="J61" s="100">
        <v>-60.75</v>
      </c>
      <c r="K61" s="100">
        <v>-30.125</v>
      </c>
      <c r="L61" s="100">
        <v>31.5</v>
      </c>
      <c r="M61" s="100">
        <v>15.875</v>
      </c>
      <c r="N61" s="100">
        <v>99.375</v>
      </c>
      <c r="O61" s="100">
        <v>160.25</v>
      </c>
      <c r="P61" s="100">
        <v>-58.5</v>
      </c>
      <c r="Q61" s="100">
        <v>-56.25</v>
      </c>
      <c r="R61" s="100">
        <v>-21.625</v>
      </c>
      <c r="S61" s="100">
        <v>45.75</v>
      </c>
      <c r="T61" s="100">
        <v>9.125</v>
      </c>
      <c r="U61" s="100">
        <v>97.875</v>
      </c>
      <c r="V61" s="100">
        <v>158.25</v>
      </c>
      <c r="W61" s="100">
        <v>-93.875</v>
      </c>
      <c r="X61" s="100">
        <v>-81.75</v>
      </c>
      <c r="Y61" s="100">
        <v>-64.125</v>
      </c>
      <c r="Z61" s="100">
        <v>6.5</v>
      </c>
      <c r="AA61" s="100">
        <v>9.125</v>
      </c>
      <c r="AB61" s="100">
        <v>92.25</v>
      </c>
      <c r="AC61" s="100">
        <v>150.875</v>
      </c>
      <c r="AD61" s="100">
        <v>-93.5</v>
      </c>
      <c r="AE61" s="100">
        <v>-90.625</v>
      </c>
      <c r="AF61" s="100">
        <v>-63.625</v>
      </c>
      <c r="AG61" s="100">
        <v>0.125</v>
      </c>
      <c r="AH61" s="100">
        <v>-11.125</v>
      </c>
      <c r="AI61" s="100">
        <v>80.25</v>
      </c>
      <c r="AJ61" s="100">
        <v>148.125</v>
      </c>
    </row>
    <row r="62" spans="1:36" ht="12.75">
      <c r="A62" t="s">
        <v>168</v>
      </c>
      <c r="B62" s="100">
        <v>-75.6875</v>
      </c>
      <c r="C62" s="100">
        <v>-70.1875</v>
      </c>
      <c r="D62" s="100">
        <v>-36.9375</v>
      </c>
      <c r="E62" s="100">
        <v>26.4375</v>
      </c>
      <c r="F62" s="100">
        <v>2.1875</v>
      </c>
      <c r="G62" s="100">
        <v>111.1875</v>
      </c>
      <c r="H62" s="100">
        <v>165.4375</v>
      </c>
      <c r="I62" s="100">
        <v>-92.75</v>
      </c>
      <c r="J62" s="100">
        <v>-64.5625</v>
      </c>
      <c r="K62" s="100">
        <v>-24.4375</v>
      </c>
      <c r="L62" s="100">
        <v>47.0625</v>
      </c>
      <c r="M62" s="100">
        <v>22.3125</v>
      </c>
      <c r="N62" s="100">
        <v>130.5625</v>
      </c>
      <c r="O62" s="100">
        <v>188.6875</v>
      </c>
      <c r="P62" s="100">
        <v>-65.9375</v>
      </c>
      <c r="Q62" s="100">
        <v>-57.0625</v>
      </c>
      <c r="R62" s="100">
        <v>-13.8125</v>
      </c>
      <c r="S62" s="100">
        <v>50.8125</v>
      </c>
      <c r="T62" s="100">
        <v>35.5625</v>
      </c>
      <c r="U62" s="100">
        <v>125.4375</v>
      </c>
      <c r="V62" s="100">
        <v>193.3125</v>
      </c>
      <c r="W62" s="100">
        <v>-95.0625</v>
      </c>
      <c r="X62" s="100">
        <v>-78.5625</v>
      </c>
      <c r="Y62" s="100">
        <v>-42.8125</v>
      </c>
      <c r="Z62" s="100">
        <v>22.4375</v>
      </c>
      <c r="AA62" s="100">
        <v>15.3125</v>
      </c>
      <c r="AB62" s="100">
        <v>116.0625</v>
      </c>
      <c r="AC62" s="100">
        <v>180.3125</v>
      </c>
      <c r="AD62" s="100">
        <v>-100.6875</v>
      </c>
      <c r="AE62" s="100">
        <v>-95.5625</v>
      </c>
      <c r="AF62" s="100">
        <v>-46.8125</v>
      </c>
      <c r="AG62" s="100">
        <v>14.8125</v>
      </c>
      <c r="AH62" s="100">
        <v>4.0625</v>
      </c>
      <c r="AI62" s="100">
        <v>109.9375</v>
      </c>
      <c r="AJ62" s="100">
        <v>167.6875</v>
      </c>
    </row>
    <row r="63" spans="1:36" ht="12.75">
      <c r="A63" t="s">
        <v>169</v>
      </c>
      <c r="B63" s="100">
        <v>-77.875</v>
      </c>
      <c r="C63" s="100">
        <v>-68.875</v>
      </c>
      <c r="D63" s="100">
        <v>-29.125</v>
      </c>
      <c r="E63" s="100">
        <v>33.125</v>
      </c>
      <c r="F63" s="100">
        <v>19.4375</v>
      </c>
      <c r="G63" s="100">
        <v>133.6875</v>
      </c>
      <c r="H63" s="100">
        <v>189.9375</v>
      </c>
      <c r="I63" s="100">
        <v>-114.125</v>
      </c>
      <c r="J63" s="100">
        <v>-62</v>
      </c>
      <c r="K63" s="100">
        <v>-11.5</v>
      </c>
      <c r="L63" s="100">
        <v>63.375</v>
      </c>
      <c r="M63" s="100">
        <v>51.3125</v>
      </c>
      <c r="N63" s="100">
        <v>158.5625</v>
      </c>
      <c r="O63" s="100">
        <v>225.3125</v>
      </c>
      <c r="P63" s="100">
        <v>-71.125</v>
      </c>
      <c r="Q63" s="100">
        <v>-54.25</v>
      </c>
      <c r="R63" s="100">
        <v>-0.25</v>
      </c>
      <c r="S63" s="100">
        <v>67.125</v>
      </c>
      <c r="T63" s="100">
        <v>36.0625</v>
      </c>
      <c r="U63" s="100">
        <v>155.9375</v>
      </c>
      <c r="V63" s="100">
        <v>227.6875</v>
      </c>
      <c r="W63" s="100">
        <v>-90.25</v>
      </c>
      <c r="X63" s="100">
        <v>-86.125</v>
      </c>
      <c r="Y63" s="100">
        <v>-24.875</v>
      </c>
      <c r="Z63" s="100">
        <v>43.125</v>
      </c>
      <c r="AA63" s="100">
        <v>28.3125</v>
      </c>
      <c r="AB63" s="100">
        <v>146.0625</v>
      </c>
      <c r="AC63" s="100">
        <v>215.0625</v>
      </c>
      <c r="AD63" s="100">
        <v>-105.5</v>
      </c>
      <c r="AE63" s="100">
        <v>-100.875</v>
      </c>
      <c r="AF63" s="100">
        <v>-33.625</v>
      </c>
      <c r="AG63" s="100">
        <v>33.875</v>
      </c>
      <c r="AH63" s="100">
        <v>23.6875</v>
      </c>
      <c r="AI63" s="100">
        <v>143.8125</v>
      </c>
      <c r="AJ63" s="100">
        <v>209.0625</v>
      </c>
    </row>
    <row r="64" spans="1:36" ht="12.75">
      <c r="A64" t="s">
        <v>170</v>
      </c>
      <c r="B64" s="100">
        <v>-69.1</v>
      </c>
      <c r="C64" s="100">
        <v>-64.1</v>
      </c>
      <c r="D64" s="100">
        <v>-28.2</v>
      </c>
      <c r="E64" s="100">
        <v>36.3</v>
      </c>
      <c r="F64" s="100">
        <v>37.45</v>
      </c>
      <c r="G64" s="100">
        <v>153.35</v>
      </c>
      <c r="H64" s="100">
        <v>216.05</v>
      </c>
      <c r="I64" s="100">
        <v>-111.65</v>
      </c>
      <c r="J64" s="100">
        <v>-50.4</v>
      </c>
      <c r="K64" s="100">
        <v>-13.1</v>
      </c>
      <c r="L64" s="100">
        <v>48.9</v>
      </c>
      <c r="M64" s="100">
        <v>53.35</v>
      </c>
      <c r="N64" s="100">
        <v>170.55</v>
      </c>
      <c r="O64" s="100">
        <v>232.85</v>
      </c>
      <c r="P64" s="100">
        <v>-53.3</v>
      </c>
      <c r="Q64" s="100">
        <v>-44.6</v>
      </c>
      <c r="R64" s="100">
        <v>-4.9</v>
      </c>
      <c r="S64" s="100">
        <v>63.6</v>
      </c>
      <c r="T64" s="100">
        <v>47.05</v>
      </c>
      <c r="U64" s="100">
        <v>174.35</v>
      </c>
      <c r="V64" s="100">
        <v>252.35</v>
      </c>
      <c r="W64" s="100">
        <v>-80.7</v>
      </c>
      <c r="X64" s="100">
        <v>-72.3</v>
      </c>
      <c r="Y64" s="100">
        <v>-27.1</v>
      </c>
      <c r="Z64" s="100">
        <v>37.1</v>
      </c>
      <c r="AA64" s="100">
        <v>30.05</v>
      </c>
      <c r="AB64" s="100">
        <v>152.85</v>
      </c>
      <c r="AC64" s="100">
        <v>225.95</v>
      </c>
      <c r="AD64" s="100">
        <v>-86.6</v>
      </c>
      <c r="AE64" s="100">
        <v>-77.6</v>
      </c>
      <c r="AF64" s="100">
        <v>-32.5</v>
      </c>
      <c r="AG64" s="100">
        <v>26.5</v>
      </c>
      <c r="AH64" s="100">
        <v>30.95</v>
      </c>
      <c r="AI64" s="100">
        <v>152.65</v>
      </c>
      <c r="AJ64" s="100">
        <v>218.55</v>
      </c>
    </row>
    <row r="65" spans="1:36" ht="12.75">
      <c r="A65" t="s">
        <v>157</v>
      </c>
      <c r="B65" s="100">
        <v>-56</v>
      </c>
      <c r="C65" s="100">
        <v>-52.5</v>
      </c>
      <c r="D65" s="100">
        <v>-21.25</v>
      </c>
      <c r="E65" s="100">
        <v>40</v>
      </c>
      <c r="F65" s="100">
        <v>47.9375</v>
      </c>
      <c r="G65" s="100">
        <v>159.9375</v>
      </c>
      <c r="H65" s="100">
        <v>230.0625</v>
      </c>
      <c r="I65" s="100">
        <v>-101.125</v>
      </c>
      <c r="J65" s="100">
        <v>-40.125</v>
      </c>
      <c r="K65" s="100">
        <v>-6.5</v>
      </c>
      <c r="L65" s="100">
        <v>51.5</v>
      </c>
      <c r="M65" s="100">
        <v>75.1875</v>
      </c>
      <c r="N65" s="100">
        <v>175.3125</v>
      </c>
      <c r="O65" s="100">
        <v>246.5625</v>
      </c>
      <c r="P65" s="100">
        <v>-41.375</v>
      </c>
      <c r="Q65" s="100">
        <v>-35.375</v>
      </c>
      <c r="R65" s="100">
        <v>1.25</v>
      </c>
      <c r="S65" s="100">
        <v>62.375</v>
      </c>
      <c r="T65" s="100">
        <v>63.1875</v>
      </c>
      <c r="U65" s="100">
        <v>165.1875</v>
      </c>
      <c r="V65" s="100">
        <v>249.4375</v>
      </c>
      <c r="W65" s="100">
        <v>-74.125</v>
      </c>
      <c r="X65" s="100">
        <v>-67.125</v>
      </c>
      <c r="Y65" s="100">
        <v>-26.5</v>
      </c>
      <c r="Z65" s="100">
        <v>38.125</v>
      </c>
      <c r="AA65" s="100">
        <v>44.3125</v>
      </c>
      <c r="AB65" s="100">
        <v>148.4375</v>
      </c>
      <c r="AC65" s="100">
        <v>226.8125</v>
      </c>
      <c r="AD65" s="100">
        <v>-92.875</v>
      </c>
      <c r="AE65" s="100">
        <v>-86.375</v>
      </c>
      <c r="AF65" s="100">
        <v>-40.625</v>
      </c>
      <c r="AG65" s="100">
        <v>12</v>
      </c>
      <c r="AH65" s="100">
        <v>44.6875</v>
      </c>
      <c r="AI65" s="100">
        <v>151.0625</v>
      </c>
      <c r="AJ65" s="100">
        <v>214.5625</v>
      </c>
    </row>
    <row r="66" spans="1:36" ht="12.75">
      <c r="A66" t="s">
        <v>171</v>
      </c>
      <c r="B66" s="100">
        <v>-67.5</v>
      </c>
      <c r="C66" s="100">
        <v>-64.75</v>
      </c>
      <c r="D66" s="100">
        <v>-43.625</v>
      </c>
      <c r="E66" s="100">
        <v>-18.125</v>
      </c>
      <c r="F66" s="100">
        <v>-22.6875</v>
      </c>
      <c r="G66" s="100">
        <v>61.0625</v>
      </c>
      <c r="H66" s="100">
        <v>115.6875</v>
      </c>
      <c r="I66" s="100">
        <v>-103</v>
      </c>
      <c r="J66" s="100">
        <v>-54.5</v>
      </c>
      <c r="K66" s="100">
        <v>-39.125</v>
      </c>
      <c r="L66" s="100">
        <v>-7.5</v>
      </c>
      <c r="M66" s="100">
        <v>-12.6875</v>
      </c>
      <c r="N66" s="100">
        <v>58.1875</v>
      </c>
      <c r="O66" s="100">
        <v>107.6875</v>
      </c>
      <c r="P66" s="100">
        <v>-53.25</v>
      </c>
      <c r="Q66" s="100">
        <v>-48.625</v>
      </c>
      <c r="R66" s="100">
        <v>-21.375</v>
      </c>
      <c r="S66" s="100">
        <v>2.125</v>
      </c>
      <c r="T66" s="100">
        <v>3.6875</v>
      </c>
      <c r="U66" s="100">
        <v>60.0625</v>
      </c>
      <c r="V66" s="100">
        <v>107.9375</v>
      </c>
      <c r="W66" s="100">
        <v>-79.625</v>
      </c>
      <c r="X66" s="100">
        <v>-66.75</v>
      </c>
      <c r="Y66" s="100">
        <v>-51.5</v>
      </c>
      <c r="Z66" s="100">
        <v>-24.375</v>
      </c>
      <c r="AA66" s="100">
        <v>-12.5625</v>
      </c>
      <c r="AB66" s="100">
        <v>37.9375</v>
      </c>
      <c r="AC66" s="100">
        <v>92.0625</v>
      </c>
      <c r="AD66" s="100">
        <v>-106.875</v>
      </c>
      <c r="AE66" s="100">
        <v>-101.625</v>
      </c>
      <c r="AF66" s="100">
        <v>-78.25</v>
      </c>
      <c r="AG66" s="100">
        <v>-51.625</v>
      </c>
      <c r="AH66" s="100">
        <v>-14.3125</v>
      </c>
      <c r="AI66" s="100">
        <v>43.1875</v>
      </c>
      <c r="AJ66" s="100">
        <v>80.3125</v>
      </c>
    </row>
    <row r="67" spans="1:36" ht="12.75">
      <c r="A67" t="s">
        <v>172</v>
      </c>
      <c r="B67" s="100">
        <v>-69.65</v>
      </c>
      <c r="C67" s="100">
        <v>-66.95</v>
      </c>
      <c r="D67" s="100">
        <v>-50.85</v>
      </c>
      <c r="E67" s="100">
        <v>-37.25</v>
      </c>
      <c r="F67" s="100">
        <v>-39.35</v>
      </c>
      <c r="G67" s="100">
        <v>26.55</v>
      </c>
      <c r="H67" s="100">
        <v>59.75</v>
      </c>
      <c r="I67" s="100">
        <v>-112.45</v>
      </c>
      <c r="J67" s="100">
        <v>-59.55</v>
      </c>
      <c r="K67" s="100">
        <v>-43.65</v>
      </c>
      <c r="L67" s="100">
        <v>-33.15</v>
      </c>
      <c r="M67" s="100">
        <v>-27.65</v>
      </c>
      <c r="N67" s="100">
        <v>22.75</v>
      </c>
      <c r="O67" s="100">
        <v>52.35</v>
      </c>
      <c r="P67" s="100">
        <v>-57.65</v>
      </c>
      <c r="Q67" s="100">
        <v>-52.45</v>
      </c>
      <c r="R67" s="100">
        <v>-36.75</v>
      </c>
      <c r="S67" s="100">
        <v>-25.95</v>
      </c>
      <c r="T67" s="100">
        <v>-17.35</v>
      </c>
      <c r="U67" s="100">
        <v>28.35</v>
      </c>
      <c r="V67" s="100">
        <v>55.15</v>
      </c>
      <c r="W67" s="100">
        <v>-86.75</v>
      </c>
      <c r="X67" s="100">
        <v>-75.35</v>
      </c>
      <c r="Y67" s="100">
        <v>-65.05</v>
      </c>
      <c r="Z67" s="100">
        <v>-52.35</v>
      </c>
      <c r="AA67" s="100">
        <v>-38.55</v>
      </c>
      <c r="AB67" s="100">
        <v>2.95</v>
      </c>
      <c r="AC67" s="100">
        <v>27.95</v>
      </c>
      <c r="AD67" s="100">
        <v>-104.05</v>
      </c>
      <c r="AE67" s="100">
        <v>-101.35</v>
      </c>
      <c r="AF67" s="100">
        <v>-81.75</v>
      </c>
      <c r="AG67" s="100">
        <v>-70.05</v>
      </c>
      <c r="AH67" s="100">
        <v>-38.45</v>
      </c>
      <c r="AI67" s="100">
        <v>3.35</v>
      </c>
      <c r="AJ67" s="100">
        <v>20.15</v>
      </c>
    </row>
    <row r="68" spans="1:36" ht="12.75">
      <c r="A68" t="s">
        <v>173</v>
      </c>
      <c r="B68" s="100">
        <v>-75.5625</v>
      </c>
      <c r="C68" s="100">
        <v>-72.9375</v>
      </c>
      <c r="D68" s="100">
        <v>-61.5625</v>
      </c>
      <c r="E68" s="100">
        <v>-53.8125</v>
      </c>
      <c r="F68" s="100">
        <v>-58.125</v>
      </c>
      <c r="G68" s="100">
        <v>-12.875</v>
      </c>
      <c r="H68" s="100">
        <v>7.875</v>
      </c>
      <c r="I68" s="100">
        <v>-88.625</v>
      </c>
      <c r="J68" s="100">
        <v>-63.6875</v>
      </c>
      <c r="K68" s="100">
        <v>-56.3125</v>
      </c>
      <c r="L68" s="100">
        <v>-47.5625</v>
      </c>
      <c r="M68" s="100">
        <v>-46.5</v>
      </c>
      <c r="N68" s="100">
        <v>-1.125</v>
      </c>
      <c r="O68" s="100">
        <v>18.625</v>
      </c>
      <c r="P68" s="100">
        <v>-62.6875</v>
      </c>
      <c r="Q68" s="100">
        <v>-56.8125</v>
      </c>
      <c r="R68" s="100">
        <v>-48.4375</v>
      </c>
      <c r="S68" s="100">
        <v>-36.6875</v>
      </c>
      <c r="T68" s="100">
        <v>-39.75</v>
      </c>
      <c r="U68" s="100">
        <v>-1.25</v>
      </c>
      <c r="V68" s="100">
        <v>21</v>
      </c>
      <c r="W68" s="100">
        <v>-89.1875</v>
      </c>
      <c r="X68" s="100">
        <v>-84.3125</v>
      </c>
      <c r="Y68" s="100">
        <v>-77.0625</v>
      </c>
      <c r="Z68" s="100">
        <v>-66.4375</v>
      </c>
      <c r="AA68" s="100">
        <v>-66.625</v>
      </c>
      <c r="AB68" s="100">
        <v>-25.625</v>
      </c>
      <c r="AC68" s="100">
        <v>-5</v>
      </c>
      <c r="AD68" s="100">
        <v>-94.53365384615384</v>
      </c>
      <c r="AE68" s="100">
        <v>-89.48557692307692</v>
      </c>
      <c r="AF68" s="100">
        <v>-62.90865384615385</v>
      </c>
      <c r="AG68" s="100">
        <v>-30.35096153846154</v>
      </c>
      <c r="AH68" s="100">
        <v>-23.71153846153846</v>
      </c>
      <c r="AI68" s="100">
        <v>46.23076923076923</v>
      </c>
      <c r="AJ68" s="100">
        <v>88.58653846153847</v>
      </c>
    </row>
    <row r="69" spans="1:36" ht="12.75">
      <c r="A69" t="s">
        <v>143</v>
      </c>
      <c r="B69" s="100">
        <v>-79.05</v>
      </c>
      <c r="C69" s="100">
        <v>-76.05</v>
      </c>
      <c r="D69" s="100">
        <v>-63.95</v>
      </c>
      <c r="E69" s="100">
        <v>-53.15</v>
      </c>
      <c r="F69" s="100">
        <v>-53.55</v>
      </c>
      <c r="G69" s="100">
        <v>-11.95</v>
      </c>
      <c r="H69" s="100">
        <v>9.95</v>
      </c>
      <c r="I69" s="100">
        <v>-56.35</v>
      </c>
      <c r="J69" s="100">
        <v>-64.65</v>
      </c>
      <c r="K69" s="100">
        <v>-57.85</v>
      </c>
      <c r="L69" s="100">
        <v>-45.75</v>
      </c>
      <c r="M69" s="100">
        <v>-53.75</v>
      </c>
      <c r="N69" s="100">
        <v>-4.65</v>
      </c>
      <c r="O69" s="100">
        <v>20.25</v>
      </c>
      <c r="P69" s="100">
        <v>-66.05</v>
      </c>
      <c r="Q69" s="100">
        <v>-61.35</v>
      </c>
      <c r="R69" s="100">
        <v>-49.75</v>
      </c>
      <c r="S69" s="100">
        <v>-35.85</v>
      </c>
      <c r="T69" s="100">
        <v>-42.45</v>
      </c>
      <c r="U69" s="100">
        <v>0.85</v>
      </c>
      <c r="V69" s="100">
        <v>31.35</v>
      </c>
      <c r="W69" s="100">
        <v>-91.15</v>
      </c>
      <c r="X69" s="100">
        <v>-83.45</v>
      </c>
      <c r="Y69" s="100">
        <v>-77.35</v>
      </c>
      <c r="Z69" s="100">
        <v>-65.95</v>
      </c>
      <c r="AA69" s="100">
        <v>-67.55</v>
      </c>
      <c r="AB69" s="100">
        <v>-26.75</v>
      </c>
      <c r="AC69" s="100">
        <v>1.15</v>
      </c>
      <c r="AD69" s="100">
        <v>-94.53365384615384</v>
      </c>
      <c r="AE69" s="100">
        <v>-89.48557692307692</v>
      </c>
      <c r="AF69" s="100">
        <v>-62.90865384615385</v>
      </c>
      <c r="AG69" s="100">
        <v>-30.35096153846154</v>
      </c>
      <c r="AH69" s="100">
        <v>-23.71153846153846</v>
      </c>
      <c r="AI69" s="100">
        <v>46.23076923076923</v>
      </c>
      <c r="AJ69" s="100">
        <v>88.58653846153847</v>
      </c>
    </row>
    <row r="70" spans="1:36" ht="12.75">
      <c r="A70" t="s">
        <v>174</v>
      </c>
      <c r="B70" s="100">
        <v>-71.3125</v>
      </c>
      <c r="C70" s="100">
        <v>-67.3125</v>
      </c>
      <c r="D70" s="100">
        <v>-50.0625</v>
      </c>
      <c r="E70" s="100">
        <v>-38.3125</v>
      </c>
      <c r="F70" s="100">
        <v>-50.375</v>
      </c>
      <c r="G70" s="100">
        <v>-11.25</v>
      </c>
      <c r="H70" s="100">
        <v>9.75</v>
      </c>
      <c r="I70" s="100">
        <v>-34.625</v>
      </c>
      <c r="J70" s="100">
        <v>-53.3125</v>
      </c>
      <c r="K70" s="100">
        <v>-42.9375</v>
      </c>
      <c r="L70" s="100">
        <v>-28.5625</v>
      </c>
      <c r="M70" s="100">
        <v>-37.625</v>
      </c>
      <c r="N70" s="100">
        <v>0</v>
      </c>
      <c r="O70" s="100">
        <v>34.25</v>
      </c>
      <c r="P70" s="100">
        <v>-57.3125</v>
      </c>
      <c r="Q70" s="100">
        <v>-52.5625</v>
      </c>
      <c r="R70" s="100">
        <v>-35.5625</v>
      </c>
      <c r="S70" s="100">
        <v>-25.1875</v>
      </c>
      <c r="T70" s="100">
        <v>-35</v>
      </c>
      <c r="U70" s="100">
        <v>3.5</v>
      </c>
      <c r="V70" s="100">
        <v>44</v>
      </c>
      <c r="W70" s="100">
        <v>-82.9375</v>
      </c>
      <c r="X70" s="100">
        <v>-73.3125</v>
      </c>
      <c r="Y70" s="100">
        <v>-61.6875</v>
      </c>
      <c r="Z70" s="100">
        <v>-53.0625</v>
      </c>
      <c r="AA70" s="100">
        <v>-56.375</v>
      </c>
      <c r="AB70" s="100">
        <v>-20.875</v>
      </c>
      <c r="AC70" s="100">
        <v>17.5</v>
      </c>
      <c r="AD70" s="100">
        <v>-94.53365384615384</v>
      </c>
      <c r="AE70" s="100">
        <v>-89.48557692307692</v>
      </c>
      <c r="AF70" s="100">
        <v>-62.90865384615385</v>
      </c>
      <c r="AG70" s="100">
        <v>-30.35096153846154</v>
      </c>
      <c r="AH70" s="100">
        <v>-23.71153846153846</v>
      </c>
      <c r="AI70" s="100">
        <v>46.23076923076923</v>
      </c>
      <c r="AJ70" s="100">
        <v>88.58653846153847</v>
      </c>
    </row>
    <row r="71" spans="1:36" ht="12.75">
      <c r="A71" t="s">
        <v>175</v>
      </c>
      <c r="B71" s="100">
        <v>-53.75</v>
      </c>
      <c r="C71" s="100">
        <v>-50.375</v>
      </c>
      <c r="D71" s="100">
        <v>-37.375</v>
      </c>
      <c r="E71" s="100">
        <v>-23.625</v>
      </c>
      <c r="F71" s="100">
        <v>-23.8125</v>
      </c>
      <c r="G71" s="100">
        <v>13.1875</v>
      </c>
      <c r="H71" s="100">
        <v>35.9375</v>
      </c>
      <c r="I71" s="100">
        <v>-37.25</v>
      </c>
      <c r="J71" s="100">
        <v>-41.125</v>
      </c>
      <c r="K71" s="100">
        <v>-29.5</v>
      </c>
      <c r="L71" s="100">
        <v>-16.5</v>
      </c>
      <c r="M71" s="100">
        <v>-17.3125</v>
      </c>
      <c r="N71" s="100">
        <v>25.9375</v>
      </c>
      <c r="O71" s="100">
        <v>59.1875</v>
      </c>
      <c r="P71" s="100">
        <v>-41</v>
      </c>
      <c r="Q71" s="100">
        <v>-37</v>
      </c>
      <c r="R71" s="100">
        <v>-24.625</v>
      </c>
      <c r="S71" s="100">
        <v>-13</v>
      </c>
      <c r="T71" s="100">
        <v>-10.8125</v>
      </c>
      <c r="U71" s="100">
        <v>31.1875</v>
      </c>
      <c r="V71" s="100">
        <v>67.0625</v>
      </c>
      <c r="W71" s="100">
        <v>-66.25</v>
      </c>
      <c r="X71" s="100">
        <v>-62.375</v>
      </c>
      <c r="Y71" s="100">
        <v>-51.875</v>
      </c>
      <c r="Z71" s="100">
        <v>-38.875</v>
      </c>
      <c r="AA71" s="100">
        <v>-36.4375</v>
      </c>
      <c r="AB71" s="100">
        <v>6.5625</v>
      </c>
      <c r="AC71" s="100">
        <v>41.3125</v>
      </c>
      <c r="AD71" s="100">
        <v>-94.53365384615384</v>
      </c>
      <c r="AE71" s="100">
        <v>-89.48557692307692</v>
      </c>
      <c r="AF71" s="100">
        <v>-62.90865384615385</v>
      </c>
      <c r="AG71" s="100">
        <v>-30.35096153846154</v>
      </c>
      <c r="AH71" s="100">
        <v>-23.71153846153846</v>
      </c>
      <c r="AI71" s="100">
        <v>46.23076923076923</v>
      </c>
      <c r="AJ71" s="100">
        <v>88.58653846153847</v>
      </c>
    </row>
    <row r="72" spans="1:36" ht="12.75">
      <c r="A72" t="s">
        <v>176</v>
      </c>
      <c r="B72" s="100">
        <v>-58.7</v>
      </c>
      <c r="C72" s="100">
        <v>-57.5</v>
      </c>
      <c r="D72" s="100">
        <v>-49.9</v>
      </c>
      <c r="E72" s="100">
        <v>-40.2</v>
      </c>
      <c r="F72" s="100">
        <v>-35.7</v>
      </c>
      <c r="G72" s="100">
        <v>6</v>
      </c>
      <c r="H72" s="100">
        <v>29.8</v>
      </c>
      <c r="I72" s="100">
        <v>-31.75</v>
      </c>
      <c r="J72" s="100">
        <v>-44.3</v>
      </c>
      <c r="K72" s="100">
        <v>-38.9</v>
      </c>
      <c r="L72" s="100">
        <v>-29.7</v>
      </c>
      <c r="M72" s="100">
        <v>-25.9</v>
      </c>
      <c r="N72" s="100">
        <v>18.2</v>
      </c>
      <c r="O72" s="100">
        <v>46.1</v>
      </c>
      <c r="P72" s="100">
        <v>-48.1</v>
      </c>
      <c r="Q72" s="100">
        <v>-44.9</v>
      </c>
      <c r="R72" s="100">
        <v>-37.9</v>
      </c>
      <c r="S72" s="100">
        <v>-29.2</v>
      </c>
      <c r="T72" s="100">
        <v>-23.3</v>
      </c>
      <c r="U72" s="100">
        <v>17.5</v>
      </c>
      <c r="V72" s="100">
        <v>50</v>
      </c>
      <c r="W72" s="100">
        <v>-74.9</v>
      </c>
      <c r="X72" s="100">
        <v>-71.4</v>
      </c>
      <c r="Y72" s="100">
        <v>-65.3</v>
      </c>
      <c r="Z72" s="100">
        <v>-56.7</v>
      </c>
      <c r="AA72" s="100">
        <v>-47.3</v>
      </c>
      <c r="AB72" s="100">
        <v>-7.3</v>
      </c>
      <c r="AC72" s="100">
        <v>29</v>
      </c>
      <c r="AD72" s="100">
        <v>-83.4</v>
      </c>
      <c r="AE72" s="100">
        <v>-81.7</v>
      </c>
      <c r="AF72" s="100">
        <v>-73.4</v>
      </c>
      <c r="AG72" s="100">
        <v>-64.3</v>
      </c>
      <c r="AH72" s="100">
        <v>-58.4</v>
      </c>
      <c r="AI72" s="100">
        <v>-14.3</v>
      </c>
      <c r="AJ72" s="100">
        <v>16.6</v>
      </c>
    </row>
    <row r="75" ht="13.5" thickBot="1"/>
    <row r="76" spans="1:36" ht="13.5" thickBot="1">
      <c r="A76" s="7" t="s">
        <v>4</v>
      </c>
      <c r="B76" s="243" t="s">
        <v>195</v>
      </c>
      <c r="C76" s="243"/>
      <c r="D76" s="243"/>
      <c r="E76" s="243"/>
      <c r="F76" s="243" t="s">
        <v>196</v>
      </c>
      <c r="G76" s="243"/>
      <c r="H76" s="243"/>
      <c r="I76" s="243" t="s">
        <v>195</v>
      </c>
      <c r="J76" s="243"/>
      <c r="K76" s="243"/>
      <c r="L76" s="243"/>
      <c r="M76" s="243" t="s">
        <v>196</v>
      </c>
      <c r="N76" s="243"/>
      <c r="O76" s="243"/>
      <c r="P76" s="243" t="s">
        <v>195</v>
      </c>
      <c r="Q76" s="243"/>
      <c r="R76" s="243"/>
      <c r="S76" s="243"/>
      <c r="T76" s="243" t="s">
        <v>196</v>
      </c>
      <c r="U76" s="243"/>
      <c r="V76" s="243"/>
      <c r="W76" s="243" t="s">
        <v>195</v>
      </c>
      <c r="X76" s="243"/>
      <c r="Y76" s="243"/>
      <c r="Z76" s="243"/>
      <c r="AA76" s="243" t="s">
        <v>196</v>
      </c>
      <c r="AB76" s="243"/>
      <c r="AC76" s="243"/>
      <c r="AD76" s="243" t="s">
        <v>195</v>
      </c>
      <c r="AE76" s="243"/>
      <c r="AF76" s="243"/>
      <c r="AG76" s="243"/>
      <c r="AH76" s="243" t="s">
        <v>196</v>
      </c>
      <c r="AI76" s="243"/>
      <c r="AJ76" s="243"/>
    </row>
    <row r="77" spans="1:36" ht="12.75">
      <c r="A77" s="7" t="s">
        <v>197</v>
      </c>
      <c r="B77" s="244" t="s">
        <v>198</v>
      </c>
      <c r="C77" s="244"/>
      <c r="D77" s="244"/>
      <c r="E77" s="244"/>
      <c r="F77" s="244"/>
      <c r="G77" s="244"/>
      <c r="H77" s="244"/>
      <c r="I77" s="245" t="s">
        <v>199</v>
      </c>
      <c r="J77" s="245"/>
      <c r="K77" s="245"/>
      <c r="L77" s="245"/>
      <c r="M77" s="245"/>
      <c r="N77" s="245"/>
      <c r="O77" s="245"/>
      <c r="P77" s="246" t="s">
        <v>200</v>
      </c>
      <c r="Q77" s="246"/>
      <c r="R77" s="246"/>
      <c r="S77" s="246"/>
      <c r="T77" s="246"/>
      <c r="U77" s="246"/>
      <c r="V77" s="246"/>
      <c r="W77" s="247" t="s">
        <v>201</v>
      </c>
      <c r="X77" s="247"/>
      <c r="Y77" s="247"/>
      <c r="Z77" s="247"/>
      <c r="AA77" s="247"/>
      <c r="AB77" s="247"/>
      <c r="AC77" s="247"/>
      <c r="AD77" s="242" t="s">
        <v>218</v>
      </c>
      <c r="AE77" s="242"/>
      <c r="AF77" s="242"/>
      <c r="AG77" s="242"/>
      <c r="AH77" s="242"/>
      <c r="AI77" s="242"/>
      <c r="AJ77" s="242"/>
    </row>
    <row r="78" spans="1:36" ht="12.75">
      <c r="A78" s="7">
        <v>1993</v>
      </c>
      <c r="B78" t="s">
        <v>202</v>
      </c>
      <c r="C78" t="s">
        <v>203</v>
      </c>
      <c r="D78" t="s">
        <v>204</v>
      </c>
      <c r="E78" t="s">
        <v>205</v>
      </c>
      <c r="F78" t="s">
        <v>206</v>
      </c>
      <c r="G78" t="s">
        <v>207</v>
      </c>
      <c r="H78" t="s">
        <v>208</v>
      </c>
      <c r="I78" t="s">
        <v>202</v>
      </c>
      <c r="J78" t="s">
        <v>203</v>
      </c>
      <c r="K78" t="s">
        <v>204</v>
      </c>
      <c r="L78" t="s">
        <v>205</v>
      </c>
      <c r="M78" t="s">
        <v>206</v>
      </c>
      <c r="N78" t="s">
        <v>207</v>
      </c>
      <c r="O78" t="s">
        <v>208</v>
      </c>
      <c r="P78" t="s">
        <v>202</v>
      </c>
      <c r="Q78" t="s">
        <v>203</v>
      </c>
      <c r="R78" t="s">
        <v>204</v>
      </c>
      <c r="S78" t="s">
        <v>205</v>
      </c>
      <c r="T78" t="s">
        <v>206</v>
      </c>
      <c r="U78" t="s">
        <v>207</v>
      </c>
      <c r="V78" t="s">
        <v>208</v>
      </c>
      <c r="W78" t="s">
        <v>202</v>
      </c>
      <c r="X78" t="s">
        <v>203</v>
      </c>
      <c r="Y78" t="s">
        <v>204</v>
      </c>
      <c r="Z78" t="s">
        <v>205</v>
      </c>
      <c r="AA78" t="s">
        <v>206</v>
      </c>
      <c r="AB78" t="s">
        <v>207</v>
      </c>
      <c r="AC78" t="s">
        <v>208</v>
      </c>
      <c r="AD78" t="s">
        <v>202</v>
      </c>
      <c r="AE78" t="s">
        <v>203</v>
      </c>
      <c r="AF78" t="s">
        <v>204</v>
      </c>
      <c r="AG78" t="s">
        <v>205</v>
      </c>
      <c r="AH78" t="s">
        <v>206</v>
      </c>
      <c r="AI78" t="s">
        <v>207</v>
      </c>
      <c r="AJ78" t="s">
        <v>208</v>
      </c>
    </row>
    <row r="79" spans="1:36" ht="12.75">
      <c r="A79" t="s">
        <v>167</v>
      </c>
      <c r="B79" s="100">
        <v>-25.5625</v>
      </c>
      <c r="C79" s="100">
        <v>-20.5625</v>
      </c>
      <c r="D79" s="100">
        <v>-20.5625</v>
      </c>
      <c r="E79" s="100">
        <v>-13.9375</v>
      </c>
      <c r="F79" s="100">
        <v>-23.0625</v>
      </c>
      <c r="G79" s="100">
        <v>20.3125</v>
      </c>
      <c r="H79" s="100">
        <v>50.1875</v>
      </c>
      <c r="I79" s="100">
        <v>-12.625</v>
      </c>
      <c r="J79" s="100">
        <v>-15.4375</v>
      </c>
      <c r="K79" s="100">
        <v>-15.1875</v>
      </c>
      <c r="L79" s="100">
        <v>-6.1875</v>
      </c>
      <c r="M79" s="100">
        <v>-14.3125</v>
      </c>
      <c r="N79" s="100">
        <v>28.1875</v>
      </c>
      <c r="O79" s="100">
        <v>60.3125</v>
      </c>
      <c r="P79" s="100">
        <v>-11.3125</v>
      </c>
      <c r="Q79" s="100">
        <v>-7.8125</v>
      </c>
      <c r="R79" s="100">
        <v>-7.4375</v>
      </c>
      <c r="S79" s="100">
        <v>-1.4375</v>
      </c>
      <c r="T79" s="100">
        <v>-5.3125</v>
      </c>
      <c r="U79" s="100">
        <v>34.5625</v>
      </c>
      <c r="V79" s="100">
        <v>63.0625</v>
      </c>
      <c r="W79" s="100">
        <v>-38.4375</v>
      </c>
      <c r="X79" s="100">
        <v>-37.1875</v>
      </c>
      <c r="Y79" s="100">
        <v>-36.4375</v>
      </c>
      <c r="Z79" s="100">
        <v>-28.3125</v>
      </c>
      <c r="AA79" s="100">
        <v>-37.1875</v>
      </c>
      <c r="AB79" s="100">
        <v>6.5625</v>
      </c>
      <c r="AC79" s="100">
        <v>39.6875</v>
      </c>
      <c r="AD79" s="100">
        <v>-43.6875</v>
      </c>
      <c r="AE79" s="100">
        <v>-43.0625</v>
      </c>
      <c r="AF79" s="100">
        <v>-43.0625</v>
      </c>
      <c r="AG79" s="100">
        <v>-33.8125</v>
      </c>
      <c r="AH79" s="100">
        <v>-43.6875</v>
      </c>
      <c r="AI79" s="100">
        <v>1.0625</v>
      </c>
      <c r="AJ79" s="100">
        <v>32.8125</v>
      </c>
    </row>
    <row r="80" spans="1:36" ht="12.75">
      <c r="A80" t="s">
        <v>168</v>
      </c>
      <c r="B80" s="100">
        <v>-17.5</v>
      </c>
      <c r="C80" s="100">
        <v>-13.166666666666666</v>
      </c>
      <c r="D80" s="100">
        <v>-13.166666666666666</v>
      </c>
      <c r="E80" s="100">
        <v>-6.833333333333333</v>
      </c>
      <c r="F80" s="100">
        <v>-15.5</v>
      </c>
      <c r="G80" s="100">
        <v>26.166666666666668</v>
      </c>
      <c r="H80" s="100">
        <v>53.666666666666664</v>
      </c>
      <c r="I80" s="100">
        <v>-26.666666666666668</v>
      </c>
      <c r="J80" s="100">
        <v>-3.6666666666666665</v>
      </c>
      <c r="K80" s="100">
        <v>-2.8333333333333335</v>
      </c>
      <c r="L80" s="100">
        <v>4.166666666666667</v>
      </c>
      <c r="M80" s="100">
        <v>-8</v>
      </c>
      <c r="N80" s="100">
        <v>35.333333333333336</v>
      </c>
      <c r="O80" s="100">
        <v>65.16666666666667</v>
      </c>
      <c r="P80" s="100">
        <v>-5</v>
      </c>
      <c r="Q80" s="100">
        <v>-2</v>
      </c>
      <c r="R80" s="100">
        <v>-2</v>
      </c>
      <c r="S80" s="100">
        <v>4.833333333333333</v>
      </c>
      <c r="T80" s="100">
        <v>4.166666666666667</v>
      </c>
      <c r="U80" s="100">
        <v>38.833333333333336</v>
      </c>
      <c r="V80" s="100">
        <v>68.83333333333333</v>
      </c>
      <c r="W80" s="100">
        <v>-29.666666666666668</v>
      </c>
      <c r="X80" s="100">
        <v>-27.666666666666668</v>
      </c>
      <c r="Y80" s="100">
        <v>-27.666666666666668</v>
      </c>
      <c r="Z80" s="100">
        <v>-22</v>
      </c>
      <c r="AA80" s="100">
        <v>-32.833333333333336</v>
      </c>
      <c r="AB80" s="100">
        <v>13.333333333333334</v>
      </c>
      <c r="AC80" s="100">
        <v>47.166666666666664</v>
      </c>
      <c r="AD80" s="100">
        <v>-38</v>
      </c>
      <c r="AE80" s="100">
        <v>-35</v>
      </c>
      <c r="AF80" s="100">
        <v>-35</v>
      </c>
      <c r="AG80" s="100">
        <v>-28.666666666666668</v>
      </c>
      <c r="AH80" s="100">
        <v>-37.666666666666664</v>
      </c>
      <c r="AI80" s="100">
        <v>6.666666666666667</v>
      </c>
      <c r="AJ80" s="100">
        <v>32.833333333333336</v>
      </c>
    </row>
    <row r="81" spans="1:36" ht="12.75">
      <c r="A81" t="s">
        <v>169</v>
      </c>
      <c r="B81" s="100">
        <v>-19.375</v>
      </c>
      <c r="C81" s="100">
        <v>-15.5</v>
      </c>
      <c r="D81" s="100">
        <v>-15.5</v>
      </c>
      <c r="E81" s="100">
        <v>-10.375</v>
      </c>
      <c r="F81" s="100">
        <v>-16.5625</v>
      </c>
      <c r="G81" s="100">
        <v>28.0625</v>
      </c>
      <c r="H81" s="100">
        <v>58.3125</v>
      </c>
      <c r="I81" s="100">
        <v>-37</v>
      </c>
      <c r="J81" s="100">
        <v>-3.75</v>
      </c>
      <c r="K81" s="100">
        <v>-3.75</v>
      </c>
      <c r="L81" s="100">
        <v>2.25</v>
      </c>
      <c r="M81" s="100">
        <v>-5.8125</v>
      </c>
      <c r="N81" s="100">
        <v>38.9375</v>
      </c>
      <c r="O81" s="100">
        <v>71.0625</v>
      </c>
      <c r="P81" s="100">
        <v>-0.875</v>
      </c>
      <c r="Q81" s="100">
        <v>2.5</v>
      </c>
      <c r="R81" s="100">
        <v>2.625</v>
      </c>
      <c r="S81" s="100">
        <v>8.75</v>
      </c>
      <c r="T81" s="100">
        <v>2.3125</v>
      </c>
      <c r="U81" s="100">
        <v>43.5625</v>
      </c>
      <c r="V81" s="100">
        <v>78.9375</v>
      </c>
      <c r="W81" s="100">
        <v>-30.625</v>
      </c>
      <c r="X81" s="100">
        <v>-27.5</v>
      </c>
      <c r="Y81" s="100">
        <v>-27.5</v>
      </c>
      <c r="Z81" s="100">
        <v>-23.5</v>
      </c>
      <c r="AA81" s="100">
        <v>-31.8125</v>
      </c>
      <c r="AB81" s="100">
        <v>18.3125</v>
      </c>
      <c r="AC81" s="100">
        <v>55.1875</v>
      </c>
      <c r="AD81" s="100">
        <v>-37</v>
      </c>
      <c r="AE81" s="100">
        <v>-35.5</v>
      </c>
      <c r="AF81" s="100">
        <v>-34.25</v>
      </c>
      <c r="AG81" s="100">
        <v>-29.375</v>
      </c>
      <c r="AH81" s="100">
        <v>-35.8125</v>
      </c>
      <c r="AI81" s="100">
        <v>11.5625</v>
      </c>
      <c r="AJ81" s="100">
        <v>41.0625</v>
      </c>
    </row>
    <row r="82" spans="1:36" ht="12.75">
      <c r="A82" t="s">
        <v>170</v>
      </c>
      <c r="B82" s="100">
        <v>-31.95</v>
      </c>
      <c r="C82" s="100">
        <v>-27.65</v>
      </c>
      <c r="D82" s="100">
        <v>-27.65</v>
      </c>
      <c r="E82" s="100">
        <v>-21.95</v>
      </c>
      <c r="F82" s="100">
        <v>-20</v>
      </c>
      <c r="G82" s="100">
        <v>27.5</v>
      </c>
      <c r="H82" s="100">
        <v>63.9</v>
      </c>
      <c r="I82" s="100">
        <v>-48.3</v>
      </c>
      <c r="J82" s="100">
        <v>-13.95</v>
      </c>
      <c r="K82" s="100">
        <v>-13.95</v>
      </c>
      <c r="L82" s="100">
        <v>-7.15</v>
      </c>
      <c r="M82" s="100">
        <v>-10.2</v>
      </c>
      <c r="N82" s="100">
        <v>39.3</v>
      </c>
      <c r="O82" s="100">
        <v>75.9</v>
      </c>
      <c r="P82" s="100">
        <v>-14.35</v>
      </c>
      <c r="Q82" s="100">
        <v>-11.15</v>
      </c>
      <c r="R82" s="100">
        <v>-10.45</v>
      </c>
      <c r="S82" s="100">
        <v>-2.55</v>
      </c>
      <c r="T82" s="100">
        <v>-0.4</v>
      </c>
      <c r="U82" s="100">
        <v>42.5</v>
      </c>
      <c r="V82" s="100">
        <v>86.2</v>
      </c>
      <c r="W82" s="100">
        <v>-44.95</v>
      </c>
      <c r="X82" s="100">
        <v>-43.05</v>
      </c>
      <c r="Y82" s="100">
        <v>-43.05</v>
      </c>
      <c r="Z82" s="100">
        <v>-37.05</v>
      </c>
      <c r="AA82" s="100">
        <v>-35.9</v>
      </c>
      <c r="AB82" s="100">
        <v>15.2</v>
      </c>
      <c r="AC82" s="100">
        <v>58.2</v>
      </c>
      <c r="AD82" s="100">
        <v>-49.75</v>
      </c>
      <c r="AE82" s="100">
        <v>-47.75</v>
      </c>
      <c r="AF82" s="100">
        <v>-47.75</v>
      </c>
      <c r="AG82" s="100">
        <v>-40.85</v>
      </c>
      <c r="AH82" s="100">
        <v>-42.1</v>
      </c>
      <c r="AI82" s="100">
        <v>10.4</v>
      </c>
      <c r="AJ82" s="100">
        <v>42.3</v>
      </c>
    </row>
    <row r="83" spans="1:36" ht="12.75">
      <c r="A83" t="s">
        <v>157</v>
      </c>
      <c r="B83" s="100">
        <v>-20.5</v>
      </c>
      <c r="C83" s="100">
        <v>-17.5</v>
      </c>
      <c r="D83" s="100">
        <v>-16.25</v>
      </c>
      <c r="E83" s="100">
        <v>-6.875</v>
      </c>
      <c r="F83" s="100">
        <v>-5.9375</v>
      </c>
      <c r="G83" s="100">
        <v>45.4375</v>
      </c>
      <c r="H83" s="100">
        <v>81.9375</v>
      </c>
      <c r="I83" s="100">
        <v>-66.75</v>
      </c>
      <c r="J83" s="100">
        <v>-2.125</v>
      </c>
      <c r="K83" s="100">
        <v>-1.875</v>
      </c>
      <c r="L83" s="100">
        <v>9.25</v>
      </c>
      <c r="M83" s="100">
        <v>-0.8125</v>
      </c>
      <c r="N83" s="100">
        <v>50.3125</v>
      </c>
      <c r="O83" s="100">
        <v>90.8125</v>
      </c>
      <c r="P83" s="100">
        <v>4</v>
      </c>
      <c r="Q83" s="100">
        <v>7.125</v>
      </c>
      <c r="R83" s="100">
        <v>9.125</v>
      </c>
      <c r="S83" s="100">
        <v>18.75</v>
      </c>
      <c r="T83" s="100">
        <v>17.6875</v>
      </c>
      <c r="U83" s="100">
        <v>62.0625</v>
      </c>
      <c r="V83" s="100">
        <v>110.5625</v>
      </c>
      <c r="W83" s="100">
        <v>-33</v>
      </c>
      <c r="X83" s="100">
        <v>-28</v>
      </c>
      <c r="Y83" s="100">
        <v>-28</v>
      </c>
      <c r="Z83" s="100">
        <v>-18.125</v>
      </c>
      <c r="AA83" s="100">
        <v>-20.3125</v>
      </c>
      <c r="AB83" s="100">
        <v>33.1875</v>
      </c>
      <c r="AC83" s="100">
        <v>79.5625</v>
      </c>
      <c r="AD83" s="100">
        <v>-33</v>
      </c>
      <c r="AE83" s="100">
        <v>-30.125</v>
      </c>
      <c r="AF83" s="100">
        <v>-30</v>
      </c>
      <c r="AG83" s="100">
        <v>-19.125</v>
      </c>
      <c r="AH83" s="100">
        <v>-25.6875</v>
      </c>
      <c r="AI83" s="100">
        <v>27.1875</v>
      </c>
      <c r="AJ83" s="100">
        <v>60.0625</v>
      </c>
    </row>
    <row r="84" spans="1:36" ht="12.75">
      <c r="A84" t="s">
        <v>171</v>
      </c>
      <c r="B84" s="100">
        <v>-19.625</v>
      </c>
      <c r="C84" s="100">
        <v>-14.125</v>
      </c>
      <c r="D84" s="100">
        <v>-14.125</v>
      </c>
      <c r="E84" s="100">
        <v>-0.125</v>
      </c>
      <c r="F84" s="100">
        <v>1.5</v>
      </c>
      <c r="G84" s="100">
        <v>62.375</v>
      </c>
      <c r="H84" s="100">
        <v>111.375</v>
      </c>
      <c r="I84" s="100">
        <v>-75</v>
      </c>
      <c r="J84" s="100">
        <v>0.125</v>
      </c>
      <c r="K84" s="100">
        <v>0.5</v>
      </c>
      <c r="L84" s="100">
        <v>16.875</v>
      </c>
      <c r="M84" s="100">
        <v>9.25</v>
      </c>
      <c r="N84" s="100">
        <v>65</v>
      </c>
      <c r="O84" s="100">
        <v>130.25</v>
      </c>
      <c r="P84" s="100">
        <v>7</v>
      </c>
      <c r="Q84" s="100">
        <v>11</v>
      </c>
      <c r="R84" s="100">
        <v>12.375</v>
      </c>
      <c r="S84" s="100">
        <v>26.875</v>
      </c>
      <c r="T84" s="100">
        <v>19.375</v>
      </c>
      <c r="U84" s="100">
        <v>85.625</v>
      </c>
      <c r="V84" s="100">
        <v>154.125</v>
      </c>
      <c r="W84" s="100">
        <v>-40.5</v>
      </c>
      <c r="X84" s="100">
        <v>-32.5</v>
      </c>
      <c r="Y84" s="100">
        <v>-32.5</v>
      </c>
      <c r="Z84" s="100">
        <v>-14.25</v>
      </c>
      <c r="AA84" s="100">
        <v>-21.5</v>
      </c>
      <c r="AB84" s="100">
        <v>57.25</v>
      </c>
      <c r="AC84" s="100">
        <v>120.75</v>
      </c>
      <c r="AD84" s="100">
        <v>-38.625</v>
      </c>
      <c r="AE84" s="100">
        <v>-36.5</v>
      </c>
      <c r="AF84" s="100">
        <v>-36.25</v>
      </c>
      <c r="AG84" s="100">
        <v>-20</v>
      </c>
      <c r="AH84" s="100">
        <v>-14.875</v>
      </c>
      <c r="AI84" s="100">
        <v>45.75</v>
      </c>
      <c r="AJ84" s="100">
        <v>92.625</v>
      </c>
    </row>
    <row r="85" spans="1:36" ht="12.75">
      <c r="A85" t="s">
        <v>172</v>
      </c>
      <c r="B85" s="100">
        <v>-41.85</v>
      </c>
      <c r="C85" s="100">
        <v>-29.05</v>
      </c>
      <c r="D85" s="100">
        <v>-27.05</v>
      </c>
      <c r="E85" s="100">
        <v>7.65</v>
      </c>
      <c r="F85" s="100">
        <v>-4.25</v>
      </c>
      <c r="G85" s="100">
        <v>87.25</v>
      </c>
      <c r="H85" s="100">
        <v>157.45</v>
      </c>
      <c r="I85" s="100">
        <v>-81.7</v>
      </c>
      <c r="J85" s="100">
        <v>-18.35</v>
      </c>
      <c r="K85" s="100">
        <v>-15.85</v>
      </c>
      <c r="L85" s="100">
        <v>19.75</v>
      </c>
      <c r="M85" s="100">
        <v>4.15</v>
      </c>
      <c r="N85" s="100">
        <v>91.25</v>
      </c>
      <c r="O85" s="100">
        <v>159.45</v>
      </c>
      <c r="P85" s="100">
        <v>-25.65</v>
      </c>
      <c r="Q85" s="100">
        <v>-15.65</v>
      </c>
      <c r="R85" s="100">
        <v>-12.25</v>
      </c>
      <c r="S85" s="100">
        <v>29.45</v>
      </c>
      <c r="T85" s="100">
        <v>22.85</v>
      </c>
      <c r="U85" s="100">
        <v>101.35</v>
      </c>
      <c r="V85" s="100">
        <v>171.15</v>
      </c>
      <c r="W85" s="100">
        <v>-52.65</v>
      </c>
      <c r="X85" s="100">
        <v>-45.95</v>
      </c>
      <c r="Y85" s="100">
        <v>-42.95</v>
      </c>
      <c r="Z85" s="100">
        <v>-21.15</v>
      </c>
      <c r="AA85" s="100">
        <v>-20.35</v>
      </c>
      <c r="AB85" s="100">
        <v>79.45</v>
      </c>
      <c r="AC85" s="100">
        <v>148.05</v>
      </c>
      <c r="AD85" s="100">
        <v>-68.45</v>
      </c>
      <c r="AE85" s="100">
        <v>-57.25</v>
      </c>
      <c r="AF85" s="100">
        <v>-49.25</v>
      </c>
      <c r="AG85" s="100">
        <v>-18.45</v>
      </c>
      <c r="AH85" s="100">
        <v>-12.75</v>
      </c>
      <c r="AI85" s="100">
        <v>70.25</v>
      </c>
      <c r="AJ85" s="100">
        <v>136.95</v>
      </c>
    </row>
    <row r="86" spans="1:36" ht="12.75">
      <c r="A86" t="s">
        <v>173</v>
      </c>
      <c r="B86" s="100">
        <v>-60.625</v>
      </c>
      <c r="C86" s="100">
        <v>-46.625</v>
      </c>
      <c r="D86" s="100">
        <v>-42.625</v>
      </c>
      <c r="E86" s="100">
        <v>0</v>
      </c>
      <c r="F86" s="100">
        <v>-26.25</v>
      </c>
      <c r="G86" s="100">
        <v>69</v>
      </c>
      <c r="H86" s="100">
        <v>144.625</v>
      </c>
      <c r="I86" s="100">
        <v>-108.375</v>
      </c>
      <c r="J86" s="100">
        <v>-48.125</v>
      </c>
      <c r="K86" s="100">
        <v>-38</v>
      </c>
      <c r="L86" s="100">
        <v>14.5</v>
      </c>
      <c r="M86" s="100">
        <v>-10.625</v>
      </c>
      <c r="N86" s="100">
        <v>97.5</v>
      </c>
      <c r="O86" s="100">
        <v>171.125</v>
      </c>
      <c r="P86" s="100">
        <v>-45.125</v>
      </c>
      <c r="Q86" s="100">
        <v>-31.375</v>
      </c>
      <c r="R86" s="100">
        <v>-20.5</v>
      </c>
      <c r="S86" s="100">
        <v>18.75</v>
      </c>
      <c r="T86" s="100">
        <v>7.875</v>
      </c>
      <c r="U86" s="100">
        <v>105.875</v>
      </c>
      <c r="V86" s="100">
        <v>177.5</v>
      </c>
      <c r="W86" s="100">
        <v>-73.25</v>
      </c>
      <c r="X86" s="100">
        <v>-63.25</v>
      </c>
      <c r="Y86" s="100">
        <v>-52.75</v>
      </c>
      <c r="Z86" s="100">
        <v>-26.25</v>
      </c>
      <c r="AA86" s="100">
        <v>-40</v>
      </c>
      <c r="AB86" s="100">
        <v>72.25</v>
      </c>
      <c r="AC86" s="100">
        <v>159.375</v>
      </c>
      <c r="AD86" s="100">
        <v>-65.985</v>
      </c>
      <c r="AE86" s="100">
        <v>-56.055</v>
      </c>
      <c r="AF86" s="100">
        <v>-44.115</v>
      </c>
      <c r="AG86" s="100">
        <v>-6.245</v>
      </c>
      <c r="AH86" s="100">
        <v>-30</v>
      </c>
      <c r="AI86" s="100">
        <v>51.18</v>
      </c>
      <c r="AJ86" s="100">
        <v>107.36</v>
      </c>
    </row>
    <row r="87" spans="1:36" ht="12.75">
      <c r="A87" t="s">
        <v>143</v>
      </c>
      <c r="B87" s="100">
        <v>-73.75</v>
      </c>
      <c r="C87" s="100">
        <v>-50.75</v>
      </c>
      <c r="D87" s="100">
        <v>-44.75</v>
      </c>
      <c r="E87" s="100">
        <v>-2.75</v>
      </c>
      <c r="F87" s="100">
        <v>-32</v>
      </c>
      <c r="G87" s="100">
        <v>66.25</v>
      </c>
      <c r="H87" s="100">
        <v>140.5</v>
      </c>
      <c r="I87" s="100">
        <v>-109.25</v>
      </c>
      <c r="J87" s="100">
        <v>-44.875</v>
      </c>
      <c r="K87" s="100">
        <v>-33.25</v>
      </c>
      <c r="L87" s="100">
        <v>5.875</v>
      </c>
      <c r="M87" s="100">
        <v>-9.25</v>
      </c>
      <c r="N87" s="100">
        <v>101.25</v>
      </c>
      <c r="O87" s="100">
        <v>184.375</v>
      </c>
      <c r="P87" s="100">
        <v>-53.375</v>
      </c>
      <c r="Q87" s="100">
        <v>-22.625</v>
      </c>
      <c r="R87" s="100">
        <v>-11.25</v>
      </c>
      <c r="S87" s="100">
        <v>34.625</v>
      </c>
      <c r="T87" s="100">
        <v>-0.125</v>
      </c>
      <c r="U87" s="100">
        <v>102.625</v>
      </c>
      <c r="V87" s="100">
        <v>195.375</v>
      </c>
      <c r="W87" s="100">
        <v>-87.375</v>
      </c>
      <c r="X87" s="100">
        <v>-59.5</v>
      </c>
      <c r="Y87" s="100">
        <v>-49.5</v>
      </c>
      <c r="Z87" s="100">
        <v>-4.25</v>
      </c>
      <c r="AA87" s="100">
        <v>-41.5</v>
      </c>
      <c r="AB87" s="100">
        <v>85.75</v>
      </c>
      <c r="AC87" s="100">
        <v>171.25</v>
      </c>
      <c r="AD87" s="100">
        <v>-65.985</v>
      </c>
      <c r="AE87" s="100">
        <v>-56.055</v>
      </c>
      <c r="AF87" s="100">
        <v>-44.115</v>
      </c>
      <c r="AG87" s="100">
        <v>-6.245</v>
      </c>
      <c r="AH87" s="100">
        <v>-30</v>
      </c>
      <c r="AI87" s="100">
        <v>51.18</v>
      </c>
      <c r="AJ87" s="100">
        <v>107.36</v>
      </c>
    </row>
    <row r="88" spans="1:36" ht="12.75">
      <c r="A88" t="s">
        <v>174</v>
      </c>
      <c r="B88" s="100">
        <v>-71.65</v>
      </c>
      <c r="C88" s="100">
        <v>-55.15</v>
      </c>
      <c r="D88" s="100">
        <v>-23.65</v>
      </c>
      <c r="E88" s="100">
        <v>54.15</v>
      </c>
      <c r="F88" s="100">
        <v>-1.5</v>
      </c>
      <c r="G88" s="100">
        <v>89.7</v>
      </c>
      <c r="H88" s="100">
        <v>149.7</v>
      </c>
      <c r="I88" s="100">
        <v>-95.8</v>
      </c>
      <c r="J88" s="100">
        <v>-42.35</v>
      </c>
      <c r="K88" s="100">
        <v>-18.45</v>
      </c>
      <c r="L88" s="100">
        <v>61.45</v>
      </c>
      <c r="M88" s="100">
        <v>8.2</v>
      </c>
      <c r="N88" s="100">
        <v>111.5</v>
      </c>
      <c r="O88" s="100">
        <v>178.3</v>
      </c>
      <c r="P88" s="100">
        <v>-61.25</v>
      </c>
      <c r="Q88" s="100">
        <v>-37.55</v>
      </c>
      <c r="R88" s="100">
        <v>1.85</v>
      </c>
      <c r="S88" s="100">
        <v>85.05</v>
      </c>
      <c r="T88" s="100">
        <v>17.8</v>
      </c>
      <c r="U88" s="100">
        <v>112.2</v>
      </c>
      <c r="V88" s="100">
        <v>187</v>
      </c>
      <c r="W88" s="100">
        <v>-80.25</v>
      </c>
      <c r="X88" s="100">
        <v>-67.65</v>
      </c>
      <c r="Y88" s="100">
        <v>-37.15</v>
      </c>
      <c r="Z88" s="100">
        <v>28.85</v>
      </c>
      <c r="AA88" s="100">
        <v>-16.8</v>
      </c>
      <c r="AB88" s="100">
        <v>95</v>
      </c>
      <c r="AC88" s="100">
        <v>168.7</v>
      </c>
      <c r="AD88" s="100">
        <v>-65.985</v>
      </c>
      <c r="AE88" s="100">
        <v>-56.055</v>
      </c>
      <c r="AF88" s="100">
        <v>-44.115</v>
      </c>
      <c r="AG88" s="100">
        <v>-6.245</v>
      </c>
      <c r="AH88" s="100">
        <v>-30</v>
      </c>
      <c r="AI88" s="100">
        <v>51.18</v>
      </c>
      <c r="AJ88" s="100">
        <v>107.36</v>
      </c>
    </row>
    <row r="89" spans="1:36" ht="12.75">
      <c r="A89" t="s">
        <v>175</v>
      </c>
      <c r="B89" s="100">
        <v>-74.75</v>
      </c>
      <c r="C89" s="100">
        <v>-61.416666666666664</v>
      </c>
      <c r="D89" s="100">
        <v>-22.583333333333332</v>
      </c>
      <c r="E89" s="100">
        <v>76.25</v>
      </c>
      <c r="F89" s="100">
        <v>13</v>
      </c>
      <c r="G89" s="100">
        <v>107.5</v>
      </c>
      <c r="H89" s="100">
        <v>181.33333333333334</v>
      </c>
      <c r="I89" s="100">
        <v>-77.16666666666667</v>
      </c>
      <c r="J89" s="100">
        <v>-48.75</v>
      </c>
      <c r="K89" s="100">
        <v>-6.583333333333333</v>
      </c>
      <c r="L89" s="100">
        <v>89.91666666666667</v>
      </c>
      <c r="M89" s="100">
        <v>23.333333333333332</v>
      </c>
      <c r="N89" s="100">
        <v>129.33333333333334</v>
      </c>
      <c r="O89" s="100">
        <v>191.5</v>
      </c>
      <c r="P89" s="100">
        <v>-67.75</v>
      </c>
      <c r="Q89" s="100">
        <v>-45.416666666666664</v>
      </c>
      <c r="R89" s="100">
        <v>-0.25</v>
      </c>
      <c r="S89" s="100">
        <v>98.41666666666667</v>
      </c>
      <c r="T89" s="100">
        <v>29.166666666666668</v>
      </c>
      <c r="U89" s="100">
        <v>130.66666666666666</v>
      </c>
      <c r="V89" s="100">
        <v>230.16666666666666</v>
      </c>
      <c r="W89" s="100">
        <v>-88.41666666666667</v>
      </c>
      <c r="X89" s="100">
        <v>-67.58333333333333</v>
      </c>
      <c r="Y89" s="100">
        <v>-30.083333333333332</v>
      </c>
      <c r="Z89" s="100">
        <v>68.25</v>
      </c>
      <c r="AA89" s="100">
        <v>-7.833333333333333</v>
      </c>
      <c r="AB89" s="100">
        <v>105.83333333333333</v>
      </c>
      <c r="AC89" s="100">
        <v>183.16666666666666</v>
      </c>
      <c r="AD89" s="100">
        <v>-65.985</v>
      </c>
      <c r="AE89" s="100">
        <v>-56.055</v>
      </c>
      <c r="AF89" s="100">
        <v>-44.115</v>
      </c>
      <c r="AG89" s="100">
        <v>-6.245</v>
      </c>
      <c r="AH89" s="100">
        <v>-30</v>
      </c>
      <c r="AI89" s="100">
        <v>51.18</v>
      </c>
      <c r="AJ89" s="100">
        <v>107.36</v>
      </c>
    </row>
    <row r="90" spans="1:36" ht="12.75">
      <c r="A90" t="s">
        <v>176</v>
      </c>
      <c r="B90" s="100">
        <v>-66.8</v>
      </c>
      <c r="C90" s="100">
        <v>-57.5</v>
      </c>
      <c r="D90" s="100">
        <v>-13.7</v>
      </c>
      <c r="E90" s="100">
        <v>79.4</v>
      </c>
      <c r="F90" s="100">
        <v>1.5</v>
      </c>
      <c r="G90" s="100">
        <v>110.5</v>
      </c>
      <c r="H90" s="100">
        <v>190.3</v>
      </c>
      <c r="I90" s="100">
        <v>-48.8</v>
      </c>
      <c r="J90" s="100">
        <v>-61.7</v>
      </c>
      <c r="K90" s="100">
        <v>-11.9</v>
      </c>
      <c r="L90" s="100">
        <v>74</v>
      </c>
      <c r="M90" s="100">
        <v>11.1</v>
      </c>
      <c r="N90" s="100">
        <v>120.4</v>
      </c>
      <c r="O90" s="100">
        <v>193.9</v>
      </c>
      <c r="P90" s="100">
        <v>-65.4</v>
      </c>
      <c r="Q90" s="100">
        <v>-59.6</v>
      </c>
      <c r="R90" s="100">
        <v>-5.3</v>
      </c>
      <c r="S90" s="100">
        <v>77.7</v>
      </c>
      <c r="T90" s="100">
        <v>6.8</v>
      </c>
      <c r="U90" s="100">
        <v>110.7</v>
      </c>
      <c r="V90" s="100">
        <v>206.5</v>
      </c>
      <c r="W90" s="100">
        <v>-96</v>
      </c>
      <c r="X90" s="100">
        <v>-78.8</v>
      </c>
      <c r="Y90" s="100">
        <v>-47.8</v>
      </c>
      <c r="Z90" s="100">
        <v>48.9</v>
      </c>
      <c r="AA90" s="100">
        <v>2.9</v>
      </c>
      <c r="AB90" s="100">
        <v>104.3</v>
      </c>
      <c r="AC90" s="100">
        <v>63.3</v>
      </c>
      <c r="AD90" s="100">
        <v>-98.6</v>
      </c>
      <c r="AE90" s="100">
        <v>-78.6</v>
      </c>
      <c r="AF90" s="100">
        <v>-46.8</v>
      </c>
      <c r="AG90" s="100">
        <v>33.5</v>
      </c>
      <c r="AH90" s="100">
        <v>-13.7</v>
      </c>
      <c r="AI90" s="100">
        <v>91.9</v>
      </c>
      <c r="AJ90" s="100">
        <v>177.1</v>
      </c>
    </row>
    <row r="94" ht="13.5" thickBot="1"/>
    <row r="95" spans="1:36" ht="13.5" thickBot="1">
      <c r="A95" s="7" t="s">
        <v>4</v>
      </c>
      <c r="B95" s="243" t="s">
        <v>195</v>
      </c>
      <c r="C95" s="243"/>
      <c r="D95" s="243"/>
      <c r="E95" s="243"/>
      <c r="F95" s="243" t="s">
        <v>196</v>
      </c>
      <c r="G95" s="243"/>
      <c r="H95" s="243"/>
      <c r="I95" s="243" t="s">
        <v>195</v>
      </c>
      <c r="J95" s="243"/>
      <c r="K95" s="243"/>
      <c r="L95" s="243"/>
      <c r="M95" s="243" t="s">
        <v>196</v>
      </c>
      <c r="N95" s="243"/>
      <c r="O95" s="243"/>
      <c r="P95" s="243" t="s">
        <v>195</v>
      </c>
      <c r="Q95" s="243"/>
      <c r="R95" s="243"/>
      <c r="S95" s="243"/>
      <c r="T95" s="243" t="s">
        <v>196</v>
      </c>
      <c r="U95" s="243"/>
      <c r="V95" s="243"/>
      <c r="W95" s="243" t="s">
        <v>195</v>
      </c>
      <c r="X95" s="243"/>
      <c r="Y95" s="243"/>
      <c r="Z95" s="243"/>
      <c r="AA95" s="243" t="s">
        <v>196</v>
      </c>
      <c r="AB95" s="243"/>
      <c r="AC95" s="243"/>
      <c r="AD95" s="243" t="s">
        <v>195</v>
      </c>
      <c r="AE95" s="243"/>
      <c r="AF95" s="243"/>
      <c r="AG95" s="243"/>
      <c r="AH95" s="243" t="s">
        <v>196</v>
      </c>
      <c r="AI95" s="243"/>
      <c r="AJ95" s="243"/>
    </row>
    <row r="96" spans="1:36" ht="12.75">
      <c r="A96" s="7" t="s">
        <v>197</v>
      </c>
      <c r="B96" s="244" t="s">
        <v>198</v>
      </c>
      <c r="C96" s="244"/>
      <c r="D96" s="244"/>
      <c r="E96" s="244"/>
      <c r="F96" s="244"/>
      <c r="G96" s="244"/>
      <c r="H96" s="244"/>
      <c r="I96" s="245" t="s">
        <v>199</v>
      </c>
      <c r="J96" s="245"/>
      <c r="K96" s="245"/>
      <c r="L96" s="245"/>
      <c r="M96" s="245"/>
      <c r="N96" s="245"/>
      <c r="O96" s="245"/>
      <c r="P96" s="246" t="s">
        <v>200</v>
      </c>
      <c r="Q96" s="246"/>
      <c r="R96" s="246"/>
      <c r="S96" s="246"/>
      <c r="T96" s="246"/>
      <c r="U96" s="246"/>
      <c r="V96" s="246"/>
      <c r="W96" s="247" t="s">
        <v>201</v>
      </c>
      <c r="X96" s="247"/>
      <c r="Y96" s="247"/>
      <c r="Z96" s="247"/>
      <c r="AA96" s="247"/>
      <c r="AB96" s="247"/>
      <c r="AC96" s="247"/>
      <c r="AD96" s="242" t="s">
        <v>218</v>
      </c>
      <c r="AE96" s="242"/>
      <c r="AF96" s="242"/>
      <c r="AG96" s="242"/>
      <c r="AH96" s="242"/>
      <c r="AI96" s="242"/>
      <c r="AJ96" s="242"/>
    </row>
    <row r="97" spans="1:36" ht="12.75">
      <c r="A97" s="7" t="s">
        <v>210</v>
      </c>
      <c r="B97" t="s">
        <v>202</v>
      </c>
      <c r="C97" t="s">
        <v>203</v>
      </c>
      <c r="D97" t="s">
        <v>204</v>
      </c>
      <c r="E97" t="s">
        <v>205</v>
      </c>
      <c r="F97" t="s">
        <v>206</v>
      </c>
      <c r="G97" t="s">
        <v>207</v>
      </c>
      <c r="H97" t="s">
        <v>208</v>
      </c>
      <c r="I97" t="s">
        <v>202</v>
      </c>
      <c r="J97" t="s">
        <v>203</v>
      </c>
      <c r="K97" t="s">
        <v>204</v>
      </c>
      <c r="L97" t="s">
        <v>205</v>
      </c>
      <c r="M97" t="s">
        <v>206</v>
      </c>
      <c r="N97" t="s">
        <v>207</v>
      </c>
      <c r="O97" t="s">
        <v>208</v>
      </c>
      <c r="P97" t="s">
        <v>202</v>
      </c>
      <c r="Q97" t="s">
        <v>203</v>
      </c>
      <c r="R97" t="s">
        <v>204</v>
      </c>
      <c r="S97" t="s">
        <v>205</v>
      </c>
      <c r="T97" t="s">
        <v>206</v>
      </c>
      <c r="U97" t="s">
        <v>207</v>
      </c>
      <c r="V97" t="s">
        <v>208</v>
      </c>
      <c r="W97" t="s">
        <v>202</v>
      </c>
      <c r="X97" t="s">
        <v>203</v>
      </c>
      <c r="Y97" t="s">
        <v>204</v>
      </c>
      <c r="Z97" t="s">
        <v>205</v>
      </c>
      <c r="AA97" t="s">
        <v>206</v>
      </c>
      <c r="AB97" t="s">
        <v>207</v>
      </c>
      <c r="AC97" t="s">
        <v>208</v>
      </c>
      <c r="AD97" t="s">
        <v>202</v>
      </c>
      <c r="AE97" t="s">
        <v>203</v>
      </c>
      <c r="AF97" t="s">
        <v>204</v>
      </c>
      <c r="AG97" t="s">
        <v>205</v>
      </c>
      <c r="AH97" t="s">
        <v>206</v>
      </c>
      <c r="AI97" t="s">
        <v>207</v>
      </c>
      <c r="AJ97" t="s">
        <v>208</v>
      </c>
    </row>
    <row r="98" spans="1:36" ht="12.75">
      <c r="A98" t="s">
        <v>167</v>
      </c>
      <c r="B98" s="100">
        <f>+(B7+B25+B44+B61+B79)/5</f>
        <v>-46.832499999999996</v>
      </c>
      <c r="C98" s="100">
        <f aca="true" t="shared" si="0" ref="C98:AC98">+(C7+C25+C44+C61+C79)/5</f>
        <v>-43.957499999999996</v>
      </c>
      <c r="D98" s="100">
        <f t="shared" si="0"/>
        <v>-31.892500000000002</v>
      </c>
      <c r="E98" s="100">
        <f t="shared" si="0"/>
        <v>-9.6775</v>
      </c>
      <c r="F98" s="100">
        <f t="shared" si="0"/>
        <v>-22.715</v>
      </c>
      <c r="G98" s="100">
        <f t="shared" si="0"/>
        <v>21.330000000000002</v>
      </c>
      <c r="H98" s="100">
        <f t="shared" si="0"/>
        <v>54.015</v>
      </c>
      <c r="I98" s="100">
        <f t="shared" si="0"/>
        <v>-35.045</v>
      </c>
      <c r="J98" s="100">
        <f t="shared" si="0"/>
        <v>-34.1475</v>
      </c>
      <c r="K98" s="100">
        <f t="shared" si="0"/>
        <v>-21.9975</v>
      </c>
      <c r="L98" s="100">
        <f t="shared" si="0"/>
        <v>3.2575000000000003</v>
      </c>
      <c r="M98" s="100">
        <f t="shared" si="0"/>
        <v>-4.41</v>
      </c>
      <c r="N98" s="100">
        <f t="shared" si="0"/>
        <v>35.6</v>
      </c>
      <c r="O98" s="100">
        <f t="shared" si="0"/>
        <v>64.635</v>
      </c>
      <c r="P98" s="100">
        <f t="shared" si="0"/>
        <v>-33.4675</v>
      </c>
      <c r="Q98" s="100">
        <f t="shared" si="0"/>
        <v>-30.5925</v>
      </c>
      <c r="R98" s="100">
        <f t="shared" si="0"/>
        <v>-18.0025</v>
      </c>
      <c r="S98" s="100">
        <f t="shared" si="0"/>
        <v>5.9975000000000005</v>
      </c>
      <c r="T98" s="100">
        <f t="shared" si="0"/>
        <v>-2.3850000000000002</v>
      </c>
      <c r="U98" s="100">
        <f t="shared" si="0"/>
        <v>36.425</v>
      </c>
      <c r="V98" s="100">
        <f t="shared" si="0"/>
        <v>67.095</v>
      </c>
      <c r="W98" s="100">
        <f t="shared" si="0"/>
        <v>-59.822500000000005</v>
      </c>
      <c r="X98" s="100">
        <f t="shared" si="0"/>
        <v>-56.072500000000005</v>
      </c>
      <c r="Y98" s="100">
        <f t="shared" si="0"/>
        <v>-46.7675</v>
      </c>
      <c r="Z98" s="100">
        <f t="shared" si="0"/>
        <v>-22.3825</v>
      </c>
      <c r="AA98" s="100">
        <f t="shared" si="0"/>
        <v>-21.375</v>
      </c>
      <c r="AB98" s="100">
        <f t="shared" si="0"/>
        <v>17.27</v>
      </c>
      <c r="AC98" s="100">
        <f t="shared" si="0"/>
        <v>47.355000000000004</v>
      </c>
      <c r="AD98" s="100">
        <f aca="true" t="shared" si="1" ref="AD98:AJ98">+(AD7+AD25+AD44+AD61+AD79)/5</f>
        <v>-66.3575</v>
      </c>
      <c r="AE98" s="100">
        <f t="shared" si="1"/>
        <v>-65.5575</v>
      </c>
      <c r="AF98" s="100">
        <f t="shared" si="1"/>
        <v>-54.432500000000005</v>
      </c>
      <c r="AG98" s="100">
        <f t="shared" si="1"/>
        <v>-30.5225</v>
      </c>
      <c r="AH98" s="100">
        <f t="shared" si="1"/>
        <v>-34.495</v>
      </c>
      <c r="AI98" s="100">
        <f t="shared" si="1"/>
        <v>7.970000000000001</v>
      </c>
      <c r="AJ98" s="100">
        <f t="shared" si="1"/>
        <v>39.44</v>
      </c>
    </row>
    <row r="99" spans="1:36" ht="12.75">
      <c r="A99" t="s">
        <v>168</v>
      </c>
      <c r="B99" s="100">
        <f aca="true" t="shared" si="2" ref="B99:Q109">+(B8+B26+B45+B62+B80)/5</f>
        <v>-42.0125</v>
      </c>
      <c r="C99" s="100">
        <f t="shared" si="2"/>
        <v>-39.045833333333334</v>
      </c>
      <c r="D99" s="100">
        <f t="shared" si="2"/>
        <v>-28.24583333333333</v>
      </c>
      <c r="E99" s="100">
        <f t="shared" si="2"/>
        <v>-8.554166666666667</v>
      </c>
      <c r="F99" s="100">
        <f t="shared" si="2"/>
        <v>-14.5875</v>
      </c>
      <c r="G99" s="100">
        <f t="shared" si="2"/>
        <v>30.020833333333332</v>
      </c>
      <c r="H99" s="100">
        <f t="shared" si="2"/>
        <v>53.295833333333334</v>
      </c>
      <c r="I99" s="100">
        <f t="shared" si="2"/>
        <v>-37.18333333333333</v>
      </c>
      <c r="J99" s="100">
        <f t="shared" si="2"/>
        <v>-26.49583333333333</v>
      </c>
      <c r="K99" s="100">
        <f t="shared" si="2"/>
        <v>-13.329166666666666</v>
      </c>
      <c r="L99" s="100">
        <f t="shared" si="2"/>
        <v>8.920833333333333</v>
      </c>
      <c r="M99" s="100">
        <f t="shared" si="2"/>
        <v>2.5625</v>
      </c>
      <c r="N99" s="100">
        <f t="shared" si="2"/>
        <v>47.454166666666666</v>
      </c>
      <c r="O99" s="100">
        <f t="shared" si="2"/>
        <v>74.49583333333334</v>
      </c>
      <c r="P99" s="100">
        <f t="shared" si="2"/>
        <v>-26.6125</v>
      </c>
      <c r="Q99" s="100">
        <f t="shared" si="2"/>
        <v>-23.3875</v>
      </c>
      <c r="R99" s="100">
        <f aca="true" t="shared" si="3" ref="R99:AJ99">+(R8+R26+R45+R62+R80)/5</f>
        <v>-10.8125</v>
      </c>
      <c r="S99" s="100">
        <f t="shared" si="3"/>
        <v>11.029166666666667</v>
      </c>
      <c r="T99" s="100">
        <f t="shared" si="3"/>
        <v>8.595833333333333</v>
      </c>
      <c r="U99" s="100">
        <f t="shared" si="3"/>
        <v>46.954166666666666</v>
      </c>
      <c r="V99" s="100">
        <f t="shared" si="3"/>
        <v>78.42916666666666</v>
      </c>
      <c r="W99" s="100">
        <f t="shared" si="3"/>
        <v>-53.09583333333334</v>
      </c>
      <c r="X99" s="100">
        <f t="shared" si="3"/>
        <v>-48.57083333333333</v>
      </c>
      <c r="Y99" s="100">
        <f t="shared" si="3"/>
        <v>-36.74583333333333</v>
      </c>
      <c r="Z99" s="100">
        <f t="shared" si="3"/>
        <v>-15.6125</v>
      </c>
      <c r="AA99" s="100">
        <f t="shared" si="3"/>
        <v>-15.604166666666668</v>
      </c>
      <c r="AB99" s="100">
        <f t="shared" si="3"/>
        <v>27.104166666666668</v>
      </c>
      <c r="AC99" s="100">
        <f t="shared" si="3"/>
        <v>57.020833333333336</v>
      </c>
      <c r="AD99" s="100">
        <f t="shared" si="3"/>
        <v>-60.7875</v>
      </c>
      <c r="AE99" s="100">
        <f t="shared" si="3"/>
        <v>-58.9875</v>
      </c>
      <c r="AF99" s="100">
        <f t="shared" si="3"/>
        <v>-45.5875</v>
      </c>
      <c r="AG99" s="100">
        <f t="shared" si="3"/>
        <v>-24.295833333333334</v>
      </c>
      <c r="AH99" s="100">
        <f t="shared" si="3"/>
        <v>-27.725</v>
      </c>
      <c r="AI99" s="100">
        <f t="shared" si="3"/>
        <v>17.616666666666667</v>
      </c>
      <c r="AJ99" s="100">
        <f t="shared" si="3"/>
        <v>48.65416666666667</v>
      </c>
    </row>
    <row r="100" spans="1:36" ht="12.75">
      <c r="A100" t="s">
        <v>169</v>
      </c>
      <c r="B100" s="100">
        <f t="shared" si="2"/>
        <v>-41.435</v>
      </c>
      <c r="C100" s="100">
        <f t="shared" si="2"/>
        <v>-38</v>
      </c>
      <c r="D100" s="100">
        <f t="shared" si="2"/>
        <v>-26.95</v>
      </c>
      <c r="E100" s="100">
        <f t="shared" si="2"/>
        <v>-6.675</v>
      </c>
      <c r="F100" s="100">
        <f t="shared" si="2"/>
        <v>-14.002500000000001</v>
      </c>
      <c r="G100" s="100">
        <f t="shared" si="2"/>
        <v>32.6875</v>
      </c>
      <c r="H100" s="100">
        <f t="shared" si="2"/>
        <v>59.3375</v>
      </c>
      <c r="I100" s="100">
        <f t="shared" si="2"/>
        <v>-44.9</v>
      </c>
      <c r="J100" s="100">
        <f t="shared" si="2"/>
        <v>-25.09</v>
      </c>
      <c r="K100" s="100">
        <f t="shared" si="2"/>
        <v>-11.445</v>
      </c>
      <c r="L100" s="100">
        <f t="shared" si="2"/>
        <v>11.85</v>
      </c>
      <c r="M100" s="100">
        <f t="shared" si="2"/>
        <v>6.3725</v>
      </c>
      <c r="N100" s="100">
        <f t="shared" si="2"/>
        <v>50.7825</v>
      </c>
      <c r="O100" s="100">
        <f t="shared" si="2"/>
        <v>79.52250000000001</v>
      </c>
      <c r="P100" s="100">
        <f t="shared" si="2"/>
        <v>-23.925</v>
      </c>
      <c r="Q100" s="100">
        <f t="shared" si="2"/>
        <v>-19.515</v>
      </c>
      <c r="R100" s="100">
        <f aca="true" t="shared" si="4" ref="R100:AJ100">+(R9+R27+R46+R63+R81)/5</f>
        <v>-5.25</v>
      </c>
      <c r="S100" s="100">
        <f t="shared" si="4"/>
        <v>15.655000000000001</v>
      </c>
      <c r="T100" s="100">
        <f t="shared" si="4"/>
        <v>7.5875</v>
      </c>
      <c r="U100" s="100">
        <f t="shared" si="4"/>
        <v>52.4825</v>
      </c>
      <c r="V100" s="100">
        <f t="shared" si="4"/>
        <v>85.24249999999999</v>
      </c>
      <c r="W100" s="100">
        <f t="shared" si="4"/>
        <v>-50.89</v>
      </c>
      <c r="X100" s="100">
        <f t="shared" si="4"/>
        <v>-48.44</v>
      </c>
      <c r="Y100" s="100">
        <f t="shared" si="4"/>
        <v>-33.555</v>
      </c>
      <c r="Z100" s="100">
        <f t="shared" si="4"/>
        <v>-12.3</v>
      </c>
      <c r="AA100" s="100">
        <f t="shared" si="4"/>
        <v>-15.392500000000002</v>
      </c>
      <c r="AB100" s="100">
        <f t="shared" si="4"/>
        <v>31.252499999999998</v>
      </c>
      <c r="AC100" s="100">
        <f t="shared" si="4"/>
        <v>61.7325</v>
      </c>
      <c r="AD100" s="100">
        <f t="shared" si="4"/>
        <v>-60.795</v>
      </c>
      <c r="AE100" s="100">
        <f t="shared" si="4"/>
        <v>-59.470000000000006</v>
      </c>
      <c r="AF100" s="100">
        <f t="shared" si="4"/>
        <v>-42.375</v>
      </c>
      <c r="AG100" s="100">
        <f t="shared" si="4"/>
        <v>-19.835</v>
      </c>
      <c r="AH100" s="100">
        <f t="shared" si="4"/>
        <v>-24.0125</v>
      </c>
      <c r="AI100" s="100">
        <f t="shared" si="4"/>
        <v>25.192500000000003</v>
      </c>
      <c r="AJ100" s="100">
        <f t="shared" si="4"/>
        <v>53.0625</v>
      </c>
    </row>
    <row r="101" spans="1:36" ht="12.75">
      <c r="A101" t="s">
        <v>170</v>
      </c>
      <c r="B101" s="100">
        <f t="shared" si="2"/>
        <v>-59.072500000000005</v>
      </c>
      <c r="C101" s="100">
        <f t="shared" si="2"/>
        <v>-56.5125</v>
      </c>
      <c r="D101" s="100">
        <f t="shared" si="2"/>
        <v>-44.8575</v>
      </c>
      <c r="E101" s="100">
        <f t="shared" si="2"/>
        <v>-23.0925</v>
      </c>
      <c r="F101" s="100">
        <f t="shared" si="2"/>
        <v>-23.81</v>
      </c>
      <c r="G101" s="100">
        <f t="shared" si="2"/>
        <v>24.145</v>
      </c>
      <c r="H101" s="100">
        <f t="shared" si="2"/>
        <v>52.214999999999996</v>
      </c>
      <c r="I101" s="100">
        <f t="shared" si="2"/>
        <v>-31.165</v>
      </c>
      <c r="J101" s="100">
        <f t="shared" si="2"/>
        <v>-40.7575</v>
      </c>
      <c r="K101" s="100">
        <f t="shared" si="2"/>
        <v>-29.347499999999997</v>
      </c>
      <c r="L101" s="100">
        <f t="shared" si="2"/>
        <v>-7.2875</v>
      </c>
      <c r="M101" s="100">
        <f t="shared" si="2"/>
        <v>-8.344999999999999</v>
      </c>
      <c r="N101" s="100">
        <f t="shared" si="2"/>
        <v>40.77</v>
      </c>
      <c r="O101" s="100">
        <f t="shared" si="2"/>
        <v>69.45</v>
      </c>
      <c r="P101" s="100">
        <f t="shared" si="2"/>
        <v>-38.4925</v>
      </c>
      <c r="Q101" s="100">
        <f t="shared" si="2"/>
        <v>-35.4875</v>
      </c>
      <c r="R101" s="100">
        <f aca="true" t="shared" si="5" ref="R101:AJ101">+(R10+R28+R47+R64+R82)/5</f>
        <v>-23.582500000000003</v>
      </c>
      <c r="S101" s="100">
        <f t="shared" si="5"/>
        <v>-0.5274999999999996</v>
      </c>
      <c r="T101" s="100">
        <f t="shared" si="5"/>
        <v>-4.62</v>
      </c>
      <c r="U101" s="100">
        <f t="shared" si="5"/>
        <v>43.595</v>
      </c>
      <c r="V101" s="100">
        <f t="shared" si="5"/>
        <v>79.685</v>
      </c>
      <c r="W101" s="100">
        <f t="shared" si="5"/>
        <v>-68.0175</v>
      </c>
      <c r="X101" s="100">
        <f t="shared" si="5"/>
        <v>-65.08250000000001</v>
      </c>
      <c r="Y101" s="100">
        <f t="shared" si="5"/>
        <v>-51.7675</v>
      </c>
      <c r="Z101" s="100">
        <f t="shared" si="5"/>
        <v>-29.9775</v>
      </c>
      <c r="AA101" s="100">
        <f t="shared" si="5"/>
        <v>-29.27</v>
      </c>
      <c r="AB101" s="100">
        <f t="shared" si="5"/>
        <v>19.66</v>
      </c>
      <c r="AC101" s="100">
        <f t="shared" si="5"/>
        <v>52.379999999999995</v>
      </c>
      <c r="AD101" s="100">
        <f t="shared" si="5"/>
        <v>-76.1825</v>
      </c>
      <c r="AE101" s="100">
        <f t="shared" si="5"/>
        <v>-73.9825</v>
      </c>
      <c r="AF101" s="100">
        <f t="shared" si="5"/>
        <v>-60.6875</v>
      </c>
      <c r="AG101" s="100">
        <f t="shared" si="5"/>
        <v>-38.5325</v>
      </c>
      <c r="AH101" s="100">
        <f t="shared" si="5"/>
        <v>-38.305</v>
      </c>
      <c r="AI101" s="100">
        <f t="shared" si="5"/>
        <v>13.560000000000002</v>
      </c>
      <c r="AJ101" s="100">
        <f t="shared" si="5"/>
        <v>42.57000000000001</v>
      </c>
    </row>
    <row r="102" spans="1:36" ht="12.75">
      <c r="A102" t="s">
        <v>157</v>
      </c>
      <c r="B102" s="100">
        <f t="shared" si="2"/>
        <v>-42.75666666666667</v>
      </c>
      <c r="C102" s="100">
        <f t="shared" si="2"/>
        <v>-41.156666666666666</v>
      </c>
      <c r="D102" s="100">
        <f t="shared" si="2"/>
        <v>-30.09666666666667</v>
      </c>
      <c r="E102" s="100">
        <f t="shared" si="2"/>
        <v>-5.865</v>
      </c>
      <c r="F102" s="100">
        <f t="shared" si="2"/>
        <v>-13.196666666666669</v>
      </c>
      <c r="G102" s="100">
        <f t="shared" si="2"/>
        <v>35.625</v>
      </c>
      <c r="H102" s="100">
        <f t="shared" si="2"/>
        <v>65.54333333333334</v>
      </c>
      <c r="I102" s="100">
        <f t="shared" si="2"/>
        <v>-20.59166666666667</v>
      </c>
      <c r="J102" s="100">
        <f t="shared" si="2"/>
        <v>-26.166666666666664</v>
      </c>
      <c r="K102" s="100">
        <f t="shared" si="2"/>
        <v>-14.185000000000002</v>
      </c>
      <c r="L102" s="100">
        <f t="shared" si="2"/>
        <v>10.879999999999999</v>
      </c>
      <c r="M102" s="100">
        <f t="shared" si="2"/>
        <v>3.5116666666666676</v>
      </c>
      <c r="N102" s="100">
        <f t="shared" si="2"/>
        <v>49.555</v>
      </c>
      <c r="O102" s="100">
        <f t="shared" si="2"/>
        <v>83.59833333333333</v>
      </c>
      <c r="P102" s="100">
        <f t="shared" si="2"/>
        <v>-23.651666666666664</v>
      </c>
      <c r="Q102" s="100">
        <f t="shared" si="2"/>
        <v>-21.16</v>
      </c>
      <c r="R102" s="100">
        <f aca="true" t="shared" si="6" ref="R102:AJ102">+(R11+R29+R48+R65+R83)/5</f>
        <v>-7.495</v>
      </c>
      <c r="S102" s="100">
        <f t="shared" si="6"/>
        <v>17.488333333333333</v>
      </c>
      <c r="T102" s="100">
        <f t="shared" si="6"/>
        <v>9.004999999999999</v>
      </c>
      <c r="U102" s="100">
        <f t="shared" si="6"/>
        <v>52.96</v>
      </c>
      <c r="V102" s="100">
        <f t="shared" si="6"/>
        <v>93.92333333333333</v>
      </c>
      <c r="W102" s="100">
        <f t="shared" si="6"/>
        <v>-53.86833333333334</v>
      </c>
      <c r="X102" s="100">
        <f t="shared" si="6"/>
        <v>-51.108333333333334</v>
      </c>
      <c r="Y102" s="100">
        <f t="shared" si="6"/>
        <v>-37.53666666666667</v>
      </c>
      <c r="Z102" s="100">
        <f t="shared" si="6"/>
        <v>-9.283333333333331</v>
      </c>
      <c r="AA102" s="100">
        <f t="shared" si="6"/>
        <v>-15.903333333333332</v>
      </c>
      <c r="AB102" s="100">
        <f t="shared" si="6"/>
        <v>31.301666666666666</v>
      </c>
      <c r="AC102" s="100">
        <f t="shared" si="6"/>
        <v>65.05166666666666</v>
      </c>
      <c r="AD102" s="100">
        <f t="shared" si="6"/>
        <v>-62.538333333333334</v>
      </c>
      <c r="AE102" s="100">
        <f t="shared" si="6"/>
        <v>-60.663333333333334</v>
      </c>
      <c r="AF102" s="100">
        <f t="shared" si="6"/>
        <v>-48.055</v>
      </c>
      <c r="AG102" s="100">
        <f t="shared" si="6"/>
        <v>-22.294999999999998</v>
      </c>
      <c r="AH102" s="100">
        <f t="shared" si="6"/>
        <v>-22.30333333333333</v>
      </c>
      <c r="AI102" s="100">
        <f t="shared" si="6"/>
        <v>25.253333333333334</v>
      </c>
      <c r="AJ102" s="100">
        <f t="shared" si="6"/>
        <v>53.388333333333335</v>
      </c>
    </row>
    <row r="103" spans="1:36" ht="12.75">
      <c r="A103" t="s">
        <v>171</v>
      </c>
      <c r="B103" s="100">
        <f t="shared" si="2"/>
        <v>-46.035000000000004</v>
      </c>
      <c r="C103" s="100">
        <f t="shared" si="2"/>
        <v>-43.975</v>
      </c>
      <c r="D103" s="100">
        <f t="shared" si="2"/>
        <v>-29.25</v>
      </c>
      <c r="E103" s="100">
        <f t="shared" si="2"/>
        <v>-9.415000000000001</v>
      </c>
      <c r="F103" s="100">
        <f t="shared" si="2"/>
        <v>-14.135</v>
      </c>
      <c r="G103" s="100">
        <f t="shared" si="2"/>
        <v>36.05</v>
      </c>
      <c r="H103" s="100">
        <f t="shared" si="2"/>
        <v>65.11</v>
      </c>
      <c r="I103" s="100">
        <f t="shared" si="2"/>
        <v>-41.47</v>
      </c>
      <c r="J103" s="100">
        <f t="shared" si="2"/>
        <v>-27.25</v>
      </c>
      <c r="K103" s="100">
        <f t="shared" si="2"/>
        <v>-13.809999999999999</v>
      </c>
      <c r="L103" s="100">
        <f t="shared" si="2"/>
        <v>8.59</v>
      </c>
      <c r="M103" s="100">
        <f t="shared" si="2"/>
        <v>7.385</v>
      </c>
      <c r="N103" s="100">
        <f t="shared" si="2"/>
        <v>48.92</v>
      </c>
      <c r="O103" s="100">
        <f t="shared" si="2"/>
        <v>82.17</v>
      </c>
      <c r="P103" s="100">
        <f t="shared" si="2"/>
        <v>-21.34</v>
      </c>
      <c r="Q103" s="100">
        <f t="shared" si="2"/>
        <v>-17.285</v>
      </c>
      <c r="R103" s="100">
        <f aca="true" t="shared" si="7" ref="R103:AJ103">+(R12+R30+R49+R66+R84)/5</f>
        <v>-3.595</v>
      </c>
      <c r="S103" s="100">
        <f t="shared" si="7"/>
        <v>15.74</v>
      </c>
      <c r="T103" s="100">
        <f t="shared" si="7"/>
        <v>13.52</v>
      </c>
      <c r="U103" s="100">
        <f t="shared" si="7"/>
        <v>55.55499999999999</v>
      </c>
      <c r="V103" s="100">
        <f t="shared" si="7"/>
        <v>91.815</v>
      </c>
      <c r="W103" s="100">
        <f t="shared" si="7"/>
        <v>-56.4</v>
      </c>
      <c r="X103" s="100">
        <f t="shared" si="7"/>
        <v>-51.385000000000005</v>
      </c>
      <c r="Y103" s="100">
        <f t="shared" si="7"/>
        <v>-39.905</v>
      </c>
      <c r="Z103" s="100">
        <f t="shared" si="7"/>
        <v>-16.915</v>
      </c>
      <c r="AA103" s="100">
        <f t="shared" si="7"/>
        <v>-11.7</v>
      </c>
      <c r="AB103" s="100">
        <f t="shared" si="7"/>
        <v>31.18</v>
      </c>
      <c r="AC103" s="100">
        <f t="shared" si="7"/>
        <v>64.205</v>
      </c>
      <c r="AD103" s="100">
        <f t="shared" si="7"/>
        <v>-67.86</v>
      </c>
      <c r="AE103" s="100">
        <f t="shared" si="7"/>
        <v>-65.89500000000001</v>
      </c>
      <c r="AF103" s="100">
        <f t="shared" si="7"/>
        <v>-51.975</v>
      </c>
      <c r="AG103" s="100">
        <f t="shared" si="7"/>
        <v>-30.72</v>
      </c>
      <c r="AH103" s="100">
        <f t="shared" si="7"/>
        <v>-16.119999999999997</v>
      </c>
      <c r="AI103" s="100">
        <f t="shared" si="7"/>
        <v>25.15</v>
      </c>
      <c r="AJ103" s="100">
        <f t="shared" si="7"/>
        <v>50.4</v>
      </c>
    </row>
    <row r="104" spans="1:36" ht="12.75">
      <c r="A104" t="s">
        <v>172</v>
      </c>
      <c r="B104" s="100">
        <f t="shared" si="2"/>
        <v>-59.95</v>
      </c>
      <c r="C104" s="100">
        <f t="shared" si="2"/>
        <v>-56.35</v>
      </c>
      <c r="D104" s="100">
        <f t="shared" si="2"/>
        <v>-40.88</v>
      </c>
      <c r="E104" s="100">
        <f t="shared" si="2"/>
        <v>-10.07</v>
      </c>
      <c r="F104" s="100">
        <f t="shared" si="2"/>
        <v>-12.295</v>
      </c>
      <c r="G104" s="100">
        <f t="shared" si="2"/>
        <v>39.760000000000005</v>
      </c>
      <c r="H104" s="100">
        <f t="shared" si="2"/>
        <v>73.14</v>
      </c>
      <c r="I104" s="100">
        <f t="shared" si="2"/>
        <v>-59.80499999999999</v>
      </c>
      <c r="J104" s="100">
        <f t="shared" si="2"/>
        <v>-42.655</v>
      </c>
      <c r="K104" s="100">
        <f t="shared" si="2"/>
        <v>-30.075</v>
      </c>
      <c r="L104" s="100">
        <f t="shared" si="2"/>
        <v>0.020000000000000285</v>
      </c>
      <c r="M104" s="100">
        <f t="shared" si="2"/>
        <v>-1.8749999999999996</v>
      </c>
      <c r="N104" s="100">
        <f t="shared" si="2"/>
        <v>45.875</v>
      </c>
      <c r="O104" s="100">
        <f t="shared" si="2"/>
        <v>77.41</v>
      </c>
      <c r="P104" s="100">
        <f t="shared" si="2"/>
        <v>-41.835</v>
      </c>
      <c r="Q104" s="100">
        <f t="shared" si="2"/>
        <v>-35.644999999999996</v>
      </c>
      <c r="R104" s="100">
        <f aca="true" t="shared" si="8" ref="R104:AJ104">+(R13+R31+R50+R67+R85)/5</f>
        <v>-20.05</v>
      </c>
      <c r="S104" s="100">
        <f t="shared" si="8"/>
        <v>6.275</v>
      </c>
      <c r="T104" s="100">
        <f t="shared" si="8"/>
        <v>6.95</v>
      </c>
      <c r="U104" s="100">
        <f t="shared" si="8"/>
        <v>49.89</v>
      </c>
      <c r="V104" s="100">
        <f t="shared" si="8"/>
        <v>88.55999999999999</v>
      </c>
      <c r="W104" s="100">
        <f t="shared" si="8"/>
        <v>-72.13</v>
      </c>
      <c r="X104" s="100">
        <f t="shared" si="8"/>
        <v>-67.41</v>
      </c>
      <c r="Y104" s="100">
        <f t="shared" si="8"/>
        <v>-55.45</v>
      </c>
      <c r="Z104" s="100">
        <f t="shared" si="8"/>
        <v>-27.375</v>
      </c>
      <c r="AA104" s="100">
        <f t="shared" si="8"/>
        <v>-22.855</v>
      </c>
      <c r="AB104" s="100">
        <f t="shared" si="8"/>
        <v>26.805</v>
      </c>
      <c r="AC104" s="100">
        <f t="shared" si="8"/>
        <v>56.825</v>
      </c>
      <c r="AD104" s="100">
        <f t="shared" si="8"/>
        <v>-82.525</v>
      </c>
      <c r="AE104" s="100">
        <f t="shared" si="8"/>
        <v>-78.89500000000001</v>
      </c>
      <c r="AF104" s="100">
        <f t="shared" si="8"/>
        <v>-64.925</v>
      </c>
      <c r="AG104" s="100">
        <f t="shared" si="8"/>
        <v>-34.4</v>
      </c>
      <c r="AH104" s="100">
        <f t="shared" si="8"/>
        <v>-24.665</v>
      </c>
      <c r="AI104" s="100">
        <f t="shared" si="8"/>
        <v>20.47</v>
      </c>
      <c r="AJ104" s="100">
        <f t="shared" si="8"/>
        <v>48.269999999999996</v>
      </c>
    </row>
    <row r="105" spans="1:36" ht="12.75">
      <c r="A105" t="s">
        <v>173</v>
      </c>
      <c r="B105" s="100">
        <f t="shared" si="2"/>
        <v>-69.7975</v>
      </c>
      <c r="C105" s="100">
        <f t="shared" si="2"/>
        <v>-65.74249999999999</v>
      </c>
      <c r="D105" s="100">
        <f t="shared" si="2"/>
        <v>-53.2275</v>
      </c>
      <c r="E105" s="100">
        <f t="shared" si="2"/>
        <v>-25.6675</v>
      </c>
      <c r="F105" s="100">
        <f t="shared" si="2"/>
        <v>-37.1375</v>
      </c>
      <c r="G105" s="100">
        <f t="shared" si="2"/>
        <v>8.102500000000001</v>
      </c>
      <c r="H105" s="100">
        <f t="shared" si="2"/>
        <v>37.677499999999995</v>
      </c>
      <c r="I105" s="100">
        <f t="shared" si="2"/>
        <v>-68.795</v>
      </c>
      <c r="J105" s="100">
        <f t="shared" si="2"/>
        <v>-57.61749999999999</v>
      </c>
      <c r="K105" s="100">
        <f t="shared" si="2"/>
        <v>-44.2625</v>
      </c>
      <c r="L105" s="100">
        <f t="shared" si="2"/>
        <v>-14.8625</v>
      </c>
      <c r="M105" s="100">
        <f t="shared" si="2"/>
        <v>-23.927500000000002</v>
      </c>
      <c r="N105" s="100">
        <f t="shared" si="2"/>
        <v>23.267500000000002</v>
      </c>
      <c r="O105" s="100">
        <f t="shared" si="2"/>
        <v>52.4625</v>
      </c>
      <c r="P105" s="100">
        <f t="shared" si="2"/>
        <v>-55.322500000000005</v>
      </c>
      <c r="Q105" s="100">
        <f t="shared" si="2"/>
        <v>-48.6825</v>
      </c>
      <c r="R105" s="100">
        <f aca="true" t="shared" si="9" ref="R105:AJ105">+(R14+R32+R51+R68+R86)/5</f>
        <v>-34.177499999999995</v>
      </c>
      <c r="S105" s="100">
        <f t="shared" si="9"/>
        <v>-6.592499999999999</v>
      </c>
      <c r="T105" s="100">
        <f t="shared" si="9"/>
        <v>-18.1875</v>
      </c>
      <c r="U105" s="100">
        <f t="shared" si="9"/>
        <v>25.2125</v>
      </c>
      <c r="V105" s="100">
        <f t="shared" si="9"/>
        <v>58.402499999999996</v>
      </c>
      <c r="W105" s="100">
        <f t="shared" si="9"/>
        <v>-83.9675</v>
      </c>
      <c r="X105" s="100">
        <f t="shared" si="9"/>
        <v>-79.9475</v>
      </c>
      <c r="Y105" s="100">
        <f t="shared" si="9"/>
        <v>-65.1375</v>
      </c>
      <c r="Z105" s="100">
        <f t="shared" si="9"/>
        <v>-40.2375</v>
      </c>
      <c r="AA105" s="100">
        <f t="shared" si="9"/>
        <v>-46.7825</v>
      </c>
      <c r="AB105" s="100">
        <f t="shared" si="9"/>
        <v>0.32249999999999945</v>
      </c>
      <c r="AC105" s="100">
        <f t="shared" si="9"/>
        <v>32.8775</v>
      </c>
      <c r="AD105" s="100">
        <f t="shared" si="9"/>
        <v>-73.50280693815989</v>
      </c>
      <c r="AE105" s="100">
        <f t="shared" si="9"/>
        <v>-70.11605279034691</v>
      </c>
      <c r="AF105" s="100">
        <f t="shared" si="9"/>
        <v>-55.35060180995475</v>
      </c>
      <c r="AG105" s="100">
        <f t="shared" si="9"/>
        <v>-28.761556561085975</v>
      </c>
      <c r="AH105" s="100">
        <f t="shared" si="9"/>
        <v>-35.756957013574656</v>
      </c>
      <c r="AI105" s="100">
        <f t="shared" si="9"/>
        <v>10.976742835595777</v>
      </c>
      <c r="AJ105" s="100">
        <f t="shared" si="9"/>
        <v>41.1193604826546</v>
      </c>
    </row>
    <row r="106" spans="1:36" ht="12.75">
      <c r="A106" t="s">
        <v>143</v>
      </c>
      <c r="B106" s="100">
        <f t="shared" si="2"/>
        <v>-70.1275</v>
      </c>
      <c r="C106" s="100">
        <f t="shared" si="2"/>
        <v>-63.50750000000001</v>
      </c>
      <c r="D106" s="100">
        <f t="shared" si="2"/>
        <v>-51.2275</v>
      </c>
      <c r="E106" s="100">
        <f t="shared" si="2"/>
        <v>-25.1775</v>
      </c>
      <c r="F106" s="100">
        <f t="shared" si="2"/>
        <v>-42.1575</v>
      </c>
      <c r="G106" s="100">
        <f t="shared" si="2"/>
        <v>2.0574999999999988</v>
      </c>
      <c r="H106" s="100">
        <f t="shared" si="2"/>
        <v>29.6975</v>
      </c>
      <c r="I106" s="100">
        <f t="shared" si="2"/>
        <v>-61.395</v>
      </c>
      <c r="J106" s="100">
        <f t="shared" si="2"/>
        <v>-52.097500000000004</v>
      </c>
      <c r="K106" s="100">
        <f t="shared" si="2"/>
        <v>-39.427499999999995</v>
      </c>
      <c r="L106" s="100">
        <f t="shared" si="2"/>
        <v>-13.6875</v>
      </c>
      <c r="M106" s="100">
        <f t="shared" si="2"/>
        <v>-29.5325</v>
      </c>
      <c r="N106" s="100">
        <f t="shared" si="2"/>
        <v>16.1725</v>
      </c>
      <c r="O106" s="100">
        <f t="shared" si="2"/>
        <v>47.2575</v>
      </c>
      <c r="P106" s="100">
        <f t="shared" si="2"/>
        <v>-52.9175</v>
      </c>
      <c r="Q106" s="100">
        <f t="shared" si="2"/>
        <v>-44.4625</v>
      </c>
      <c r="R106" s="100">
        <f aca="true" t="shared" si="10" ref="R106:AJ106">+(R15+R33+R52+R69+R87)/5</f>
        <v>-30.192500000000003</v>
      </c>
      <c r="S106" s="100">
        <f t="shared" si="10"/>
        <v>-2.617500000000001</v>
      </c>
      <c r="T106" s="100">
        <f t="shared" si="10"/>
        <v>-19.7275</v>
      </c>
      <c r="U106" s="100">
        <f t="shared" si="10"/>
        <v>20.9025</v>
      </c>
      <c r="V106" s="100">
        <f t="shared" si="10"/>
        <v>55.8325</v>
      </c>
      <c r="W106" s="100">
        <f t="shared" si="10"/>
        <v>-79.79249999999999</v>
      </c>
      <c r="X106" s="100">
        <f t="shared" si="10"/>
        <v>-71.4975</v>
      </c>
      <c r="Y106" s="100">
        <f t="shared" si="10"/>
        <v>-59.6875</v>
      </c>
      <c r="Z106" s="100">
        <f t="shared" si="10"/>
        <v>-31.757500000000004</v>
      </c>
      <c r="AA106" s="100">
        <f t="shared" si="10"/>
        <v>-49.677499999999995</v>
      </c>
      <c r="AB106" s="100">
        <f t="shared" si="10"/>
        <v>-2.8074999999999988</v>
      </c>
      <c r="AC106" s="100">
        <f t="shared" si="10"/>
        <v>29.3225</v>
      </c>
      <c r="AD106" s="100">
        <f t="shared" si="10"/>
        <v>-73.50280693815989</v>
      </c>
      <c r="AE106" s="100">
        <f t="shared" si="10"/>
        <v>-70.11605279034691</v>
      </c>
      <c r="AF106" s="100">
        <f t="shared" si="10"/>
        <v>-55.35060180995475</v>
      </c>
      <c r="AG106" s="100">
        <f t="shared" si="10"/>
        <v>-28.761556561085975</v>
      </c>
      <c r="AH106" s="100">
        <f t="shared" si="10"/>
        <v>-35.756957013574656</v>
      </c>
      <c r="AI106" s="100">
        <f t="shared" si="10"/>
        <v>10.976742835595777</v>
      </c>
      <c r="AJ106" s="100">
        <f t="shared" si="10"/>
        <v>41.1193604826546</v>
      </c>
    </row>
    <row r="107" spans="1:36" ht="12.75">
      <c r="A107" t="s">
        <v>174</v>
      </c>
      <c r="B107" s="100">
        <f t="shared" si="2"/>
        <v>-60.595000000000006</v>
      </c>
      <c r="C107" s="100">
        <f t="shared" si="2"/>
        <v>-54.45</v>
      </c>
      <c r="D107" s="100">
        <f t="shared" si="2"/>
        <v>-35.010000000000005</v>
      </c>
      <c r="E107" s="100">
        <f t="shared" si="2"/>
        <v>-4.425000000000002</v>
      </c>
      <c r="F107" s="100">
        <f t="shared" si="2"/>
        <v>-27.797500000000003</v>
      </c>
      <c r="G107" s="100">
        <f t="shared" si="2"/>
        <v>12.6225</v>
      </c>
      <c r="H107" s="100">
        <f t="shared" si="2"/>
        <v>35.442499999999995</v>
      </c>
      <c r="I107" s="100">
        <f t="shared" si="2"/>
        <v>-45.160000000000004</v>
      </c>
      <c r="J107" s="100">
        <f t="shared" si="2"/>
        <v>-42.475</v>
      </c>
      <c r="K107" s="100">
        <f t="shared" si="2"/>
        <v>-27.075</v>
      </c>
      <c r="L107" s="100">
        <f t="shared" si="2"/>
        <v>2.455000000000001</v>
      </c>
      <c r="M107" s="100">
        <f t="shared" si="2"/>
        <v>-17.802500000000002</v>
      </c>
      <c r="N107" s="100">
        <f t="shared" si="2"/>
        <v>24.5925</v>
      </c>
      <c r="O107" s="100">
        <f t="shared" si="2"/>
        <v>56.727500000000006</v>
      </c>
      <c r="P107" s="100">
        <f t="shared" si="2"/>
        <v>-49.335</v>
      </c>
      <c r="Q107" s="100">
        <f t="shared" si="2"/>
        <v>-38.095000000000006</v>
      </c>
      <c r="R107" s="100">
        <f aca="true" t="shared" si="11" ref="R107:AJ107">+(R16+R34+R53+R70+R88)/5</f>
        <v>-17.465</v>
      </c>
      <c r="S107" s="100">
        <f t="shared" si="11"/>
        <v>14.1</v>
      </c>
      <c r="T107" s="100">
        <f t="shared" si="11"/>
        <v>-10.757500000000002</v>
      </c>
      <c r="U107" s="100">
        <f t="shared" si="11"/>
        <v>28.1375</v>
      </c>
      <c r="V107" s="100">
        <f t="shared" si="11"/>
        <v>66.08250000000001</v>
      </c>
      <c r="W107" s="100">
        <f t="shared" si="11"/>
        <v>-70.94</v>
      </c>
      <c r="X107" s="100">
        <f t="shared" si="11"/>
        <v>-63.870000000000005</v>
      </c>
      <c r="Y107" s="100">
        <f t="shared" si="11"/>
        <v>-47.215</v>
      </c>
      <c r="Z107" s="100">
        <f t="shared" si="11"/>
        <v>-19.439999999999998</v>
      </c>
      <c r="AA107" s="100">
        <f t="shared" si="11"/>
        <v>-38.1425</v>
      </c>
      <c r="AB107" s="100">
        <f t="shared" si="11"/>
        <v>6.2525</v>
      </c>
      <c r="AC107" s="100">
        <f t="shared" si="11"/>
        <v>42.2975</v>
      </c>
      <c r="AD107" s="100">
        <f t="shared" si="11"/>
        <v>-73.50280693815989</v>
      </c>
      <c r="AE107" s="100">
        <f t="shared" si="11"/>
        <v>-70.11605279034691</v>
      </c>
      <c r="AF107" s="100">
        <f t="shared" si="11"/>
        <v>-55.35060180995475</v>
      </c>
      <c r="AG107" s="100">
        <f t="shared" si="11"/>
        <v>-28.761556561085975</v>
      </c>
      <c r="AH107" s="100">
        <f t="shared" si="11"/>
        <v>-35.756957013574656</v>
      </c>
      <c r="AI107" s="100">
        <f t="shared" si="11"/>
        <v>10.976742835595777</v>
      </c>
      <c r="AJ107" s="100">
        <f t="shared" si="11"/>
        <v>41.1193604826546</v>
      </c>
    </row>
    <row r="108" spans="1:36" ht="12.75">
      <c r="A108" t="s">
        <v>175</v>
      </c>
      <c r="B108" s="100">
        <f t="shared" si="2"/>
        <v>-51.0225</v>
      </c>
      <c r="C108" s="100">
        <f t="shared" si="2"/>
        <v>-46.130833333333335</v>
      </c>
      <c r="D108" s="100">
        <f t="shared" si="2"/>
        <v>-26.439166666666665</v>
      </c>
      <c r="E108" s="100">
        <f t="shared" si="2"/>
        <v>8.0525</v>
      </c>
      <c r="F108" s="100">
        <f t="shared" si="2"/>
        <v>-20.7525</v>
      </c>
      <c r="G108" s="100">
        <f t="shared" si="2"/>
        <v>21.067500000000003</v>
      </c>
      <c r="H108" s="100">
        <f t="shared" si="2"/>
        <v>53.04416666666667</v>
      </c>
      <c r="I108" s="100">
        <f t="shared" si="2"/>
        <v>-44.57833333333333</v>
      </c>
      <c r="J108" s="100">
        <f t="shared" si="2"/>
        <v>-36.9425</v>
      </c>
      <c r="K108" s="100">
        <f t="shared" si="2"/>
        <v>-16.524166666666666</v>
      </c>
      <c r="L108" s="100">
        <f t="shared" si="2"/>
        <v>16.660833333333336</v>
      </c>
      <c r="M108" s="100">
        <f t="shared" si="2"/>
        <v>-9.985833333333336</v>
      </c>
      <c r="N108" s="100">
        <f t="shared" si="2"/>
        <v>34.399166666666666</v>
      </c>
      <c r="O108" s="100">
        <f t="shared" si="2"/>
        <v>67.14750000000001</v>
      </c>
      <c r="P108" s="100">
        <f t="shared" si="2"/>
        <v>-40.4425</v>
      </c>
      <c r="Q108" s="100">
        <f t="shared" si="2"/>
        <v>-33.31583333333333</v>
      </c>
      <c r="R108" s="100">
        <f aca="true" t="shared" si="12" ref="R108:AJ108">+(R17+R35+R54+R71+R89)/5</f>
        <v>-12.5375</v>
      </c>
      <c r="S108" s="100">
        <f t="shared" si="12"/>
        <v>21.850833333333334</v>
      </c>
      <c r="T108" s="100">
        <f t="shared" si="12"/>
        <v>-5.299166666666666</v>
      </c>
      <c r="U108" s="100">
        <f t="shared" si="12"/>
        <v>36.51583333333333</v>
      </c>
      <c r="V108" s="100">
        <f t="shared" si="12"/>
        <v>77.96583333333334</v>
      </c>
      <c r="W108" s="100">
        <f t="shared" si="12"/>
        <v>-62.19583333333334</v>
      </c>
      <c r="X108" s="100">
        <f t="shared" si="12"/>
        <v>-55.454166666666666</v>
      </c>
      <c r="Y108" s="100">
        <f t="shared" si="12"/>
        <v>-36.69416666666667</v>
      </c>
      <c r="Z108" s="100">
        <f t="shared" si="12"/>
        <v>-2.3474999999999993</v>
      </c>
      <c r="AA108" s="100">
        <f t="shared" si="12"/>
        <v>-30.669166666666666</v>
      </c>
      <c r="AB108" s="100">
        <f t="shared" si="12"/>
        <v>15.349166666666667</v>
      </c>
      <c r="AC108" s="100">
        <f t="shared" si="12"/>
        <v>52.54083333333333</v>
      </c>
      <c r="AD108" s="100">
        <f t="shared" si="12"/>
        <v>-73.50280693815989</v>
      </c>
      <c r="AE108" s="100">
        <f t="shared" si="12"/>
        <v>-70.11605279034691</v>
      </c>
      <c r="AF108" s="100">
        <f t="shared" si="12"/>
        <v>-55.35060180995475</v>
      </c>
      <c r="AG108" s="100">
        <f t="shared" si="12"/>
        <v>-28.761556561085975</v>
      </c>
      <c r="AH108" s="100">
        <f t="shared" si="12"/>
        <v>-35.756957013574656</v>
      </c>
      <c r="AI108" s="100">
        <f t="shared" si="12"/>
        <v>10.976742835595777</v>
      </c>
      <c r="AJ108" s="100">
        <f t="shared" si="12"/>
        <v>41.1193604826546</v>
      </c>
    </row>
    <row r="109" spans="1:36" ht="12.75">
      <c r="A109" t="s">
        <v>176</v>
      </c>
      <c r="B109" s="100">
        <f t="shared" si="2"/>
        <v>-52.0625</v>
      </c>
      <c r="C109" s="100">
        <f t="shared" si="2"/>
        <v>-47.8425</v>
      </c>
      <c r="D109" s="100">
        <f t="shared" si="2"/>
        <v>-29.7875</v>
      </c>
      <c r="E109" s="100">
        <f t="shared" si="2"/>
        <v>3.2625</v>
      </c>
      <c r="F109" s="100">
        <f t="shared" si="2"/>
        <v>-23.1525</v>
      </c>
      <c r="G109" s="100">
        <f t="shared" si="2"/>
        <v>22.8725</v>
      </c>
      <c r="H109" s="100">
        <f t="shared" si="2"/>
        <v>54.072500000000005</v>
      </c>
      <c r="I109" s="100">
        <f t="shared" si="2"/>
        <v>-39.21</v>
      </c>
      <c r="J109" s="100">
        <f t="shared" si="2"/>
        <v>-40.942499999999995</v>
      </c>
      <c r="K109" s="100">
        <f t="shared" si="2"/>
        <v>-20.4375</v>
      </c>
      <c r="L109" s="100">
        <f t="shared" si="2"/>
        <v>10.9825</v>
      </c>
      <c r="M109" s="100">
        <f t="shared" si="2"/>
        <v>-12.0425</v>
      </c>
      <c r="N109" s="100">
        <f t="shared" si="2"/>
        <v>34.50750000000001</v>
      </c>
      <c r="O109" s="100">
        <f t="shared" si="2"/>
        <v>66.79249999999999</v>
      </c>
      <c r="P109" s="100">
        <f t="shared" si="2"/>
        <v>-42.6575</v>
      </c>
      <c r="Q109" s="100">
        <f t="shared" si="2"/>
        <v>-38.6825</v>
      </c>
      <c r="R109" s="100">
        <f aca="true" t="shared" si="13" ref="R109:AJ109">+(R18+R36+R55+R72+R90)/5</f>
        <v>-17.7475</v>
      </c>
      <c r="S109" s="100">
        <f t="shared" si="13"/>
        <v>12.9625</v>
      </c>
      <c r="T109" s="100">
        <f t="shared" si="13"/>
        <v>-10.4425</v>
      </c>
      <c r="U109" s="100">
        <f t="shared" si="13"/>
        <v>32.0125</v>
      </c>
      <c r="V109" s="100">
        <f t="shared" si="13"/>
        <v>70.8425</v>
      </c>
      <c r="W109" s="100">
        <f t="shared" si="13"/>
        <v>-67.7825</v>
      </c>
      <c r="X109" s="100">
        <f t="shared" si="13"/>
        <v>-61.2625</v>
      </c>
      <c r="Y109" s="100">
        <f t="shared" si="13"/>
        <v>-45.5875</v>
      </c>
      <c r="Z109" s="100">
        <f t="shared" si="13"/>
        <v>-12.492500000000003</v>
      </c>
      <c r="AA109" s="100">
        <f t="shared" si="13"/>
        <v>-28.202499999999997</v>
      </c>
      <c r="AB109" s="100">
        <f t="shared" si="13"/>
        <v>14.007499999999999</v>
      </c>
      <c r="AC109" s="100">
        <f t="shared" si="13"/>
        <v>25.1725</v>
      </c>
      <c r="AD109" s="100">
        <f t="shared" si="13"/>
        <v>-80.91576923076923</v>
      </c>
      <c r="AE109" s="100">
        <f t="shared" si="13"/>
        <v>-76.47961538461539</v>
      </c>
      <c r="AF109" s="100">
        <f t="shared" si="13"/>
        <v>-58.04730769230768</v>
      </c>
      <c r="AG109" s="100">
        <f t="shared" si="13"/>
        <v>-22.018076923076922</v>
      </c>
      <c r="AH109" s="100">
        <f t="shared" si="13"/>
        <v>-41.048872549019606</v>
      </c>
      <c r="AI109" s="100">
        <f t="shared" si="13"/>
        <v>4.921813725490196</v>
      </c>
      <c r="AJ109" s="100">
        <f t="shared" si="13"/>
        <v>39.955769230769235</v>
      </c>
    </row>
    <row r="110" spans="3:29" ht="12.75">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row>
  </sheetData>
  <sheetProtection sheet="1" objects="1" scenarios="1"/>
  <mergeCells count="90">
    <mergeCell ref="B96:H96"/>
    <mergeCell ref="I96:O96"/>
    <mergeCell ref="P96:V96"/>
    <mergeCell ref="W96:AC96"/>
    <mergeCell ref="P95:S95"/>
    <mergeCell ref="T95:V95"/>
    <mergeCell ref="W95:Z95"/>
    <mergeCell ref="AA95:AC95"/>
    <mergeCell ref="B95:E95"/>
    <mergeCell ref="F95:H95"/>
    <mergeCell ref="I95:L95"/>
    <mergeCell ref="M95:O95"/>
    <mergeCell ref="B77:H77"/>
    <mergeCell ref="I77:O77"/>
    <mergeCell ref="P77:V77"/>
    <mergeCell ref="W77:AC77"/>
    <mergeCell ref="P76:S76"/>
    <mergeCell ref="T76:V76"/>
    <mergeCell ref="W76:Z76"/>
    <mergeCell ref="AA76:AC76"/>
    <mergeCell ref="B76:E76"/>
    <mergeCell ref="F76:H76"/>
    <mergeCell ref="I76:L76"/>
    <mergeCell ref="M76:O76"/>
    <mergeCell ref="B59:H59"/>
    <mergeCell ref="I59:O59"/>
    <mergeCell ref="P59:V59"/>
    <mergeCell ref="W59:AC59"/>
    <mergeCell ref="P58:S58"/>
    <mergeCell ref="T58:V58"/>
    <mergeCell ref="W58:Z58"/>
    <mergeCell ref="AA58:AC58"/>
    <mergeCell ref="B58:E58"/>
    <mergeCell ref="F58:H58"/>
    <mergeCell ref="I58:L58"/>
    <mergeCell ref="M58:O58"/>
    <mergeCell ref="B42:H42"/>
    <mergeCell ref="I42:O42"/>
    <mergeCell ref="P42:V42"/>
    <mergeCell ref="W42:AC42"/>
    <mergeCell ref="P41:S41"/>
    <mergeCell ref="T41:V41"/>
    <mergeCell ref="W41:Z41"/>
    <mergeCell ref="AA41:AC41"/>
    <mergeCell ref="B41:E41"/>
    <mergeCell ref="F41:H41"/>
    <mergeCell ref="I41:L41"/>
    <mergeCell ref="M41:O41"/>
    <mergeCell ref="B23:H23"/>
    <mergeCell ref="I23:O23"/>
    <mergeCell ref="P23:V23"/>
    <mergeCell ref="W23:AC23"/>
    <mergeCell ref="P22:S22"/>
    <mergeCell ref="T22:V22"/>
    <mergeCell ref="W22:Z22"/>
    <mergeCell ref="AA22:AC22"/>
    <mergeCell ref="B22:E22"/>
    <mergeCell ref="F22:H22"/>
    <mergeCell ref="I22:L22"/>
    <mergeCell ref="M22:O22"/>
    <mergeCell ref="M4:O4"/>
    <mergeCell ref="I4:L4"/>
    <mergeCell ref="F4:H4"/>
    <mergeCell ref="B4:E4"/>
    <mergeCell ref="AA4:AC4"/>
    <mergeCell ref="W4:Z4"/>
    <mergeCell ref="T4:V4"/>
    <mergeCell ref="P4:S4"/>
    <mergeCell ref="B5:H5"/>
    <mergeCell ref="I5:O5"/>
    <mergeCell ref="P5:V5"/>
    <mergeCell ref="W5:AC5"/>
    <mergeCell ref="AD5:AJ5"/>
    <mergeCell ref="AD4:AG4"/>
    <mergeCell ref="AH4:AJ4"/>
    <mergeCell ref="AD22:AG22"/>
    <mergeCell ref="AH22:AJ22"/>
    <mergeCell ref="AD23:AJ23"/>
    <mergeCell ref="AD41:AG41"/>
    <mergeCell ref="AH41:AJ41"/>
    <mergeCell ref="AD42:AJ42"/>
    <mergeCell ref="AD58:AG58"/>
    <mergeCell ref="AH58:AJ58"/>
    <mergeCell ref="AD59:AJ59"/>
    <mergeCell ref="AD76:AG76"/>
    <mergeCell ref="AH76:AJ76"/>
    <mergeCell ref="AD77:AJ77"/>
    <mergeCell ref="AD95:AG95"/>
    <mergeCell ref="AH95:AJ95"/>
    <mergeCell ref="AD96:AJ96"/>
  </mergeCells>
  <printOptions horizontalCentered="1"/>
  <pageMargins left="0.75" right="0.75" top="1" bottom="1" header="0.5" footer="0.5"/>
  <pageSetup fitToHeight="1" fitToWidth="1" orientation="portrait" scale="94" r:id="rId1"/>
</worksheet>
</file>

<file path=xl/worksheets/sheet9.xml><?xml version="1.0" encoding="utf-8"?>
<worksheet xmlns="http://schemas.openxmlformats.org/spreadsheetml/2006/main" xmlns:r="http://schemas.openxmlformats.org/officeDocument/2006/relationships">
  <dimension ref="A2:AH302"/>
  <sheetViews>
    <sheetView zoomScale="80" zoomScaleNormal="80" workbookViewId="0" topLeftCell="A1">
      <selection activeCell="A1" sqref="A1"/>
    </sheetView>
  </sheetViews>
  <sheetFormatPr defaultColWidth="9.140625" defaultRowHeight="12.75"/>
  <cols>
    <col min="1" max="1" width="12.7109375" style="0" customWidth="1"/>
    <col min="11" max="11" width="12.7109375" style="0" customWidth="1"/>
  </cols>
  <sheetData>
    <row r="2" spans="3:34" ht="12.75">
      <c r="C2" t="s">
        <v>164</v>
      </c>
      <c r="W2" s="46" t="s">
        <v>145</v>
      </c>
      <c r="X2" s="46" t="s">
        <v>145</v>
      </c>
      <c r="Y2" s="46" t="s">
        <v>145</v>
      </c>
      <c r="Z2" s="46" t="s">
        <v>145</v>
      </c>
      <c r="AA2" s="46" t="s">
        <v>145</v>
      </c>
      <c r="AB2" s="46" t="s">
        <v>145</v>
      </c>
      <c r="AC2" s="46" t="s">
        <v>145</v>
      </c>
      <c r="AD2" s="46" t="s">
        <v>145</v>
      </c>
      <c r="AE2" s="46" t="s">
        <v>145</v>
      </c>
      <c r="AF2" s="46" t="s">
        <v>145</v>
      </c>
      <c r="AG2" s="46" t="s">
        <v>145</v>
      </c>
      <c r="AH2" s="46" t="s">
        <v>145</v>
      </c>
    </row>
    <row r="3" spans="3:34" ht="15">
      <c r="C3" t="s">
        <v>165</v>
      </c>
      <c r="W3" s="91" t="s">
        <v>153</v>
      </c>
      <c r="X3" s="90" t="s">
        <v>154</v>
      </c>
      <c r="Y3" s="90" t="s">
        <v>155</v>
      </c>
      <c r="Z3" s="90" t="s">
        <v>156</v>
      </c>
      <c r="AA3" s="90" t="s">
        <v>157</v>
      </c>
      <c r="AB3" s="90" t="s">
        <v>158</v>
      </c>
      <c r="AC3" s="90" t="s">
        <v>159</v>
      </c>
      <c r="AD3" s="90" t="s">
        <v>0</v>
      </c>
      <c r="AE3" s="90" t="s">
        <v>160</v>
      </c>
      <c r="AF3" s="90" t="s">
        <v>161</v>
      </c>
      <c r="AG3" s="90" t="s">
        <v>162</v>
      </c>
      <c r="AH3" s="90" t="s">
        <v>163</v>
      </c>
    </row>
    <row r="4" ht="15">
      <c r="AB4" s="61"/>
    </row>
    <row r="5" spans="12:28" ht="15">
      <c r="L5" s="61"/>
      <c r="M5" s="61"/>
      <c r="N5" s="61"/>
      <c r="O5" s="61"/>
      <c r="P5" s="61"/>
      <c r="Q5" s="61"/>
      <c r="R5" s="61"/>
      <c r="S5" s="61"/>
      <c r="AB5" s="61"/>
    </row>
    <row r="6" spans="2:29" ht="15.75">
      <c r="B6" s="62"/>
      <c r="C6" s="63" t="s">
        <v>144</v>
      </c>
      <c r="D6" s="64"/>
      <c r="E6" s="64"/>
      <c r="F6" s="64"/>
      <c r="G6" s="64"/>
      <c r="H6" s="64"/>
      <c r="I6" s="65"/>
      <c r="W6" t="s">
        <v>146</v>
      </c>
      <c r="X6" s="83" t="s">
        <v>147</v>
      </c>
      <c r="Y6" s="83" t="s">
        <v>148</v>
      </c>
      <c r="Z6" s="83" t="s">
        <v>149</v>
      </c>
      <c r="AA6" s="83" t="s">
        <v>150</v>
      </c>
      <c r="AB6" s="84" t="s">
        <v>151</v>
      </c>
      <c r="AC6" s="84" t="s">
        <v>152</v>
      </c>
    </row>
    <row r="7" spans="2:29" ht="15.75">
      <c r="B7" s="66"/>
      <c r="C7" s="67"/>
      <c r="D7" s="68"/>
      <c r="E7" s="68"/>
      <c r="F7" s="68"/>
      <c r="G7" s="68"/>
      <c r="H7" s="68"/>
      <c r="I7" s="69"/>
      <c r="L7" s="70" t="s">
        <v>166</v>
      </c>
      <c r="M7" s="70"/>
      <c r="N7" s="70"/>
      <c r="O7" s="70"/>
      <c r="P7" s="70"/>
      <c r="Q7" s="70"/>
      <c r="R7" s="70"/>
      <c r="W7" t="s">
        <v>180</v>
      </c>
      <c r="X7" t="s">
        <v>180</v>
      </c>
      <c r="Y7" t="s">
        <v>180</v>
      </c>
      <c r="Z7" t="s">
        <v>180</v>
      </c>
      <c r="AA7" t="s">
        <v>180</v>
      </c>
      <c r="AB7" t="s">
        <v>180</v>
      </c>
      <c r="AC7" t="s">
        <v>180</v>
      </c>
    </row>
    <row r="8" spans="2:28" ht="15">
      <c r="B8" s="71"/>
      <c r="C8" s="72" t="s">
        <v>181</v>
      </c>
      <c r="D8" s="73"/>
      <c r="E8" s="73"/>
      <c r="F8" s="74"/>
      <c r="G8" s="72" t="s">
        <v>182</v>
      </c>
      <c r="H8" s="75"/>
      <c r="I8" s="76"/>
      <c r="L8" s="96" t="s">
        <v>181</v>
      </c>
      <c r="M8" s="97"/>
      <c r="N8" s="97"/>
      <c r="O8" s="97"/>
      <c r="P8" s="97" t="s">
        <v>182</v>
      </c>
      <c r="Q8" s="98"/>
      <c r="R8" s="99"/>
      <c r="AB8" s="61"/>
    </row>
    <row r="9" spans="2:28" ht="15.75">
      <c r="B9" s="71"/>
      <c r="C9" s="77"/>
      <c r="D9" s="78"/>
      <c r="E9" s="78"/>
      <c r="F9" s="79"/>
      <c r="G9" s="78"/>
      <c r="H9" s="80"/>
      <c r="I9" s="81"/>
      <c r="L9" s="248" t="s">
        <v>183</v>
      </c>
      <c r="M9" s="249"/>
      <c r="N9" s="249"/>
      <c r="O9" s="249"/>
      <c r="P9" s="249" t="s">
        <v>183</v>
      </c>
      <c r="Q9" s="249"/>
      <c r="R9" s="250"/>
      <c r="AB9" s="61"/>
    </row>
    <row r="10" spans="2:28" ht="15">
      <c r="B10" s="82" t="s">
        <v>145</v>
      </c>
      <c r="C10" s="83" t="s">
        <v>146</v>
      </c>
      <c r="D10" s="83" t="s">
        <v>147</v>
      </c>
      <c r="E10" s="83" t="s">
        <v>148</v>
      </c>
      <c r="F10" s="83" t="s">
        <v>149</v>
      </c>
      <c r="G10" s="83" t="s">
        <v>150</v>
      </c>
      <c r="H10" s="84" t="s">
        <v>151</v>
      </c>
      <c r="I10" s="84" t="s">
        <v>152</v>
      </c>
      <c r="L10" s="83" t="s">
        <v>146</v>
      </c>
      <c r="M10" s="83" t="s">
        <v>147</v>
      </c>
      <c r="N10" s="83" t="s">
        <v>148</v>
      </c>
      <c r="O10" s="92" t="s">
        <v>149</v>
      </c>
      <c r="P10" s="93" t="s">
        <v>150</v>
      </c>
      <c r="Q10" s="84" t="s">
        <v>151</v>
      </c>
      <c r="R10" s="84" t="s">
        <v>152</v>
      </c>
      <c r="AB10" s="61"/>
    </row>
    <row r="11" spans="1:18" ht="15">
      <c r="A11" s="85">
        <v>1973</v>
      </c>
      <c r="B11" s="110" t="s">
        <v>153</v>
      </c>
      <c r="C11" s="111">
        <v>22.477272727272727</v>
      </c>
      <c r="D11" s="112"/>
      <c r="E11" s="111">
        <v>22.714285714285715</v>
      </c>
      <c r="F11" s="111">
        <v>27.175</v>
      </c>
      <c r="G11" s="111">
        <v>43.0125</v>
      </c>
      <c r="H11" s="111">
        <v>43.425</v>
      </c>
      <c r="I11" s="111">
        <v>45.75</v>
      </c>
      <c r="J11" s="86"/>
      <c r="K11" s="87" t="s">
        <v>167</v>
      </c>
      <c r="L11" s="88">
        <f>DAVERAGE($B$10:$I$298,2,$W$2:$W$3)</f>
        <v>43.839185219542365</v>
      </c>
      <c r="M11" s="88">
        <f>DAVERAGE($B$10:$I$298,3,$W$2:$W$3)</f>
        <v>44.40737963193107</v>
      </c>
      <c r="N11" s="88">
        <f>DAVERAGE($B$10:$I$298,4,$W$2:$W$3)</f>
        <v>51.50723312728463</v>
      </c>
      <c r="O11" s="94">
        <f>DAVERAGE($B$10:$I$298,5,$W$2:$W$3)</f>
        <v>65.0176571616789</v>
      </c>
      <c r="P11" s="95">
        <f>DAVERAGE($B$10:$I$298,6,$W$2:$W$3)</f>
        <v>62.430667181788465</v>
      </c>
      <c r="Q11" s="88">
        <f>DAVERAGE($B$10:$I$298,7,$W$2:$W$3)</f>
        <v>82.1565477379219</v>
      </c>
      <c r="R11" s="88">
        <f>DAVERAGE($B$10:$I$298,8,$W$2:$W$3)</f>
        <v>96.09247129186603</v>
      </c>
    </row>
    <row r="12" spans="1:18" ht="15">
      <c r="A12">
        <v>1973</v>
      </c>
      <c r="B12" s="110" t="s">
        <v>154</v>
      </c>
      <c r="C12" s="112"/>
      <c r="D12" s="111">
        <v>17.5</v>
      </c>
      <c r="E12" s="111">
        <v>23.444444444444443</v>
      </c>
      <c r="F12" s="111">
        <v>29.8</v>
      </c>
      <c r="G12" s="111">
        <v>39.31944444444444</v>
      </c>
      <c r="H12" s="111">
        <v>40.43055555555556</v>
      </c>
      <c r="I12" s="111">
        <v>52.25</v>
      </c>
      <c r="J12" s="86"/>
      <c r="K12" s="87" t="s">
        <v>168</v>
      </c>
      <c r="L12" s="88">
        <f>DAVERAGE($B$10:$I$298,2,$X$2:$X$3)</f>
        <v>37.489738669590615</v>
      </c>
      <c r="M12" s="88">
        <f>DAVERAGE($B$10:$I$298,3,$X$2:$X$3)</f>
        <v>45.09027777777777</v>
      </c>
      <c r="N12" s="88">
        <f>DAVERAGE($B$10:$I$298,4,$X$2:$X$3)</f>
        <v>53.734793146059594</v>
      </c>
      <c r="O12" s="94">
        <f>DAVERAGE($B$10:$I$298,5,$X$2:$X$3)</f>
        <v>66.03272547688665</v>
      </c>
      <c r="P12" s="95">
        <f>DAVERAGE($B$10:$I$298,6,$X$2:$X$3)</f>
        <v>63.14082543005241</v>
      </c>
      <c r="Q12" s="88">
        <f>DAVERAGE($B$10:$I$298,7,$X$2:$X$3)</f>
        <v>82.4699280160629</v>
      </c>
      <c r="R12" s="88">
        <f>DAVERAGE($B$10:$I$298,8,$X$2:$X$3)</f>
        <v>95.43425115028735</v>
      </c>
    </row>
    <row r="13" spans="1:18" ht="15">
      <c r="A13">
        <v>1973</v>
      </c>
      <c r="B13" s="110" t="s">
        <v>155</v>
      </c>
      <c r="C13" s="112"/>
      <c r="D13" s="112"/>
      <c r="E13" s="111">
        <v>41.32954545454545</v>
      </c>
      <c r="F13" s="111">
        <v>45.14772727272727</v>
      </c>
      <c r="G13" s="111">
        <v>45.392857142857146</v>
      </c>
      <c r="H13" s="111">
        <v>46.76136363636363</v>
      </c>
      <c r="I13" s="111">
        <v>51.03125</v>
      </c>
      <c r="J13" s="86"/>
      <c r="K13" s="87" t="s">
        <v>169</v>
      </c>
      <c r="L13" s="88">
        <f>DAVERAGE($B$10:$I$298,2,Y2:Y3)</f>
        <v>40.722210034072575</v>
      </c>
      <c r="M13" s="88">
        <f>DAVERAGE($B$10:$I$298,3,$Y$2:$Y$3)</f>
        <v>49.77033879502024</v>
      </c>
      <c r="N13" s="88">
        <f>DAVERAGE($B$10:$I$298,4,$Y$2:$Y$3)</f>
        <v>58.52792465553416</v>
      </c>
      <c r="O13" s="94">
        <f>DAVERAGE($B$10:$I$298,5,$Y$2:$Y$3)</f>
        <v>71.49402263171929</v>
      </c>
      <c r="P13" s="95">
        <f>DAVERAGE($B$10:$I$298,6,$Y$2:$Y$3)</f>
        <v>66.99292121835386</v>
      </c>
      <c r="Q13" s="88">
        <f>DAVERAGE($B$10:$I$298,7,$Y$2:$Y$3)</f>
        <v>86.16736539347379</v>
      </c>
      <c r="R13" s="88">
        <f>DAVERAGE($B$10:$I$298,8,$Y$2:$Y$3)</f>
        <v>100.04694316953866</v>
      </c>
    </row>
    <row r="14" spans="1:18" ht="15">
      <c r="A14">
        <v>1973</v>
      </c>
      <c r="B14" s="110" t="s">
        <v>156</v>
      </c>
      <c r="C14" s="112"/>
      <c r="D14" s="112"/>
      <c r="E14" s="111">
        <v>35.4125</v>
      </c>
      <c r="F14" s="111">
        <v>39.88157894736842</v>
      </c>
      <c r="G14" s="111">
        <v>37.75</v>
      </c>
      <c r="H14" s="111">
        <v>39</v>
      </c>
      <c r="I14" s="111">
        <v>43</v>
      </c>
      <c r="J14" s="86"/>
      <c r="K14" s="87" t="s">
        <v>170</v>
      </c>
      <c r="L14" s="88">
        <f>DAVERAGE($B$10:$I$298,2,Z2:Z3)</f>
        <v>46.70031506178159</v>
      </c>
      <c r="M14" s="88">
        <f>DAVERAGE($B$10:$I$298,3,$Z$2:$Z$3)</f>
        <v>48.73067395388857</v>
      </c>
      <c r="N14" s="88">
        <f>DAVERAGE($B$10:$I$298,4,$Z$2:$Z$3)</f>
        <v>59.34631391727286</v>
      </c>
      <c r="O14" s="94">
        <f>DAVERAGE($B$10:$I$298,5,$Z$2:$Z$3)</f>
        <v>73.32307206277386</v>
      </c>
      <c r="P14" s="95">
        <f>DAVERAGE($B$10:$I$298,6,$Z$2:$Z$3)</f>
        <v>67.27989603042519</v>
      </c>
      <c r="Q14" s="88">
        <f>DAVERAGE($B$10:$I$298,7,$Z$2:$Z$3)</f>
        <v>87.3343916444603</v>
      </c>
      <c r="R14" s="88">
        <f>DAVERAGE($B$10:$I$298,8,$Z$2:$Z$3)</f>
        <v>102.79441599510966</v>
      </c>
    </row>
    <row r="15" spans="1:18" ht="15">
      <c r="A15">
        <v>1973</v>
      </c>
      <c r="B15" s="110" t="s">
        <v>157</v>
      </c>
      <c r="C15" s="112"/>
      <c r="D15" s="112"/>
      <c r="E15" s="111">
        <v>36.025</v>
      </c>
      <c r="F15" s="111">
        <v>40.025</v>
      </c>
      <c r="G15" s="111">
        <v>37.225</v>
      </c>
      <c r="H15" s="111">
        <v>38.175</v>
      </c>
      <c r="I15" s="111">
        <v>41.94642857142857</v>
      </c>
      <c r="J15" s="86"/>
      <c r="K15" s="87" t="s">
        <v>157</v>
      </c>
      <c r="L15" s="88">
        <f>DAVERAGE($B$10:$I$298,2,AA2:AA3)</f>
        <v>49.68704278606596</v>
      </c>
      <c r="M15" s="88">
        <f>DAVERAGE($B$10:$I$298,3,$AA$2:$AA$3)</f>
        <v>50.987831868078864</v>
      </c>
      <c r="N15" s="88">
        <f>DAVERAGE($B$10:$I$298,4,$AA$2:$AA$3)</f>
        <v>64.06115260875343</v>
      </c>
      <c r="O15" s="94">
        <f>DAVERAGE($B$10:$I$298,5,$AA$2:$AA$3)</f>
        <v>80.79356347988714</v>
      </c>
      <c r="P15" s="95">
        <f>DAVERAGE($B$10:$I$298,6,$AA$2:$AA$3)</f>
        <v>71.14646477505458</v>
      </c>
      <c r="Q15" s="88">
        <f>DAVERAGE($B$10:$I$298,7,$AA$2:$AA$3)</f>
        <v>92.86273324946096</v>
      </c>
      <c r="R15" s="88">
        <f>DAVERAGE($B$10:$I$298,8,$AA$2:$AA$3)</f>
        <v>109.95872963246389</v>
      </c>
    </row>
    <row r="16" spans="1:18" ht="15">
      <c r="A16">
        <v>1973</v>
      </c>
      <c r="B16" s="110" t="s">
        <v>158</v>
      </c>
      <c r="C16" s="111">
        <v>47</v>
      </c>
      <c r="D16" s="111">
        <v>40.395833333333336</v>
      </c>
      <c r="E16" s="111">
        <v>40.79761904761905</v>
      </c>
      <c r="F16" s="111">
        <v>49.964285714285715</v>
      </c>
      <c r="G16" s="111">
        <v>37.916666666666664</v>
      </c>
      <c r="H16" s="111">
        <v>39.05952380952381</v>
      </c>
      <c r="I16" s="111">
        <v>44.90625</v>
      </c>
      <c r="J16" s="86"/>
      <c r="K16" s="87" t="s">
        <v>171</v>
      </c>
      <c r="L16" s="88">
        <f>DAVERAGE($B$10:$I$298,2,AB2:AB3)</f>
        <v>46.934526448697504</v>
      </c>
      <c r="M16" s="88">
        <f>DAVERAGE($B$10:$I$298,3,$AB$2:$AB$3)</f>
        <v>50.00008457697273</v>
      </c>
      <c r="N16" s="88">
        <f>DAVERAGE($B$10:$I$298,4,$AB$2:$AB$3)</f>
        <v>61.50274831491609</v>
      </c>
      <c r="O16" s="94">
        <f>DAVERAGE($B$10:$I$298,5,$AB$2:$AB$3)</f>
        <v>76.50122438197768</v>
      </c>
      <c r="P16" s="95">
        <f>DAVERAGE($B$10:$I$298,6,$AB$2:$AB$3)</f>
        <v>69.11245277018303</v>
      </c>
      <c r="Q16" s="88">
        <f>DAVERAGE($B$10:$I$298,7,$AB$2:$AB$3)</f>
        <v>88.8844808517506</v>
      </c>
      <c r="R16" s="88">
        <f>DAVERAGE($B$10:$I$298,8,$AB$2:$AB$3)</f>
        <v>106.53504339684439</v>
      </c>
    </row>
    <row r="17" spans="1:18" ht="15">
      <c r="A17">
        <v>1973</v>
      </c>
      <c r="B17" s="110" t="s">
        <v>159</v>
      </c>
      <c r="C17" s="111">
        <v>47.2375</v>
      </c>
      <c r="D17" s="111">
        <v>47.2375</v>
      </c>
      <c r="E17" s="111">
        <v>49.916666666666664</v>
      </c>
      <c r="F17" s="111">
        <v>56.964285714285715</v>
      </c>
      <c r="G17" s="111">
        <v>40.773809523809526</v>
      </c>
      <c r="H17" s="111">
        <v>42.726190476190474</v>
      </c>
      <c r="I17" s="111">
        <v>48.1</v>
      </c>
      <c r="J17" s="86"/>
      <c r="K17" s="87" t="s">
        <v>172</v>
      </c>
      <c r="L17" s="88">
        <f>DAVERAGE($B$10:$I$298,2,AC2:AC3)</f>
        <v>38.475093208227186</v>
      </c>
      <c r="M17" s="88">
        <f>DAVERAGE($B$10:$I$298,3,$AC$2:$AC$3)</f>
        <v>41.329885438026885</v>
      </c>
      <c r="N17" s="88">
        <f>DAVERAGE($B$10:$I$298,4,$AC$2:$AC$3)</f>
        <v>50.8015566852738</v>
      </c>
      <c r="O17" s="94">
        <f>DAVERAGE($B$10:$I$298,5,$AC$2:$AC$3)</f>
        <v>67.06942640692641</v>
      </c>
      <c r="P17" s="95">
        <f>DAVERAGE($B$10:$I$298,6,$AC$2:$AC$3)</f>
        <v>66.24266892527763</v>
      </c>
      <c r="Q17" s="88">
        <f>DAVERAGE($B$10:$I$298,7,$AC$2:$AC$3)</f>
        <v>85.08237141148327</v>
      </c>
      <c r="R17" s="88">
        <f>DAVERAGE($B$10:$I$298,8,$AC$2:$AC$3)</f>
        <v>100.52476729228373</v>
      </c>
    </row>
    <row r="18" spans="1:18" ht="15">
      <c r="A18">
        <v>1973</v>
      </c>
      <c r="B18" s="110" t="s">
        <v>0</v>
      </c>
      <c r="C18" s="111">
        <v>47.875</v>
      </c>
      <c r="D18" s="111">
        <v>45.35294117647059</v>
      </c>
      <c r="E18" s="111">
        <v>42.27272727272727</v>
      </c>
      <c r="F18" s="111">
        <v>47.095238095238095</v>
      </c>
      <c r="G18" s="111">
        <v>32.125</v>
      </c>
      <c r="H18" s="111">
        <v>33.65217391304348</v>
      </c>
      <c r="I18" s="111">
        <v>34.72727272727273</v>
      </c>
      <c r="J18" s="86"/>
      <c r="K18" s="87" t="s">
        <v>173</v>
      </c>
      <c r="L18" s="88">
        <f>DAVERAGE($B$10:$I$298,2,AD2:AD3)</f>
        <v>37.52421830886505</v>
      </c>
      <c r="M18" s="88">
        <f>DAVERAGE($B$10:$I$298,3,$AD$2:$AD$3)</f>
        <v>39.276781118409154</v>
      </c>
      <c r="N18" s="88">
        <f>DAVERAGE($B$10:$I$298,4,$AD$2:$AD$3)</f>
        <v>48.31950904620741</v>
      </c>
      <c r="O18" s="94">
        <f>DAVERAGE($B$10:$I$298,5,$AD$2:$AD$3)</f>
        <v>64.3863545195746</v>
      </c>
      <c r="P18" s="95">
        <f>DAVERAGE($B$10:$I$298,6,$AD$2:$AD$3)</f>
        <v>60.33874632771136</v>
      </c>
      <c r="Q18" s="88">
        <f>DAVERAGE($B$10:$I$298,7,$AD$2:$AD$3)</f>
        <v>78.42377413498339</v>
      </c>
      <c r="R18" s="88">
        <f>DAVERAGE($B$10:$I$298,8,$AD$2:$AD$3)</f>
        <v>91.36222659435975</v>
      </c>
    </row>
    <row r="19" spans="1:18" ht="15">
      <c r="A19">
        <v>1973</v>
      </c>
      <c r="B19" s="110" t="s">
        <v>160</v>
      </c>
      <c r="C19" s="112"/>
      <c r="D19" s="112"/>
      <c r="E19" s="111">
        <v>28.68421052631579</v>
      </c>
      <c r="F19" s="111">
        <v>30.5</v>
      </c>
      <c r="G19" s="111">
        <v>40.44444444444444</v>
      </c>
      <c r="H19" s="111">
        <v>40.89473684210526</v>
      </c>
      <c r="I19" s="111">
        <v>40.666666666666664</v>
      </c>
      <c r="J19" s="86"/>
      <c r="K19" s="87" t="s">
        <v>143</v>
      </c>
      <c r="L19" s="88">
        <f>DAVERAGE($B$10:$I$298,2,AE2:AE3)</f>
        <v>34.99418707722483</v>
      </c>
      <c r="M19" s="88">
        <f>DAVERAGE($B$10:$I$298,3,$AE$2:$AE$3)</f>
        <v>39.316149724149334</v>
      </c>
      <c r="N19" s="88">
        <f>DAVERAGE($B$10:$I$298,4,$AE$2:$AE$3)</f>
        <v>49.076617131176704</v>
      </c>
      <c r="O19" s="94">
        <f>DAVERAGE($B$10:$I$298,5,$AE$2:$AE$3)</f>
        <v>66.32030679515145</v>
      </c>
      <c r="P19" s="95">
        <f>DAVERAGE($B$10:$I$298,6,$AE$2:$AE$3)</f>
        <v>55.97319943464863</v>
      </c>
      <c r="Q19" s="88">
        <f>DAVERAGE($B$10:$I$298,7,$AE$2:$AE$3)</f>
        <v>75.45324387445184</v>
      </c>
      <c r="R19" s="88">
        <f>DAVERAGE($B$10:$I$298,8,$AE$2:$AE$3)</f>
        <v>89.26305350655677</v>
      </c>
    </row>
    <row r="20" spans="1:18" ht="15">
      <c r="A20">
        <v>1973</v>
      </c>
      <c r="B20" s="110" t="s">
        <v>161</v>
      </c>
      <c r="C20" s="111">
        <v>22</v>
      </c>
      <c r="D20" s="111">
        <v>22</v>
      </c>
      <c r="E20" s="111">
        <v>26.11904761904762</v>
      </c>
      <c r="F20" s="111">
        <v>28.73076923076923</v>
      </c>
      <c r="G20" s="111">
        <v>40</v>
      </c>
      <c r="H20" s="111">
        <v>48.857142857142854</v>
      </c>
      <c r="I20" s="111">
        <v>42</v>
      </c>
      <c r="J20" s="86"/>
      <c r="K20" s="87" t="s">
        <v>174</v>
      </c>
      <c r="L20" s="88">
        <f>DAVERAGE($B$10:$I$298,2,AF2:AF3)</f>
        <v>37.07802349252577</v>
      </c>
      <c r="M20" s="88">
        <f>DAVERAGE($B$10:$I$298,3,$AF$2:$AF$3)</f>
        <v>40.18023204627181</v>
      </c>
      <c r="N20" s="88">
        <f>DAVERAGE($B$10:$I$298,4,$AF$2:$AF$3)</f>
        <v>51.21258283018151</v>
      </c>
      <c r="O20" s="94">
        <f>DAVERAGE($B$10:$I$298,5,$AF$2:$AF$3)</f>
        <v>68.76052042843374</v>
      </c>
      <c r="P20" s="95">
        <f>DAVERAGE($B$10:$I$298,6,$AF$2:$AF$3)</f>
        <v>56.34696634847163</v>
      </c>
      <c r="Q20" s="88">
        <f>DAVERAGE($B$10:$I$298,7,$AF$2:$AF$3)</f>
        <v>77.31413566648835</v>
      </c>
      <c r="R20" s="88">
        <f>DAVERAGE($B$10:$I$298,8,$AF$2:$AF$3)</f>
        <v>92.87482364404917</v>
      </c>
    </row>
    <row r="21" spans="1:18" ht="15">
      <c r="A21">
        <v>1973</v>
      </c>
      <c r="B21" s="110" t="s">
        <v>162</v>
      </c>
      <c r="C21" s="111">
        <v>12</v>
      </c>
      <c r="D21" s="111">
        <v>12</v>
      </c>
      <c r="E21" s="111">
        <v>21.595238095238095</v>
      </c>
      <c r="F21" s="111">
        <v>23.071428571428573</v>
      </c>
      <c r="G21" s="111">
        <v>48.75</v>
      </c>
      <c r="H21" s="111">
        <v>49.714285714285715</v>
      </c>
      <c r="I21" s="111">
        <v>50.42857142857143</v>
      </c>
      <c r="J21" s="86"/>
      <c r="K21" s="87" t="s">
        <v>175</v>
      </c>
      <c r="L21" s="88">
        <f>DAVERAGE($B$10:$I$298,2,AG2:AG3)</f>
        <v>42.5674063885661</v>
      </c>
      <c r="M21" s="88">
        <f>DAVERAGE($B$10:$I$298,3,$AG$2:$AG$3)</f>
        <v>45.09155881865522</v>
      </c>
      <c r="N21" s="88">
        <f>DAVERAGE($B$10:$I$298,4,$AG$2:$AG$3)</f>
        <v>56.00075813434642</v>
      </c>
      <c r="O21" s="94">
        <f>DAVERAGE($B$10:$I$298,5,$AG$2:$AG$3)</f>
        <v>72.78648494604745</v>
      </c>
      <c r="P21" s="95">
        <f>DAVERAGE($B$10:$I$298,6,$AG$2:$AG$3)</f>
        <v>61.385069483553245</v>
      </c>
      <c r="Q21" s="88">
        <f>DAVERAGE($B$10:$I$298,7,$AG$2:$AG$3)</f>
        <v>84.35432892709674</v>
      </c>
      <c r="R21" s="88">
        <f>DAVERAGE($B$10:$I$298,8,$AG$2:$AG$3)</f>
        <v>102.227915569356</v>
      </c>
    </row>
    <row r="22" spans="1:18" ht="15">
      <c r="A22">
        <v>1973</v>
      </c>
      <c r="B22" s="110" t="s">
        <v>163</v>
      </c>
      <c r="C22" s="112"/>
      <c r="D22" s="112"/>
      <c r="E22" s="111">
        <v>26.18421052631579</v>
      </c>
      <c r="F22" s="111">
        <v>30.363636363636363</v>
      </c>
      <c r="G22" s="111">
        <v>39.53125</v>
      </c>
      <c r="H22" s="111">
        <v>46.720588235294116</v>
      </c>
      <c r="I22" s="111">
        <v>47</v>
      </c>
      <c r="J22" s="86"/>
      <c r="K22" s="87" t="s">
        <v>176</v>
      </c>
      <c r="L22" s="88">
        <f>DAVERAGE($B$10:$I$298,2,AH2:AH3)</f>
        <v>43.03217734011295</v>
      </c>
      <c r="M22" s="88">
        <f>DAVERAGE($B$10:$I$298,3,$AH$2:$AH$3)</f>
        <v>45.263475560356476</v>
      </c>
      <c r="N22" s="88">
        <f>DAVERAGE($B$10:$I$298,4,$AH$2:$AH$3)</f>
        <v>53.73321597939732</v>
      </c>
      <c r="O22" s="94">
        <f>DAVERAGE($B$10:$I$298,5,$AH$2:$AH$3)</f>
        <v>69.09850836192368</v>
      </c>
      <c r="P22" s="95">
        <f>DAVERAGE($B$10:$I$298,6,$AH$2:$AH$3)</f>
        <v>59.08384821177477</v>
      </c>
      <c r="Q22" s="88">
        <f>DAVERAGE($B$10:$I$298,7,$AH$2:$AH$3)</f>
        <v>80.65158552146792</v>
      </c>
      <c r="R22" s="88">
        <f>DAVERAGE($B$10:$I$298,8,$AH$2:$AH$3)</f>
        <v>98.76254935208026</v>
      </c>
    </row>
    <row r="23" spans="1:12" ht="15">
      <c r="A23" s="85">
        <v>1974</v>
      </c>
      <c r="B23" s="110" t="s">
        <v>153</v>
      </c>
      <c r="C23" s="112"/>
      <c r="D23" s="112"/>
      <c r="E23" s="112"/>
      <c r="F23" s="112"/>
      <c r="G23" s="112"/>
      <c r="H23" s="112"/>
      <c r="I23" s="112"/>
      <c r="J23" s="86"/>
      <c r="K23" s="86"/>
      <c r="L23" s="86"/>
    </row>
    <row r="24" spans="1:12" ht="15">
      <c r="A24">
        <v>1974</v>
      </c>
      <c r="B24" s="110" t="s">
        <v>154</v>
      </c>
      <c r="C24" s="112"/>
      <c r="D24" s="112"/>
      <c r="E24" s="111">
        <v>32.861111111111114</v>
      </c>
      <c r="F24" s="111">
        <v>31.428571428571427</v>
      </c>
      <c r="G24" s="111">
        <v>47.42857142857143</v>
      </c>
      <c r="H24" s="111">
        <v>48.77777777777778</v>
      </c>
      <c r="I24" s="111">
        <v>49.42857142857143</v>
      </c>
      <c r="J24" s="86"/>
      <c r="K24" s="86"/>
      <c r="L24" s="86"/>
    </row>
    <row r="25" spans="1:12" ht="15">
      <c r="A25">
        <v>1974</v>
      </c>
      <c r="B25" s="110" t="s">
        <v>155</v>
      </c>
      <c r="C25" s="112"/>
      <c r="D25" s="112"/>
      <c r="E25" s="111">
        <v>37.88235294117647</v>
      </c>
      <c r="F25" s="111">
        <v>40.6</v>
      </c>
      <c r="G25" s="111">
        <v>54</v>
      </c>
      <c r="H25" s="111">
        <v>51.9375</v>
      </c>
      <c r="I25" s="111">
        <v>58</v>
      </c>
      <c r="J25" s="86"/>
      <c r="K25" s="86"/>
      <c r="L25" s="86"/>
    </row>
    <row r="26" spans="1:12" ht="15">
      <c r="A26">
        <v>1974</v>
      </c>
      <c r="B26" s="110" t="s">
        <v>156</v>
      </c>
      <c r="C26" s="112"/>
      <c r="D26" s="111">
        <v>18.236842105263158</v>
      </c>
      <c r="E26" s="111">
        <v>27.345238095238095</v>
      </c>
      <c r="F26" s="111">
        <v>45.67857142857143</v>
      </c>
      <c r="G26" s="111">
        <v>43.7</v>
      </c>
      <c r="H26" s="111">
        <v>47.857142857142854</v>
      </c>
      <c r="I26" s="111">
        <v>41</v>
      </c>
      <c r="J26" s="86"/>
      <c r="K26" s="86"/>
      <c r="L26" s="86"/>
    </row>
    <row r="27" spans="1:12" ht="15">
      <c r="A27">
        <v>1974</v>
      </c>
      <c r="B27" s="110" t="s">
        <v>157</v>
      </c>
      <c r="C27" s="111">
        <v>16</v>
      </c>
      <c r="D27" s="111">
        <v>18.375</v>
      </c>
      <c r="E27" s="111">
        <v>38.075</v>
      </c>
      <c r="F27" s="111">
        <v>56.07142857142857</v>
      </c>
      <c r="G27" s="111">
        <v>58.23076923076923</v>
      </c>
      <c r="H27" s="111">
        <v>59</v>
      </c>
      <c r="I27" s="111">
        <v>69.66666666666667</v>
      </c>
      <c r="J27" s="86"/>
      <c r="K27" s="86"/>
      <c r="L27" s="86"/>
    </row>
    <row r="28" spans="1:12" ht="15">
      <c r="A28">
        <v>1974</v>
      </c>
      <c r="B28" s="110" t="s">
        <v>158</v>
      </c>
      <c r="C28" s="111">
        <v>38</v>
      </c>
      <c r="D28" s="111">
        <v>29.725</v>
      </c>
      <c r="E28" s="111">
        <v>49.075</v>
      </c>
      <c r="F28" s="111">
        <v>63.89473684210526</v>
      </c>
      <c r="G28" s="111">
        <v>61.95</v>
      </c>
      <c r="H28" s="111">
        <v>73.1</v>
      </c>
      <c r="I28" s="111">
        <v>81.05</v>
      </c>
      <c r="J28" s="86"/>
      <c r="K28" s="86"/>
      <c r="L28" s="86"/>
    </row>
    <row r="29" spans="1:12" ht="15">
      <c r="A29">
        <v>1974</v>
      </c>
      <c r="B29" s="110" t="s">
        <v>159</v>
      </c>
      <c r="C29" s="111">
        <v>40</v>
      </c>
      <c r="D29" s="111">
        <v>26.65909090909091</v>
      </c>
      <c r="E29" s="111">
        <v>32.93181818181818</v>
      </c>
      <c r="F29" s="111">
        <v>39.38636363636363</v>
      </c>
      <c r="G29" s="111">
        <v>63</v>
      </c>
      <c r="H29" s="111">
        <v>71.80952380952381</v>
      </c>
      <c r="I29" s="111">
        <v>79.42857142857143</v>
      </c>
      <c r="J29" s="86"/>
      <c r="K29" s="86"/>
      <c r="L29" s="86"/>
    </row>
    <row r="30" spans="1:12" ht="15">
      <c r="A30">
        <v>1974</v>
      </c>
      <c r="B30" s="110" t="s">
        <v>0</v>
      </c>
      <c r="C30" s="112"/>
      <c r="D30" s="111">
        <v>19.954545454545453</v>
      </c>
      <c r="E30" s="111">
        <v>27.818181818181817</v>
      </c>
      <c r="F30" s="111">
        <v>49.22727272727273</v>
      </c>
      <c r="G30" s="111">
        <v>59</v>
      </c>
      <c r="H30" s="111">
        <v>67</v>
      </c>
      <c r="I30" s="111">
        <v>71</v>
      </c>
      <c r="J30" s="86"/>
      <c r="K30" s="86"/>
      <c r="L30" s="86"/>
    </row>
    <row r="31" spans="1:12" ht="15">
      <c r="A31">
        <v>1974</v>
      </c>
      <c r="B31" s="110" t="s">
        <v>160</v>
      </c>
      <c r="C31" s="111">
        <v>31.291666666666668</v>
      </c>
      <c r="D31" s="111">
        <v>21.41358024691358</v>
      </c>
      <c r="E31" s="111">
        <v>40.141975308641975</v>
      </c>
      <c r="F31" s="111">
        <v>69.43827160493827</v>
      </c>
      <c r="G31" s="111">
        <v>54.098765432098766</v>
      </c>
      <c r="H31" s="111">
        <v>60.95061728395062</v>
      </c>
      <c r="I31" s="111">
        <v>67.44444444444444</v>
      </c>
      <c r="J31" s="86"/>
      <c r="K31" s="86"/>
      <c r="L31" s="86"/>
    </row>
    <row r="32" spans="1:12" ht="15">
      <c r="A32">
        <v>1974</v>
      </c>
      <c r="B32" s="110" t="s">
        <v>161</v>
      </c>
      <c r="C32" s="112"/>
      <c r="D32" s="111">
        <v>18.976190476190474</v>
      </c>
      <c r="E32" s="111">
        <v>38.785714285714285</v>
      </c>
      <c r="F32" s="111">
        <v>68.92857142857143</v>
      </c>
      <c r="G32" s="111">
        <v>51.04761904761905</v>
      </c>
      <c r="H32" s="111">
        <v>58.857142857142854</v>
      </c>
      <c r="I32" s="111">
        <v>66.85714285714286</v>
      </c>
      <c r="J32" s="86"/>
      <c r="K32" s="86"/>
      <c r="L32" s="86"/>
    </row>
    <row r="33" spans="1:12" ht="15">
      <c r="A33">
        <v>1974</v>
      </c>
      <c r="B33" s="110" t="s">
        <v>162</v>
      </c>
      <c r="C33" s="112"/>
      <c r="D33" s="111">
        <v>27.289473684210527</v>
      </c>
      <c r="E33" s="111">
        <v>46.44736842105263</v>
      </c>
      <c r="F33" s="111">
        <v>76.28947368421052</v>
      </c>
      <c r="G33" s="111">
        <v>48.26315789473684</v>
      </c>
      <c r="H33" s="111">
        <v>56.05263157894737</v>
      </c>
      <c r="I33" s="111">
        <v>63.21052631578947</v>
      </c>
      <c r="J33" s="86"/>
      <c r="K33" s="86"/>
      <c r="L33" s="86"/>
    </row>
    <row r="34" spans="1:12" ht="15">
      <c r="A34">
        <v>1974</v>
      </c>
      <c r="B34" s="110" t="s">
        <v>163</v>
      </c>
      <c r="C34" s="111">
        <v>31.291666666666668</v>
      </c>
      <c r="D34" s="111">
        <v>28.452380952380953</v>
      </c>
      <c r="E34" s="111">
        <v>47.166666666666664</v>
      </c>
      <c r="F34" s="111">
        <v>75.4047619047619</v>
      </c>
      <c r="G34" s="111">
        <v>47.80952380952381</v>
      </c>
      <c r="H34" s="111">
        <v>51.80952380952381</v>
      </c>
      <c r="I34" s="111">
        <v>55.904761904761905</v>
      </c>
      <c r="J34" s="86"/>
      <c r="K34" s="86"/>
      <c r="L34" s="86"/>
    </row>
    <row r="35" spans="1:12" ht="15">
      <c r="A35" s="85">
        <v>1975</v>
      </c>
      <c r="B35" s="110" t="s">
        <v>153</v>
      </c>
      <c r="C35" s="111">
        <v>37.45238095238095</v>
      </c>
      <c r="D35" s="111">
        <v>40.214285714285715</v>
      </c>
      <c r="E35" s="111">
        <v>58.595238095238095</v>
      </c>
      <c r="F35" s="111">
        <v>80.92857142857143</v>
      </c>
      <c r="G35" s="111">
        <v>52.714285714285715</v>
      </c>
      <c r="H35" s="111">
        <v>55.19047619047619</v>
      </c>
      <c r="I35" s="111">
        <v>59.19047619047619</v>
      </c>
      <c r="J35" s="86"/>
      <c r="K35" s="86"/>
      <c r="L35" s="86"/>
    </row>
    <row r="36" spans="1:12" ht="15">
      <c r="A36">
        <v>1975</v>
      </c>
      <c r="B36" s="110" t="s">
        <v>154</v>
      </c>
      <c r="C36" s="111">
        <v>33.78125</v>
      </c>
      <c r="D36" s="111">
        <v>35.21052631578947</v>
      </c>
      <c r="E36" s="111">
        <v>53.68421052631579</v>
      </c>
      <c r="F36" s="111">
        <v>73.6842105263158</v>
      </c>
      <c r="G36" s="111">
        <v>60.36842105263158</v>
      </c>
      <c r="H36" s="111">
        <v>62.473684210526315</v>
      </c>
      <c r="I36" s="111">
        <v>66.47368421052632</v>
      </c>
      <c r="J36" s="86"/>
      <c r="K36" s="86"/>
      <c r="L36" s="86"/>
    </row>
    <row r="37" spans="1:12" ht="15">
      <c r="A37">
        <v>1975</v>
      </c>
      <c r="B37" s="110" t="s">
        <v>155</v>
      </c>
      <c r="C37" s="111">
        <v>43.5</v>
      </c>
      <c r="D37" s="111">
        <v>39.425</v>
      </c>
      <c r="E37" s="111">
        <v>59.875</v>
      </c>
      <c r="F37" s="111">
        <v>79.775</v>
      </c>
      <c r="G37" s="111">
        <v>77.325</v>
      </c>
      <c r="H37" s="111">
        <v>79.725</v>
      </c>
      <c r="I37" s="111">
        <v>85.075</v>
      </c>
      <c r="J37" s="86"/>
      <c r="K37" s="86"/>
      <c r="L37" s="86"/>
    </row>
    <row r="38" spans="1:12" ht="15">
      <c r="A38">
        <v>1975</v>
      </c>
      <c r="B38" s="110" t="s">
        <v>156</v>
      </c>
      <c r="C38" s="112"/>
      <c r="D38" s="111">
        <v>34.72727272727273</v>
      </c>
      <c r="E38" s="111">
        <v>58.36363636363637</v>
      </c>
      <c r="F38" s="111">
        <v>78.4090909090909</v>
      </c>
      <c r="G38" s="111">
        <v>70.70454545454545</v>
      </c>
      <c r="H38" s="111">
        <v>78.3409090909091</v>
      </c>
      <c r="I38" s="111">
        <v>86.70454545454545</v>
      </c>
      <c r="J38" s="86"/>
      <c r="K38" s="86"/>
      <c r="L38" s="86"/>
    </row>
    <row r="39" spans="1:12" ht="15">
      <c r="A39">
        <v>1975</v>
      </c>
      <c r="B39" s="110" t="s">
        <v>157</v>
      </c>
      <c r="C39" s="112"/>
      <c r="D39" s="111">
        <v>27.071428571428573</v>
      </c>
      <c r="E39" s="111">
        <v>64.4047619047619</v>
      </c>
      <c r="F39" s="111">
        <v>88.5</v>
      </c>
      <c r="G39" s="111">
        <v>85.69047619047619</v>
      </c>
      <c r="H39" s="111">
        <v>99.78571428571429</v>
      </c>
      <c r="I39" s="111">
        <v>110.5</v>
      </c>
      <c r="J39" s="86"/>
      <c r="K39" s="86"/>
      <c r="L39" s="86"/>
    </row>
    <row r="40" spans="1:12" ht="15">
      <c r="A40">
        <v>1975</v>
      </c>
      <c r="B40" s="110" t="s">
        <v>158</v>
      </c>
      <c r="C40" s="112"/>
      <c r="D40" s="111">
        <v>21.333333333333332</v>
      </c>
      <c r="E40" s="111">
        <v>59.23809523809524</v>
      </c>
      <c r="F40" s="111">
        <v>90.76190476190476</v>
      </c>
      <c r="G40" s="111">
        <v>79.35714285714286</v>
      </c>
      <c r="H40" s="111">
        <v>90.45238095238095</v>
      </c>
      <c r="I40" s="111">
        <v>98.45238095238095</v>
      </c>
      <c r="J40" s="86"/>
      <c r="K40" s="86"/>
      <c r="L40" s="86"/>
    </row>
    <row r="41" spans="1:12" ht="15">
      <c r="A41">
        <v>1975</v>
      </c>
      <c r="B41" s="110" t="s">
        <v>159</v>
      </c>
      <c r="C41" s="111">
        <v>32.666666666666664</v>
      </c>
      <c r="D41" s="111">
        <v>27.204545454545453</v>
      </c>
      <c r="E41" s="111">
        <v>55.93181818181818</v>
      </c>
      <c r="F41" s="111">
        <v>91.70454545454545</v>
      </c>
      <c r="G41" s="111">
        <v>71.86363636363636</v>
      </c>
      <c r="H41" s="111">
        <v>80.5909090909091</v>
      </c>
      <c r="I41" s="111">
        <v>88.5909090909091</v>
      </c>
      <c r="J41" s="86"/>
      <c r="K41" s="86"/>
      <c r="L41" s="86"/>
    </row>
    <row r="42" spans="1:12" ht="15">
      <c r="A42">
        <v>1975</v>
      </c>
      <c r="B42" s="110" t="s">
        <v>0</v>
      </c>
      <c r="C42" s="112"/>
      <c r="D42" s="111">
        <v>14.714285714285714</v>
      </c>
      <c r="E42" s="111">
        <v>41.23809523809524</v>
      </c>
      <c r="F42" s="111">
        <v>78.14285714285714</v>
      </c>
      <c r="G42" s="111">
        <v>62.04761904761905</v>
      </c>
      <c r="H42" s="111">
        <v>74.04761904761905</v>
      </c>
      <c r="I42" s="111">
        <v>82.0952380952381</v>
      </c>
      <c r="J42" s="86"/>
      <c r="K42" s="86"/>
      <c r="L42" s="86"/>
    </row>
    <row r="43" spans="1:12" ht="15">
      <c r="A43">
        <v>1975</v>
      </c>
      <c r="B43" s="110" t="s">
        <v>160</v>
      </c>
      <c r="C43" s="111">
        <v>18</v>
      </c>
      <c r="D43" s="111">
        <v>20.595238095238095</v>
      </c>
      <c r="E43" s="111">
        <v>39.69047619047619</v>
      </c>
      <c r="F43" s="111">
        <v>80.4047619047619</v>
      </c>
      <c r="G43" s="111">
        <v>56.976190476190474</v>
      </c>
      <c r="H43" s="111">
        <v>75.83333333333333</v>
      </c>
      <c r="I43" s="111">
        <v>91.21428571428571</v>
      </c>
      <c r="J43" s="86"/>
      <c r="K43" s="86"/>
      <c r="L43" s="86"/>
    </row>
    <row r="44" spans="1:12" ht="15">
      <c r="A44">
        <v>1975</v>
      </c>
      <c r="B44" s="110" t="s">
        <v>161</v>
      </c>
      <c r="C44" s="111">
        <v>22.8</v>
      </c>
      <c r="D44" s="111">
        <v>24.727272727272727</v>
      </c>
      <c r="E44" s="111">
        <v>41.59090909090909</v>
      </c>
      <c r="F44" s="111">
        <v>81.95454545454545</v>
      </c>
      <c r="G44" s="111">
        <v>53.88636363636363</v>
      </c>
      <c r="H44" s="111">
        <v>75.38636363636364</v>
      </c>
      <c r="I44" s="111">
        <v>98.70454545454545</v>
      </c>
      <c r="J44" s="86"/>
      <c r="K44" s="86"/>
      <c r="L44" s="86"/>
    </row>
    <row r="45" spans="1:12" ht="15">
      <c r="A45">
        <v>1975</v>
      </c>
      <c r="B45" s="110" t="s">
        <v>162</v>
      </c>
      <c r="C45" s="112"/>
      <c r="D45" s="111">
        <v>32.13157894736842</v>
      </c>
      <c r="E45" s="111">
        <v>47.60526315789474</v>
      </c>
      <c r="F45" s="111">
        <v>84.76315789473684</v>
      </c>
      <c r="G45" s="111">
        <v>57.328947368421055</v>
      </c>
      <c r="H45" s="111">
        <v>81.32894736842105</v>
      </c>
      <c r="I45" s="111">
        <v>118.69736842105263</v>
      </c>
      <c r="J45" s="86"/>
      <c r="K45" s="86"/>
      <c r="L45" s="86"/>
    </row>
    <row r="46" spans="1:12" ht="15">
      <c r="A46">
        <v>1975</v>
      </c>
      <c r="B46" s="110" t="s">
        <v>163</v>
      </c>
      <c r="C46" s="112"/>
      <c r="D46" s="111">
        <v>34.345238095238095</v>
      </c>
      <c r="E46" s="111">
        <v>42.82142857142857</v>
      </c>
      <c r="F46" s="111">
        <v>72.72619047619048</v>
      </c>
      <c r="G46" s="111">
        <v>50.976190476190474</v>
      </c>
      <c r="H46" s="111">
        <v>75.83333333333333</v>
      </c>
      <c r="I46" s="111">
        <v>106.69047619047619</v>
      </c>
      <c r="J46" s="86"/>
      <c r="K46" s="86"/>
      <c r="L46" s="86"/>
    </row>
    <row r="47" spans="1:12" ht="15">
      <c r="A47" s="85">
        <v>1976</v>
      </c>
      <c r="B47" s="113" t="s">
        <v>153</v>
      </c>
      <c r="C47" s="112"/>
      <c r="D47" s="114">
        <v>30.25</v>
      </c>
      <c r="E47" s="114">
        <v>42.29761904761905</v>
      </c>
      <c r="F47" s="114">
        <v>73.10714285714286</v>
      </c>
      <c r="G47" s="114">
        <v>59.11904761904762</v>
      </c>
      <c r="H47" s="114">
        <v>80.5</v>
      </c>
      <c r="I47" s="114">
        <v>110.73809523809524</v>
      </c>
      <c r="J47" s="86"/>
      <c r="K47" s="86"/>
      <c r="L47" s="86"/>
    </row>
    <row r="48" spans="1:12" ht="15">
      <c r="A48">
        <v>1976</v>
      </c>
      <c r="B48" s="113" t="s">
        <v>154</v>
      </c>
      <c r="C48" s="112"/>
      <c r="D48" s="114">
        <v>25.25</v>
      </c>
      <c r="E48" s="114">
        <v>43.05952380952381</v>
      </c>
      <c r="F48" s="114">
        <v>82.53571428571429</v>
      </c>
      <c r="G48" s="114">
        <v>59.26190476190476</v>
      </c>
      <c r="H48" s="114">
        <v>79.26190476190476</v>
      </c>
      <c r="I48" s="114">
        <v>111.45238095238095</v>
      </c>
      <c r="J48" s="86"/>
      <c r="K48" s="86"/>
      <c r="L48" s="86"/>
    </row>
    <row r="49" spans="1:12" ht="15">
      <c r="A49">
        <v>1976</v>
      </c>
      <c r="B49" s="113" t="s">
        <v>155</v>
      </c>
      <c r="C49" s="112"/>
      <c r="D49" s="114">
        <v>15.26086956521739</v>
      </c>
      <c r="E49" s="114">
        <v>41.43478260869565</v>
      </c>
      <c r="F49" s="114">
        <v>78.3913043478261</v>
      </c>
      <c r="G49" s="114">
        <v>53.66304347826087</v>
      </c>
      <c r="H49" s="114">
        <v>73.66304347826087</v>
      </c>
      <c r="I49" s="114">
        <v>107.40217391304348</v>
      </c>
      <c r="J49" s="86"/>
      <c r="K49" s="86"/>
      <c r="L49" s="86"/>
    </row>
    <row r="50" spans="1:12" ht="15">
      <c r="A50">
        <v>1976</v>
      </c>
      <c r="B50" s="113" t="s">
        <v>156</v>
      </c>
      <c r="C50" s="112"/>
      <c r="D50" s="114">
        <v>19.80952380952381</v>
      </c>
      <c r="E50" s="114">
        <v>58.142857142857146</v>
      </c>
      <c r="F50" s="114">
        <v>90.14285714285714</v>
      </c>
      <c r="G50" s="114">
        <v>66.46428571428571</v>
      </c>
      <c r="H50" s="114">
        <v>86.03571428571429</v>
      </c>
      <c r="I50" s="114">
        <v>122.17857142857143</v>
      </c>
      <c r="J50" s="86"/>
      <c r="K50" s="86"/>
      <c r="L50" s="86"/>
    </row>
    <row r="51" spans="1:12" ht="15">
      <c r="A51">
        <v>1976</v>
      </c>
      <c r="B51" s="113" t="s">
        <v>157</v>
      </c>
      <c r="C51" s="112"/>
      <c r="D51" s="114">
        <v>8.475</v>
      </c>
      <c r="E51" s="114">
        <v>48.275</v>
      </c>
      <c r="F51" s="114">
        <v>93.325</v>
      </c>
      <c r="G51" s="114">
        <v>69.9375</v>
      </c>
      <c r="H51" s="114">
        <v>89.9875</v>
      </c>
      <c r="I51" s="114">
        <v>130.7875</v>
      </c>
      <c r="J51" s="86"/>
      <c r="K51" s="86"/>
      <c r="L51" s="86"/>
    </row>
    <row r="52" spans="1:12" ht="15">
      <c r="A52">
        <v>1976</v>
      </c>
      <c r="B52" s="113" t="s">
        <v>158</v>
      </c>
      <c r="C52" s="112"/>
      <c r="D52" s="114">
        <v>7.8977272727272725</v>
      </c>
      <c r="E52" s="114">
        <v>25.53409090909091</v>
      </c>
      <c r="F52" s="114">
        <v>61.44318181818182</v>
      </c>
      <c r="G52" s="114">
        <v>57.30681818181818</v>
      </c>
      <c r="H52" s="114">
        <v>77.125</v>
      </c>
      <c r="I52" s="114">
        <v>130.32142857142858</v>
      </c>
      <c r="J52" s="86"/>
      <c r="K52" s="86"/>
      <c r="L52" s="86"/>
    </row>
    <row r="53" spans="1:12" ht="15">
      <c r="A53">
        <v>1976</v>
      </c>
      <c r="B53" s="113" t="s">
        <v>159</v>
      </c>
      <c r="C53" s="112"/>
      <c r="D53" s="114">
        <v>1.9285714285714286</v>
      </c>
      <c r="E53" s="114">
        <v>18.833333333333332</v>
      </c>
      <c r="F53" s="114">
        <v>57.92857142857143</v>
      </c>
      <c r="G53" s="114">
        <v>52</v>
      </c>
      <c r="H53" s="114">
        <v>72.66666666666667</v>
      </c>
      <c r="I53" s="114">
        <v>96.76190476190476</v>
      </c>
      <c r="J53" s="86"/>
      <c r="K53" s="86"/>
      <c r="L53" s="86"/>
    </row>
    <row r="54" spans="1:12" ht="15">
      <c r="A54">
        <v>1976</v>
      </c>
      <c r="B54" s="113" t="s">
        <v>0</v>
      </c>
      <c r="C54" s="112"/>
      <c r="D54" s="114">
        <v>12.602272727272727</v>
      </c>
      <c r="E54" s="114">
        <v>26.556818181818183</v>
      </c>
      <c r="F54" s="114">
        <v>56.69318181818182</v>
      </c>
      <c r="G54" s="114">
        <v>42.45454545454545</v>
      </c>
      <c r="H54" s="114">
        <v>67.5</v>
      </c>
      <c r="I54" s="114">
        <v>81.45454545454545</v>
      </c>
      <c r="J54" s="86"/>
      <c r="K54" s="86"/>
      <c r="L54" s="86"/>
    </row>
    <row r="55" spans="1:12" ht="15">
      <c r="A55">
        <v>1975</v>
      </c>
      <c r="B55" s="110" t="s">
        <v>160</v>
      </c>
      <c r="C55" s="111">
        <v>18</v>
      </c>
      <c r="D55" s="111">
        <v>20.595238095238095</v>
      </c>
      <c r="E55" s="111">
        <v>39.69047619047619</v>
      </c>
      <c r="F55" s="111">
        <v>80.4047619047619</v>
      </c>
      <c r="G55" s="111">
        <v>56.976190476190474</v>
      </c>
      <c r="H55" s="111">
        <v>75.83333333333333</v>
      </c>
      <c r="I55" s="111">
        <v>91.21428571428571</v>
      </c>
      <c r="J55" s="86"/>
      <c r="K55" s="86"/>
      <c r="L55" s="86"/>
    </row>
    <row r="56" spans="1:12" ht="15">
      <c r="A56">
        <v>1976</v>
      </c>
      <c r="B56" s="113" t="s">
        <v>161</v>
      </c>
      <c r="C56" s="112"/>
      <c r="D56" s="114">
        <v>16.845238095238095</v>
      </c>
      <c r="E56" s="114">
        <v>23.178571428571427</v>
      </c>
      <c r="F56" s="114">
        <v>37.845238095238095</v>
      </c>
      <c r="G56" s="114">
        <v>17.464285714285715</v>
      </c>
      <c r="H56" s="114">
        <v>52.083333333333336</v>
      </c>
      <c r="I56" s="114">
        <v>80.94047619047619</v>
      </c>
      <c r="J56" s="86"/>
      <c r="K56" s="86"/>
      <c r="L56" s="86"/>
    </row>
    <row r="57" spans="1:12" ht="15">
      <c r="A57">
        <v>1976</v>
      </c>
      <c r="B57" s="113" t="s">
        <v>162</v>
      </c>
      <c r="C57" s="112"/>
      <c r="D57" s="114">
        <v>34.225</v>
      </c>
      <c r="E57" s="114">
        <v>45.525</v>
      </c>
      <c r="F57" s="114">
        <v>57.825</v>
      </c>
      <c r="G57" s="114">
        <v>24.6125</v>
      </c>
      <c r="H57" s="114">
        <v>60.5625</v>
      </c>
      <c r="I57" s="114">
        <v>93.5625</v>
      </c>
      <c r="J57" s="86"/>
      <c r="K57" s="86"/>
      <c r="L57" s="86"/>
    </row>
    <row r="58" spans="1:12" ht="15">
      <c r="A58">
        <v>1976</v>
      </c>
      <c r="B58" s="113" t="s">
        <v>163</v>
      </c>
      <c r="C58" s="112"/>
      <c r="D58" s="114">
        <v>24.607142857142858</v>
      </c>
      <c r="E58" s="114">
        <v>34.75</v>
      </c>
      <c r="F58" s="114">
        <v>45.79761904761905</v>
      </c>
      <c r="G58" s="114">
        <v>5.226190476190476</v>
      </c>
      <c r="H58" s="114">
        <v>45.035714285714285</v>
      </c>
      <c r="I58" s="114">
        <v>76.6547619047619</v>
      </c>
      <c r="J58" s="86"/>
      <c r="K58" s="86"/>
      <c r="L58" s="86"/>
    </row>
    <row r="59" spans="1:12" ht="15">
      <c r="A59" s="85">
        <v>1977</v>
      </c>
      <c r="B59" s="110" t="s">
        <v>153</v>
      </c>
      <c r="C59" s="112"/>
      <c r="D59" s="111">
        <v>22.855263157894736</v>
      </c>
      <c r="E59" s="111">
        <v>34.69736842105263</v>
      </c>
      <c r="F59" s="111">
        <v>27.55263157894737</v>
      </c>
      <c r="G59" s="111">
        <v>6.184210526315789</v>
      </c>
      <c r="H59" s="111">
        <v>46.18421052631579</v>
      </c>
      <c r="I59" s="111">
        <v>78.76315789473684</v>
      </c>
      <c r="J59" s="86"/>
      <c r="K59" s="86"/>
      <c r="L59" s="86"/>
    </row>
    <row r="60" spans="1:12" ht="15">
      <c r="A60">
        <v>1977</v>
      </c>
      <c r="B60" s="110" t="s">
        <v>154</v>
      </c>
      <c r="C60" s="112"/>
      <c r="D60" s="111">
        <v>24.723684210526315</v>
      </c>
      <c r="E60" s="111">
        <v>38.25</v>
      </c>
      <c r="F60" s="111">
        <v>29.30263157894737</v>
      </c>
      <c r="G60" s="111">
        <v>11.56578947368421</v>
      </c>
      <c r="H60" s="111">
        <v>51.56578947368421</v>
      </c>
      <c r="I60" s="111">
        <v>79.5657894736842</v>
      </c>
      <c r="J60" s="86"/>
      <c r="K60" s="86"/>
      <c r="L60" s="86"/>
    </row>
    <row r="61" spans="1:12" ht="15">
      <c r="A61">
        <v>1977</v>
      </c>
      <c r="B61" s="110" t="s">
        <v>155</v>
      </c>
      <c r="C61" s="111">
        <v>21.75</v>
      </c>
      <c r="D61" s="111">
        <v>21.108695652173914</v>
      </c>
      <c r="E61" s="111">
        <v>36.54347826086956</v>
      </c>
      <c r="F61" s="111">
        <v>29.630434782608695</v>
      </c>
      <c r="G61" s="111">
        <v>26.891304347826086</v>
      </c>
      <c r="H61" s="111">
        <v>55.630434782608695</v>
      </c>
      <c r="I61" s="111">
        <v>74.15217391304348</v>
      </c>
      <c r="J61" s="86"/>
      <c r="K61" s="86"/>
      <c r="L61" s="86"/>
    </row>
    <row r="62" spans="1:12" ht="15">
      <c r="A62">
        <v>1977</v>
      </c>
      <c r="B62" s="110" t="s">
        <v>156</v>
      </c>
      <c r="C62" s="111">
        <v>23.3</v>
      </c>
      <c r="D62" s="111">
        <v>25.4875</v>
      </c>
      <c r="E62" s="111">
        <v>45.0875</v>
      </c>
      <c r="F62" s="111">
        <v>32.4078947368421</v>
      </c>
      <c r="G62" s="111">
        <v>37.2875</v>
      </c>
      <c r="H62" s="111">
        <v>59.2875</v>
      </c>
      <c r="I62" s="111">
        <v>73.9375</v>
      </c>
      <c r="J62" s="86"/>
      <c r="K62" s="86"/>
      <c r="L62" s="86"/>
    </row>
    <row r="63" spans="1:12" ht="15">
      <c r="A63">
        <v>1977</v>
      </c>
      <c r="B63" s="110" t="s">
        <v>157</v>
      </c>
      <c r="C63" s="112"/>
      <c r="D63" s="111">
        <v>30.738095238095237</v>
      </c>
      <c r="E63" s="111">
        <v>51.69047619047619</v>
      </c>
      <c r="F63" s="111">
        <v>41.607142857142854</v>
      </c>
      <c r="G63" s="111">
        <v>41.416666666666664</v>
      </c>
      <c r="H63" s="111">
        <v>61.55952380952381</v>
      </c>
      <c r="I63" s="111">
        <v>73.32142857142857</v>
      </c>
      <c r="J63" s="86"/>
      <c r="K63" s="86"/>
      <c r="L63" s="86"/>
    </row>
    <row r="64" spans="1:12" ht="15">
      <c r="A64">
        <v>1977</v>
      </c>
      <c r="B64" s="110" t="s">
        <v>158</v>
      </c>
      <c r="C64" s="111">
        <v>25.8</v>
      </c>
      <c r="D64" s="111">
        <v>27.363636363636363</v>
      </c>
      <c r="E64" s="111">
        <v>36.04545454545455</v>
      </c>
      <c r="F64" s="111">
        <v>26.397727272727273</v>
      </c>
      <c r="G64" s="111">
        <v>36.44318181818182</v>
      </c>
      <c r="H64" s="111">
        <v>54.98863636363637</v>
      </c>
      <c r="I64" s="111">
        <v>66.07954545454545</v>
      </c>
      <c r="J64" s="86"/>
      <c r="K64" s="86"/>
      <c r="L64" s="86"/>
    </row>
    <row r="65" spans="1:12" ht="15">
      <c r="A65">
        <v>1977</v>
      </c>
      <c r="B65" s="110" t="s">
        <v>159</v>
      </c>
      <c r="C65" s="112"/>
      <c r="D65" s="111">
        <v>30.3125</v>
      </c>
      <c r="E65" s="111">
        <v>34.1125</v>
      </c>
      <c r="F65" s="111">
        <v>31.6375</v>
      </c>
      <c r="G65" s="111">
        <v>40.4375</v>
      </c>
      <c r="H65" s="111">
        <v>56.3375</v>
      </c>
      <c r="I65" s="111">
        <v>65.3875</v>
      </c>
      <c r="J65" s="86"/>
      <c r="K65" s="86"/>
      <c r="L65" s="86"/>
    </row>
    <row r="66" spans="1:12" ht="15">
      <c r="A66">
        <v>1977</v>
      </c>
      <c r="B66" s="110" t="s">
        <v>0</v>
      </c>
      <c r="C66" s="112"/>
      <c r="D66" s="111">
        <v>38.43478260869565</v>
      </c>
      <c r="E66" s="111">
        <v>41.608695652173914</v>
      </c>
      <c r="F66" s="111">
        <v>43.65217391304348</v>
      </c>
      <c r="G66" s="111">
        <v>53.91304347826087</v>
      </c>
      <c r="H66" s="111">
        <v>66.43478260869566</v>
      </c>
      <c r="I66" s="111">
        <v>75.17391304347827</v>
      </c>
      <c r="J66" s="86"/>
      <c r="K66" s="86"/>
      <c r="L66" s="86"/>
    </row>
    <row r="67" spans="1:12" ht="15">
      <c r="A67">
        <v>1977</v>
      </c>
      <c r="B67" s="110" t="s">
        <v>160</v>
      </c>
      <c r="C67" s="111">
        <v>24.826923076923077</v>
      </c>
      <c r="D67" s="111">
        <v>27.511904761904763</v>
      </c>
      <c r="E67" s="111">
        <v>36.70238095238095</v>
      </c>
      <c r="F67" s="111">
        <v>34.70238095238095</v>
      </c>
      <c r="G67" s="111">
        <v>40.70238095238095</v>
      </c>
      <c r="H67" s="111">
        <v>56.70238095238095</v>
      </c>
      <c r="I67" s="111">
        <v>66.70238095238095</v>
      </c>
      <c r="J67" s="86"/>
      <c r="K67" s="86"/>
      <c r="L67" s="86"/>
    </row>
    <row r="68" spans="1:12" ht="15">
      <c r="A68">
        <v>1977</v>
      </c>
      <c r="B68" s="110" t="s">
        <v>177</v>
      </c>
      <c r="C68" s="111">
        <v>25.7875</v>
      </c>
      <c r="D68" s="111">
        <v>29.2875</v>
      </c>
      <c r="E68" s="111">
        <v>39.2375</v>
      </c>
      <c r="F68" s="111">
        <v>37.2375</v>
      </c>
      <c r="G68" s="111">
        <v>36.4375</v>
      </c>
      <c r="H68" s="111">
        <v>51.9375</v>
      </c>
      <c r="I68" s="111">
        <v>63.9875</v>
      </c>
      <c r="J68" s="86"/>
      <c r="K68" s="86"/>
      <c r="L68" s="86"/>
    </row>
    <row r="69" spans="1:12" ht="15">
      <c r="A69">
        <v>1977</v>
      </c>
      <c r="B69" s="110" t="s">
        <v>162</v>
      </c>
      <c r="C69" s="111">
        <v>21.19047619047619</v>
      </c>
      <c r="D69" s="111">
        <v>26.571428571428573</v>
      </c>
      <c r="E69" s="111">
        <v>37.95238095238095</v>
      </c>
      <c r="F69" s="111">
        <v>41.857142857142854</v>
      </c>
      <c r="G69" s="111">
        <v>37.857142857142854</v>
      </c>
      <c r="H69" s="111">
        <v>54.23809523809524</v>
      </c>
      <c r="I69" s="111">
        <v>68.80952380952381</v>
      </c>
      <c r="J69" s="86"/>
      <c r="K69" s="86"/>
      <c r="L69" s="86"/>
    </row>
    <row r="70" spans="1:12" ht="15">
      <c r="A70">
        <v>1977</v>
      </c>
      <c r="B70" s="110" t="s">
        <v>163</v>
      </c>
      <c r="C70" s="111">
        <v>31.333333333333332</v>
      </c>
      <c r="D70" s="111">
        <v>35.61904761904762</v>
      </c>
      <c r="E70" s="111">
        <v>42</v>
      </c>
      <c r="F70" s="111">
        <v>50.01190476190476</v>
      </c>
      <c r="G70" s="111">
        <v>50.29761904761905</v>
      </c>
      <c r="H70" s="111">
        <v>68.20238095238095</v>
      </c>
      <c r="I70" s="111">
        <v>82.20238095238095</v>
      </c>
      <c r="J70" s="86"/>
      <c r="K70" s="86"/>
      <c r="L70" s="86"/>
    </row>
    <row r="71" spans="1:12" ht="15">
      <c r="A71" s="85">
        <v>1978</v>
      </c>
      <c r="B71" s="113" t="s">
        <v>153</v>
      </c>
      <c r="C71" s="114">
        <v>39.7</v>
      </c>
      <c r="D71" s="114">
        <v>42.3</v>
      </c>
      <c r="E71" s="114">
        <v>47.25</v>
      </c>
      <c r="F71" s="114">
        <v>56.3</v>
      </c>
      <c r="G71" s="114">
        <v>57.5625</v>
      </c>
      <c r="H71" s="114">
        <v>73.5625</v>
      </c>
      <c r="I71" s="114">
        <v>85.9625</v>
      </c>
      <c r="J71" s="86"/>
      <c r="K71" s="86"/>
      <c r="L71" s="86"/>
    </row>
    <row r="72" spans="1:12" ht="15">
      <c r="A72">
        <v>1978</v>
      </c>
      <c r="B72" s="110" t="s">
        <v>154</v>
      </c>
      <c r="C72" s="114">
        <v>53.0875</v>
      </c>
      <c r="D72" s="114">
        <v>55.0875</v>
      </c>
      <c r="E72" s="114">
        <v>59.1875</v>
      </c>
      <c r="F72" s="114">
        <v>65.8875</v>
      </c>
      <c r="G72" s="114">
        <v>63.5875</v>
      </c>
      <c r="H72" s="114">
        <v>79.5875</v>
      </c>
      <c r="I72" s="114">
        <v>92.5875</v>
      </c>
      <c r="J72" s="86"/>
      <c r="K72" s="86"/>
      <c r="L72" s="86"/>
    </row>
    <row r="73" spans="1:12" ht="15">
      <c r="A73">
        <v>1978</v>
      </c>
      <c r="B73" s="110" t="s">
        <v>155</v>
      </c>
      <c r="C73" s="114">
        <v>49.67391304347826</v>
      </c>
      <c r="D73" s="114">
        <v>52.108695652173914</v>
      </c>
      <c r="E73" s="114">
        <v>57.630434782608695</v>
      </c>
      <c r="F73" s="114">
        <v>63.45652173913044</v>
      </c>
      <c r="G73" s="114">
        <v>52.57608695652174</v>
      </c>
      <c r="H73" s="114">
        <v>68.57608695652173</v>
      </c>
      <c r="I73" s="114">
        <v>80.57608695652173</v>
      </c>
      <c r="J73" s="86"/>
      <c r="K73" s="86"/>
      <c r="L73" s="86"/>
    </row>
    <row r="74" spans="1:12" ht="15">
      <c r="A74">
        <v>1978</v>
      </c>
      <c r="B74" s="110" t="s">
        <v>156</v>
      </c>
      <c r="C74" s="114">
        <v>43.925</v>
      </c>
      <c r="D74" s="114">
        <v>48.425</v>
      </c>
      <c r="E74" s="114">
        <v>58.125</v>
      </c>
      <c r="F74" s="114">
        <v>67.625</v>
      </c>
      <c r="G74" s="114">
        <v>45.8625</v>
      </c>
      <c r="H74" s="114">
        <v>61.8625</v>
      </c>
      <c r="I74" s="114">
        <v>73.6125</v>
      </c>
      <c r="J74" s="86"/>
      <c r="K74" s="86"/>
      <c r="L74" s="86"/>
    </row>
    <row r="75" spans="1:12" ht="15">
      <c r="A75">
        <v>1978</v>
      </c>
      <c r="B75" s="110" t="s">
        <v>157</v>
      </c>
      <c r="C75" s="114">
        <v>45.71590909090909</v>
      </c>
      <c r="D75" s="114">
        <v>50.17045454545455</v>
      </c>
      <c r="E75" s="114">
        <v>59.625</v>
      </c>
      <c r="F75" s="114">
        <v>69.26136363636364</v>
      </c>
      <c r="G75" s="114">
        <v>52.73863636363637</v>
      </c>
      <c r="H75" s="114">
        <v>68.64772727272727</v>
      </c>
      <c r="I75" s="114">
        <v>80.64772727272727</v>
      </c>
      <c r="J75" s="86"/>
      <c r="K75" s="86"/>
      <c r="L75" s="86"/>
    </row>
    <row r="76" spans="1:12" ht="15">
      <c r="A76">
        <v>1978</v>
      </c>
      <c r="B76" s="110" t="s">
        <v>158</v>
      </c>
      <c r="C76" s="114">
        <v>39.59090909090909</v>
      </c>
      <c r="D76" s="114">
        <v>42.5</v>
      </c>
      <c r="E76" s="114">
        <v>52.95454545454545</v>
      </c>
      <c r="F76" s="114">
        <v>64.27272727272727</v>
      </c>
      <c r="G76" s="114">
        <v>48.04545454545455</v>
      </c>
      <c r="H76" s="114">
        <v>63.31818181818182</v>
      </c>
      <c r="I76" s="114">
        <v>74.68181818181819</v>
      </c>
      <c r="J76" s="86"/>
      <c r="K76" s="86"/>
      <c r="L76" s="86"/>
    </row>
    <row r="77" spans="1:12" ht="15">
      <c r="A77">
        <v>1978</v>
      </c>
      <c r="B77" s="110" t="s">
        <v>159</v>
      </c>
      <c r="C77" s="114">
        <v>39.81578947368421</v>
      </c>
      <c r="D77" s="114">
        <v>41.81578947368421</v>
      </c>
      <c r="E77" s="114">
        <v>47.86842105263158</v>
      </c>
      <c r="F77" s="114">
        <v>55.5</v>
      </c>
      <c r="G77" s="114">
        <v>52.25</v>
      </c>
      <c r="H77" s="114">
        <v>63.19736842105263</v>
      </c>
      <c r="I77" s="114">
        <v>70.5657894736842</v>
      </c>
      <c r="J77" s="86"/>
      <c r="K77" s="86"/>
      <c r="L77" s="86"/>
    </row>
    <row r="78" spans="1:12" ht="15">
      <c r="A78">
        <v>1978</v>
      </c>
      <c r="B78" s="110" t="s">
        <v>0</v>
      </c>
      <c r="C78" s="114">
        <v>45.77173913043478</v>
      </c>
      <c r="D78" s="114">
        <v>48.98913043478261</v>
      </c>
      <c r="E78" s="114">
        <v>56.90217391304348</v>
      </c>
      <c r="F78" s="114">
        <v>65.72826086956522</v>
      </c>
      <c r="G78" s="114">
        <v>54.17391304347826</v>
      </c>
      <c r="H78" s="114">
        <v>65.1304347826087</v>
      </c>
      <c r="I78" s="114">
        <v>73.1304347826087</v>
      </c>
      <c r="J78" s="86"/>
      <c r="K78" s="86"/>
      <c r="L78" s="86"/>
    </row>
    <row r="79" spans="1:12" ht="15">
      <c r="A79">
        <v>1978</v>
      </c>
      <c r="B79" s="110" t="s">
        <v>160</v>
      </c>
      <c r="C79" s="114">
        <v>42.6375</v>
      </c>
      <c r="D79" s="114">
        <v>45.6375</v>
      </c>
      <c r="E79" s="114">
        <v>51.8875</v>
      </c>
      <c r="F79" s="114">
        <v>59.9375</v>
      </c>
      <c r="G79" s="114">
        <v>49.625</v>
      </c>
      <c r="H79" s="114">
        <v>65.025</v>
      </c>
      <c r="I79" s="114">
        <v>76.425</v>
      </c>
      <c r="J79" s="86"/>
      <c r="K79" s="86"/>
      <c r="L79" s="86"/>
    </row>
    <row r="80" spans="1:12" ht="15">
      <c r="A80">
        <v>1978</v>
      </c>
      <c r="B80" s="110" t="s">
        <v>161</v>
      </c>
      <c r="C80" s="114">
        <v>44.73809523809524</v>
      </c>
      <c r="D80" s="114">
        <v>47.214285714285715</v>
      </c>
      <c r="E80" s="114">
        <v>53.69047619047619</v>
      </c>
      <c r="F80" s="114">
        <v>60.73809523809524</v>
      </c>
      <c r="G80" s="114">
        <v>52.8875</v>
      </c>
      <c r="H80" s="114">
        <v>68.89285714285714</v>
      </c>
      <c r="I80" s="114">
        <v>82.9875</v>
      </c>
      <c r="J80" s="86"/>
      <c r="K80" s="86"/>
      <c r="L80" s="86"/>
    </row>
    <row r="81" spans="1:12" ht="15">
      <c r="A81">
        <v>1978</v>
      </c>
      <c r="B81" s="110" t="s">
        <v>162</v>
      </c>
      <c r="C81" s="114">
        <v>44.776315789473685</v>
      </c>
      <c r="D81" s="114">
        <v>48.35526315789474</v>
      </c>
      <c r="E81" s="114">
        <v>54.828947368421055</v>
      </c>
      <c r="F81" s="114">
        <v>61.30263157894737</v>
      </c>
      <c r="G81" s="114">
        <v>59</v>
      </c>
      <c r="H81" s="114">
        <v>78.52631578947368</v>
      </c>
      <c r="I81" s="114">
        <v>96.57894736842105</v>
      </c>
      <c r="J81" s="86"/>
      <c r="K81" s="86"/>
      <c r="L81" s="86"/>
    </row>
    <row r="82" spans="1:12" ht="15">
      <c r="A82">
        <v>1978</v>
      </c>
      <c r="B82" s="110" t="s">
        <v>163</v>
      </c>
      <c r="C82" s="114">
        <v>42.291666666666664</v>
      </c>
      <c r="D82" s="114">
        <v>46.958333333333336</v>
      </c>
      <c r="E82" s="114">
        <v>53.90277777777778</v>
      </c>
      <c r="F82" s="114">
        <v>61.84722222222222</v>
      </c>
      <c r="G82" s="114">
        <v>66.01388888888889</v>
      </c>
      <c r="H82" s="114">
        <v>82.68055555555556</v>
      </c>
      <c r="I82" s="114">
        <v>95.34722222222223</v>
      </c>
      <c r="J82" s="86"/>
      <c r="K82" s="86"/>
      <c r="L82" s="86"/>
    </row>
    <row r="83" spans="1:12" ht="15">
      <c r="A83" s="85">
        <v>1979</v>
      </c>
      <c r="B83" s="113" t="s">
        <v>153</v>
      </c>
      <c r="C83" s="114">
        <v>44.72727272727273</v>
      </c>
      <c r="D83" s="114">
        <v>51.45454545454545</v>
      </c>
      <c r="E83" s="114">
        <v>60.18181818181818</v>
      </c>
      <c r="F83" s="114">
        <v>69.86363636363636</v>
      </c>
      <c r="G83" s="114">
        <v>70.3409090909091</v>
      </c>
      <c r="H83" s="114">
        <v>86.29545454545455</v>
      </c>
      <c r="I83" s="114">
        <v>98.20454545454545</v>
      </c>
      <c r="J83" s="86"/>
      <c r="K83" s="86"/>
      <c r="L83" s="86"/>
    </row>
    <row r="84" spans="1:12" ht="15">
      <c r="A84">
        <v>1979</v>
      </c>
      <c r="B84" s="113" t="s">
        <v>154</v>
      </c>
      <c r="C84" s="114">
        <v>47.19444444444444</v>
      </c>
      <c r="D84" s="114">
        <v>57.39473684210526</v>
      </c>
      <c r="E84" s="114">
        <v>66.28947368421052</v>
      </c>
      <c r="F84" s="114">
        <v>75.60526315789474</v>
      </c>
      <c r="G84" s="114">
        <v>75.75</v>
      </c>
      <c r="H84" s="114">
        <v>91.75</v>
      </c>
      <c r="I84" s="114">
        <v>103.75</v>
      </c>
      <c r="J84" s="86"/>
      <c r="K84" s="86"/>
      <c r="L84" s="86"/>
    </row>
    <row r="85" spans="1:12" ht="15">
      <c r="A85">
        <v>1979</v>
      </c>
      <c r="B85" s="113" t="s">
        <v>155</v>
      </c>
      <c r="C85" s="114">
        <v>48.39772727272727</v>
      </c>
      <c r="D85" s="114">
        <v>57.48863636363637</v>
      </c>
      <c r="E85" s="114">
        <v>65.2159090909091</v>
      </c>
      <c r="F85" s="114">
        <v>73.17045454545455</v>
      </c>
      <c r="G85" s="114">
        <v>80.31818181818181</v>
      </c>
      <c r="H85" s="114">
        <v>96.27272727272727</v>
      </c>
      <c r="I85" s="114">
        <v>108.22727272727273</v>
      </c>
      <c r="J85" s="86"/>
      <c r="K85" s="86"/>
      <c r="L85" s="86"/>
    </row>
    <row r="86" spans="1:12" ht="15">
      <c r="A86">
        <v>1979</v>
      </c>
      <c r="B86" s="113" t="s">
        <v>156</v>
      </c>
      <c r="C86" s="114">
        <v>43.775</v>
      </c>
      <c r="D86" s="114">
        <v>51.825</v>
      </c>
      <c r="E86" s="114">
        <v>58.825</v>
      </c>
      <c r="F86" s="114">
        <v>68.625</v>
      </c>
      <c r="G86" s="114">
        <v>64.25</v>
      </c>
      <c r="H86" s="114">
        <v>80.95</v>
      </c>
      <c r="I86" s="114">
        <v>92.85</v>
      </c>
      <c r="J86" s="86"/>
      <c r="K86" s="86"/>
      <c r="L86" s="86"/>
    </row>
    <row r="87" spans="1:12" ht="15">
      <c r="A87">
        <v>1979</v>
      </c>
      <c r="B87" s="113" t="s">
        <v>157</v>
      </c>
      <c r="C87" s="114">
        <v>37.77272727272727</v>
      </c>
      <c r="D87" s="114">
        <v>47.45454545454545</v>
      </c>
      <c r="E87" s="114">
        <v>59.90909090909091</v>
      </c>
      <c r="F87" s="114">
        <v>72.5909090909091</v>
      </c>
      <c r="G87" s="114">
        <v>60.82954545454545</v>
      </c>
      <c r="H87" s="114">
        <v>79.64772727272727</v>
      </c>
      <c r="I87" s="114">
        <v>95.55681818181819</v>
      </c>
      <c r="J87" s="86"/>
      <c r="K87" s="86"/>
      <c r="L87" s="86"/>
    </row>
    <row r="88" spans="1:12" ht="15">
      <c r="A88">
        <v>1979</v>
      </c>
      <c r="B88" s="113" t="s">
        <v>158</v>
      </c>
      <c r="C88" s="114">
        <v>30.892857142857142</v>
      </c>
      <c r="D88" s="114">
        <v>39.36904761904762</v>
      </c>
      <c r="E88" s="114">
        <v>51.083333333333336</v>
      </c>
      <c r="F88" s="114">
        <v>71.70238095238095</v>
      </c>
      <c r="G88" s="114">
        <v>63.785714285714285</v>
      </c>
      <c r="H88" s="114">
        <v>83.78571428571429</v>
      </c>
      <c r="I88" s="114">
        <v>100.35714285714286</v>
      </c>
      <c r="J88" s="86"/>
      <c r="K88" s="86"/>
      <c r="L88" s="86"/>
    </row>
    <row r="89" spans="1:12" ht="15">
      <c r="A89">
        <v>1979</v>
      </c>
      <c r="B89" s="113" t="s">
        <v>159</v>
      </c>
      <c r="C89" s="114">
        <v>34.833333333333336</v>
      </c>
      <c r="D89" s="114">
        <v>40.92857142857143</v>
      </c>
      <c r="E89" s="114">
        <v>48.07142857142857</v>
      </c>
      <c r="F89" s="114">
        <v>58.54761904761905</v>
      </c>
      <c r="G89" s="114">
        <v>55.61904761904762</v>
      </c>
      <c r="H89" s="114">
        <v>75.61904761904762</v>
      </c>
      <c r="I89" s="114">
        <v>88.42857142857143</v>
      </c>
      <c r="J89" s="86"/>
      <c r="K89" s="86"/>
      <c r="L89" s="86"/>
    </row>
    <row r="90" spans="1:12" ht="15">
      <c r="A90">
        <v>1979</v>
      </c>
      <c r="B90" s="113" t="s">
        <v>0</v>
      </c>
      <c r="C90" s="114">
        <v>35.5</v>
      </c>
      <c r="D90" s="114">
        <v>38.71739130434783</v>
      </c>
      <c r="E90" s="114">
        <v>43.369565217391305</v>
      </c>
      <c r="F90" s="114">
        <v>56.108695652173914</v>
      </c>
      <c r="G90" s="114">
        <v>57.880434782608695</v>
      </c>
      <c r="H90" s="114">
        <v>75.18478260869566</v>
      </c>
      <c r="I90" s="114">
        <v>84.40217391304348</v>
      </c>
      <c r="J90" s="86"/>
      <c r="K90" s="86"/>
      <c r="L90" s="86"/>
    </row>
    <row r="91" spans="1:12" ht="15">
      <c r="A91">
        <v>1979</v>
      </c>
      <c r="B91" s="113" t="s">
        <v>160</v>
      </c>
      <c r="C91" s="114">
        <v>39.53947368421053</v>
      </c>
      <c r="D91" s="114">
        <v>41.01315789473684</v>
      </c>
      <c r="E91" s="114">
        <v>45.276315789473685</v>
      </c>
      <c r="F91" s="114">
        <v>62.9078947368421</v>
      </c>
      <c r="G91" s="114">
        <v>58.3421052631579</v>
      </c>
      <c r="H91" s="114">
        <v>72.86842105263158</v>
      </c>
      <c r="I91" s="114">
        <v>80.65789473684211</v>
      </c>
      <c r="J91" s="86"/>
      <c r="K91" s="86"/>
      <c r="L91" s="86"/>
    </row>
    <row r="92" spans="1:12" ht="15">
      <c r="A92">
        <v>1979</v>
      </c>
      <c r="B92" s="113" t="s">
        <v>161</v>
      </c>
      <c r="C92" s="114">
        <v>36.15217391304348</v>
      </c>
      <c r="D92" s="114">
        <v>36.80434782608695</v>
      </c>
      <c r="E92" s="114">
        <v>40.71739130434783</v>
      </c>
      <c r="F92" s="114">
        <v>56.97826086956522</v>
      </c>
      <c r="G92" s="114">
        <v>65.3695652173913</v>
      </c>
      <c r="H92" s="114">
        <v>73.97826086956522</v>
      </c>
      <c r="I92" s="114">
        <v>77.84782608695652</v>
      </c>
      <c r="J92" s="86"/>
      <c r="K92" s="86"/>
      <c r="L92" s="86"/>
    </row>
    <row r="93" spans="1:12" ht="15">
      <c r="A93">
        <v>1979</v>
      </c>
      <c r="B93" s="113" t="s">
        <v>162</v>
      </c>
      <c r="C93" s="114">
        <v>48.404761904761905</v>
      </c>
      <c r="D93" s="114">
        <v>48.404761904761905</v>
      </c>
      <c r="E93" s="114">
        <v>50.07142857142857</v>
      </c>
      <c r="F93" s="114">
        <v>61.88095238095238</v>
      </c>
      <c r="G93" s="114">
        <v>78.1547619047619</v>
      </c>
      <c r="H93" s="114">
        <v>84.82142857142857</v>
      </c>
      <c r="I93" s="114">
        <v>88.05952380952381</v>
      </c>
      <c r="J93" s="86"/>
      <c r="K93" s="86"/>
      <c r="L93" s="86"/>
    </row>
    <row r="94" spans="1:12" ht="15">
      <c r="A94">
        <v>1979</v>
      </c>
      <c r="B94" s="113" t="s">
        <v>163</v>
      </c>
      <c r="C94" s="114">
        <v>37.86842105263158</v>
      </c>
      <c r="D94" s="114">
        <v>37.86842105263158</v>
      </c>
      <c r="E94" s="114">
        <v>37.921052631578945</v>
      </c>
      <c r="F94" s="114">
        <v>44.973684210526315</v>
      </c>
      <c r="G94" s="114">
        <v>63.53947368421053</v>
      </c>
      <c r="H94" s="114">
        <v>70.75</v>
      </c>
      <c r="I94" s="114">
        <v>74.22368421052632</v>
      </c>
      <c r="J94" s="86"/>
      <c r="K94" s="86"/>
      <c r="L94" s="86"/>
    </row>
    <row r="95" spans="1:12" ht="15">
      <c r="A95" s="85">
        <v>1980</v>
      </c>
      <c r="B95" s="113" t="s">
        <v>153</v>
      </c>
      <c r="C95" s="114">
        <v>14.15</v>
      </c>
      <c r="D95" s="114">
        <v>15.05</v>
      </c>
      <c r="E95" s="114">
        <v>15.05</v>
      </c>
      <c r="F95" s="114">
        <v>22.6973684210526</v>
      </c>
      <c r="G95" s="114">
        <v>50.8373684210526</v>
      </c>
      <c r="H95" s="114">
        <v>59.658</v>
      </c>
      <c r="I95" s="114">
        <v>66.008</v>
      </c>
      <c r="J95" s="86"/>
      <c r="K95" s="86"/>
      <c r="L95" s="86"/>
    </row>
    <row r="96" spans="1:12" ht="15">
      <c r="A96">
        <v>1980</v>
      </c>
      <c r="B96" s="113" t="s">
        <v>154</v>
      </c>
      <c r="C96" s="114">
        <v>15.7625</v>
      </c>
      <c r="D96" s="114">
        <v>17.6125</v>
      </c>
      <c r="E96" s="114">
        <v>19.4625</v>
      </c>
      <c r="F96" s="114">
        <v>26.5625</v>
      </c>
      <c r="G96" s="114">
        <v>52.8</v>
      </c>
      <c r="H96" s="114">
        <v>62.6</v>
      </c>
      <c r="I96" s="114">
        <v>69.2</v>
      </c>
      <c r="J96" s="86"/>
      <c r="K96" s="86"/>
      <c r="L96" s="86"/>
    </row>
    <row r="97" spans="1:12" ht="15">
      <c r="A97">
        <v>1980</v>
      </c>
      <c r="B97" s="113" t="s">
        <v>155</v>
      </c>
      <c r="C97" s="114">
        <v>17.6125</v>
      </c>
      <c r="D97" s="114">
        <v>19.6125</v>
      </c>
      <c r="E97" s="114">
        <v>23.5625</v>
      </c>
      <c r="F97" s="114">
        <v>36.0125</v>
      </c>
      <c r="G97" s="114">
        <v>57.525</v>
      </c>
      <c r="H97" s="114">
        <v>69.525</v>
      </c>
      <c r="I97" s="114">
        <v>79.025</v>
      </c>
      <c r="J97" s="86"/>
      <c r="K97" s="86"/>
      <c r="L97" s="86"/>
    </row>
    <row r="98" spans="1:12" ht="15">
      <c r="A98">
        <v>1980</v>
      </c>
      <c r="B98" s="113" t="s">
        <v>156</v>
      </c>
      <c r="C98" s="114">
        <v>36.7814285714286</v>
      </c>
      <c r="D98" s="114">
        <v>38.5433333333333</v>
      </c>
      <c r="E98" s="114">
        <v>43.7338095238095</v>
      </c>
      <c r="F98" s="114">
        <v>57.7814285714286</v>
      </c>
      <c r="G98" s="114">
        <v>75.2023809523809</v>
      </c>
      <c r="H98" s="114">
        <v>86.6785714285714</v>
      </c>
      <c r="I98" s="114">
        <v>96.5357142857143</v>
      </c>
      <c r="J98" s="86"/>
      <c r="K98" s="86"/>
      <c r="L98" s="86"/>
    </row>
    <row r="99" spans="1:12" ht="15">
      <c r="A99">
        <v>1980</v>
      </c>
      <c r="B99" s="113" t="s">
        <v>157</v>
      </c>
      <c r="C99" s="114">
        <v>30.0238095238095</v>
      </c>
      <c r="D99" s="114">
        <v>31.7857142857143</v>
      </c>
      <c r="E99" s="114">
        <v>37.4047619047619</v>
      </c>
      <c r="F99" s="114">
        <v>55.6428571428571</v>
      </c>
      <c r="G99" s="114">
        <v>64.8452380952381</v>
      </c>
      <c r="H99" s="114">
        <v>79.9404761904762</v>
      </c>
      <c r="I99" s="114">
        <v>89.9880952380952</v>
      </c>
      <c r="J99" s="86"/>
      <c r="K99" s="86"/>
      <c r="L99" s="86"/>
    </row>
    <row r="100" spans="1:12" ht="15">
      <c r="A100">
        <v>1980</v>
      </c>
      <c r="B100" s="113" t="s">
        <v>158</v>
      </c>
      <c r="C100" s="114">
        <v>35.6547619047619</v>
      </c>
      <c r="D100" s="114">
        <v>37.1785714285714</v>
      </c>
      <c r="E100" s="114">
        <v>45.4642857142857</v>
      </c>
      <c r="F100" s="114">
        <v>66.7023809523809</v>
      </c>
      <c r="G100" s="114">
        <v>73.7619047619048</v>
      </c>
      <c r="H100" s="114">
        <v>89.6666666666667</v>
      </c>
      <c r="I100" s="114">
        <v>97.6666666666667</v>
      </c>
      <c r="J100" s="86"/>
      <c r="K100" s="86"/>
      <c r="L100" s="86"/>
    </row>
    <row r="101" spans="1:12" ht="15">
      <c r="A101">
        <v>1980</v>
      </c>
      <c r="B101" s="113" t="s">
        <v>159</v>
      </c>
      <c r="C101" s="114">
        <v>23.8863636363636</v>
      </c>
      <c r="D101" s="114">
        <v>26.3409090909091</v>
      </c>
      <c r="E101" s="114">
        <v>35.7954545454545</v>
      </c>
      <c r="F101" s="114">
        <v>63.9318181818182</v>
      </c>
      <c r="G101" s="114">
        <v>82.1931818181818</v>
      </c>
      <c r="H101" s="114">
        <v>94.2386363636364</v>
      </c>
      <c r="I101" s="114">
        <v>102.238636363636</v>
      </c>
      <c r="J101" s="86"/>
      <c r="K101" s="86"/>
      <c r="L101" s="86"/>
    </row>
    <row r="102" spans="1:12" ht="15">
      <c r="A102">
        <v>1980</v>
      </c>
      <c r="B102" s="113" t="s">
        <v>0</v>
      </c>
      <c r="C102" s="114">
        <v>20.5595238095238</v>
      </c>
      <c r="D102" s="114">
        <v>24.6547619047619</v>
      </c>
      <c r="E102" s="114">
        <v>34.3214285714286</v>
      </c>
      <c r="F102" s="114">
        <v>62.7023809523809</v>
      </c>
      <c r="G102" s="114">
        <v>70.9880952380952</v>
      </c>
      <c r="H102" s="114">
        <v>85.3690476190476</v>
      </c>
      <c r="I102" s="114">
        <v>92.2261904761905</v>
      </c>
      <c r="J102" s="86"/>
      <c r="K102" s="86"/>
      <c r="L102" s="86"/>
    </row>
    <row r="103" spans="1:12" ht="15">
      <c r="A103">
        <v>1980</v>
      </c>
      <c r="B103" s="113" t="s">
        <v>160</v>
      </c>
      <c r="C103" s="114">
        <v>-7.07142857142857</v>
      </c>
      <c r="D103" s="114">
        <v>0.928571428571429</v>
      </c>
      <c r="E103" s="114">
        <v>20.0238095238095</v>
      </c>
      <c r="F103" s="114">
        <v>47.7380952380952</v>
      </c>
      <c r="G103" s="114">
        <v>67.2619047619048</v>
      </c>
      <c r="H103" s="114">
        <v>86.0238095238095</v>
      </c>
      <c r="I103" s="114">
        <v>109.880952380952</v>
      </c>
      <c r="J103" s="86"/>
      <c r="K103" s="86"/>
      <c r="L103" s="86"/>
    </row>
    <row r="104" spans="1:12" ht="15">
      <c r="A104">
        <v>1980</v>
      </c>
      <c r="B104" s="113" t="s">
        <v>161</v>
      </c>
      <c r="C104" s="114">
        <v>0.238095238095238</v>
      </c>
      <c r="D104" s="114">
        <v>7.52380952380952</v>
      </c>
      <c r="E104" s="114">
        <v>24.6190476190476</v>
      </c>
      <c r="F104" s="114">
        <v>44.5714285714286</v>
      </c>
      <c r="G104" s="114">
        <v>74.2380952380952</v>
      </c>
      <c r="H104" s="114">
        <v>91.5714285714286</v>
      </c>
      <c r="I104" s="114">
        <v>125.47619047619</v>
      </c>
      <c r="J104" s="86"/>
      <c r="K104" s="86"/>
      <c r="L104" s="86"/>
    </row>
    <row r="105" spans="1:12" ht="15">
      <c r="A105">
        <v>1980</v>
      </c>
      <c r="B105" s="113" t="s">
        <v>162</v>
      </c>
      <c r="C105" s="114">
        <v>26.9705882352941</v>
      </c>
      <c r="D105" s="114">
        <v>32.3823529411765</v>
      </c>
      <c r="E105" s="114">
        <v>45.1470588235294</v>
      </c>
      <c r="F105" s="114">
        <v>65.7941176470588</v>
      </c>
      <c r="G105" s="114">
        <v>69.5</v>
      </c>
      <c r="H105" s="114">
        <v>94.6764705882353</v>
      </c>
      <c r="I105" s="114">
        <v>117.911764705882</v>
      </c>
      <c r="J105" s="86"/>
      <c r="K105" s="86"/>
      <c r="L105" s="86"/>
    </row>
    <row r="106" spans="1:12" ht="15">
      <c r="A106">
        <v>1980</v>
      </c>
      <c r="B106" s="113" t="s">
        <v>163</v>
      </c>
      <c r="C106" s="114">
        <v>18.7619047619048</v>
      </c>
      <c r="D106" s="114">
        <v>21.5714285714286</v>
      </c>
      <c r="E106" s="114">
        <v>36.6666666666667</v>
      </c>
      <c r="F106" s="114">
        <v>57.047619047619</v>
      </c>
      <c r="G106" s="114">
        <v>55.5714285714286</v>
      </c>
      <c r="H106" s="114">
        <v>83.5714285714286</v>
      </c>
      <c r="I106" s="114">
        <v>103.857142857143</v>
      </c>
      <c r="J106" s="86"/>
      <c r="K106" s="86"/>
      <c r="L106" s="86"/>
    </row>
    <row r="107" spans="1:12" ht="15">
      <c r="A107" s="85">
        <v>1981</v>
      </c>
      <c r="B107" s="113" t="s">
        <v>153</v>
      </c>
      <c r="C107" s="114">
        <v>31.261904761904763</v>
      </c>
      <c r="D107" s="114">
        <v>32.642857142857146</v>
      </c>
      <c r="E107" s="114">
        <v>41.92857142857143</v>
      </c>
      <c r="F107" s="114">
        <v>62.45238095238095</v>
      </c>
      <c r="G107" s="114">
        <v>67.48809523809524</v>
      </c>
      <c r="H107" s="114">
        <v>89.20238095238095</v>
      </c>
      <c r="I107" s="114">
        <v>107.86904761904762</v>
      </c>
      <c r="J107" s="86"/>
      <c r="K107" s="86"/>
      <c r="L107" s="86"/>
    </row>
    <row r="108" spans="1:12" ht="15">
      <c r="A108">
        <v>1981</v>
      </c>
      <c r="B108" s="110" t="s">
        <v>154</v>
      </c>
      <c r="C108" s="114">
        <v>38</v>
      </c>
      <c r="D108" s="114">
        <v>39.05263157894737</v>
      </c>
      <c r="E108" s="114">
        <v>50.89473684210526</v>
      </c>
      <c r="F108" s="114">
        <v>72.57894736842105</v>
      </c>
      <c r="G108" s="114">
        <v>75.23684210526316</v>
      </c>
      <c r="H108" s="114">
        <v>90.92105263157895</v>
      </c>
      <c r="I108" s="114">
        <v>110.86842105263158</v>
      </c>
      <c r="J108" s="86"/>
      <c r="K108" s="86"/>
      <c r="L108" s="86"/>
    </row>
    <row r="109" spans="1:12" ht="15">
      <c r="A109">
        <v>1981</v>
      </c>
      <c r="B109" s="110" t="s">
        <v>155</v>
      </c>
      <c r="C109" s="114">
        <v>36.01136363636363</v>
      </c>
      <c r="D109" s="114">
        <v>36.96590909090909</v>
      </c>
      <c r="E109" s="114">
        <v>50.92045454545455</v>
      </c>
      <c r="F109" s="114">
        <v>73.2840909090909</v>
      </c>
      <c r="G109" s="114">
        <v>87.45454545454545</v>
      </c>
      <c r="H109" s="114">
        <v>101.4090909090909</v>
      </c>
      <c r="I109" s="114">
        <v>123.63636363636364</v>
      </c>
      <c r="J109" s="86"/>
      <c r="K109" s="86"/>
      <c r="L109" s="86"/>
    </row>
    <row r="110" spans="1:12" ht="15">
      <c r="A110">
        <v>1981</v>
      </c>
      <c r="B110" s="110" t="s">
        <v>156</v>
      </c>
      <c r="C110" s="114">
        <v>38.63095238095238</v>
      </c>
      <c r="D110" s="114">
        <v>39.773809523809526</v>
      </c>
      <c r="E110" s="114">
        <v>58.25</v>
      </c>
      <c r="F110" s="114">
        <v>81.05952380952381</v>
      </c>
      <c r="G110" s="114">
        <v>108.17857142857143</v>
      </c>
      <c r="H110" s="114">
        <v>123.03571428571429</v>
      </c>
      <c r="I110" s="114">
        <v>143.9404761904762</v>
      </c>
      <c r="J110" s="86"/>
      <c r="K110" s="86"/>
      <c r="L110" s="86"/>
    </row>
    <row r="111" spans="1:12" ht="15">
      <c r="A111">
        <v>1981</v>
      </c>
      <c r="B111" s="110" t="s">
        <v>157</v>
      </c>
      <c r="C111" s="114">
        <v>29.325</v>
      </c>
      <c r="D111" s="114">
        <v>33.625</v>
      </c>
      <c r="E111" s="114">
        <v>57.275</v>
      </c>
      <c r="F111" s="114">
        <v>86.875</v>
      </c>
      <c r="G111" s="114">
        <v>109.7625</v>
      </c>
      <c r="H111" s="114">
        <v>125.8125</v>
      </c>
      <c r="I111" s="114">
        <v>153.0625</v>
      </c>
      <c r="J111" s="86"/>
      <c r="K111" s="86"/>
      <c r="L111" s="86"/>
    </row>
    <row r="112" spans="1:12" ht="15">
      <c r="A112">
        <v>1981</v>
      </c>
      <c r="B112" s="110" t="s">
        <v>158</v>
      </c>
      <c r="C112" s="114">
        <v>15.758636363636363</v>
      </c>
      <c r="D112" s="114">
        <v>33.80409090909091</v>
      </c>
      <c r="E112" s="114">
        <v>55.48590909090909</v>
      </c>
      <c r="F112" s="114">
        <v>81.75863636363637</v>
      </c>
      <c r="G112" s="114">
        <v>94.85227272727273</v>
      </c>
      <c r="H112" s="114">
        <v>110.89772727272727</v>
      </c>
      <c r="I112" s="114">
        <v>134.67045454545453</v>
      </c>
      <c r="J112" s="86"/>
      <c r="K112" s="86"/>
      <c r="L112" s="86"/>
    </row>
    <row r="113" spans="1:12" ht="15">
      <c r="A113">
        <v>1981</v>
      </c>
      <c r="B113" s="110" t="s">
        <v>159</v>
      </c>
      <c r="C113" s="114">
        <v>12.477272727272727</v>
      </c>
      <c r="D113" s="114">
        <v>21.522727272727273</v>
      </c>
      <c r="E113" s="114">
        <v>34.56818181818182</v>
      </c>
      <c r="F113" s="114">
        <v>52.61363636363637</v>
      </c>
      <c r="G113" s="114">
        <v>75.375</v>
      </c>
      <c r="H113" s="114">
        <v>91.375</v>
      </c>
      <c r="I113" s="114">
        <v>109.42045454545455</v>
      </c>
      <c r="J113" s="86"/>
      <c r="K113" s="86"/>
      <c r="L113" s="86"/>
    </row>
    <row r="114" spans="1:12" ht="15">
      <c r="A114">
        <v>1981</v>
      </c>
      <c r="B114" s="110" t="s">
        <v>0</v>
      </c>
      <c r="C114" s="114">
        <v>12.845238095238095</v>
      </c>
      <c r="D114" s="114">
        <v>21.083333333333332</v>
      </c>
      <c r="E114" s="114">
        <v>32.273809523809526</v>
      </c>
      <c r="F114" s="114">
        <v>46.464285714285715</v>
      </c>
      <c r="G114" s="114">
        <v>60.333333333333336</v>
      </c>
      <c r="H114" s="114">
        <v>79.85714285714286</v>
      </c>
      <c r="I114" s="114">
        <v>94.61904761904762</v>
      </c>
      <c r="J114" s="86"/>
      <c r="K114" s="86"/>
      <c r="L114" s="86"/>
    </row>
    <row r="115" spans="1:12" ht="15">
      <c r="A115">
        <v>1981</v>
      </c>
      <c r="B115" s="110" t="s">
        <v>160</v>
      </c>
      <c r="C115" s="114">
        <v>18.273809523809526</v>
      </c>
      <c r="D115" s="114">
        <v>29.845238095238095</v>
      </c>
      <c r="E115" s="114">
        <v>39.94047619047619</v>
      </c>
      <c r="F115" s="114">
        <v>51.845238095238095</v>
      </c>
      <c r="G115" s="114">
        <v>42.61904761904762</v>
      </c>
      <c r="H115" s="114">
        <v>66.04761904761905</v>
      </c>
      <c r="I115" s="114">
        <v>78</v>
      </c>
      <c r="J115" s="86"/>
      <c r="K115" s="86"/>
      <c r="L115" s="86"/>
    </row>
    <row r="116" spans="1:12" ht="15">
      <c r="A116">
        <v>1981</v>
      </c>
      <c r="B116" s="110" t="s">
        <v>161</v>
      </c>
      <c r="C116" s="114">
        <v>16.204545454545453</v>
      </c>
      <c r="D116" s="114">
        <v>30.386363636363637</v>
      </c>
      <c r="E116" s="114">
        <v>38.43181818181818</v>
      </c>
      <c r="F116" s="114">
        <v>47.02272727272727</v>
      </c>
      <c r="G116" s="114">
        <v>53</v>
      </c>
      <c r="H116" s="114">
        <v>69.22727272727273</v>
      </c>
      <c r="I116" s="114">
        <v>77.77272727272727</v>
      </c>
      <c r="J116" s="86"/>
      <c r="K116" s="86"/>
      <c r="L116" s="86"/>
    </row>
    <row r="117" spans="1:12" ht="15">
      <c r="A117">
        <v>1981</v>
      </c>
      <c r="B117" s="110" t="s">
        <v>162</v>
      </c>
      <c r="C117" s="114">
        <v>21.625</v>
      </c>
      <c r="D117" s="114">
        <v>33.525</v>
      </c>
      <c r="E117" s="114">
        <v>41.725</v>
      </c>
      <c r="F117" s="114">
        <v>50.625</v>
      </c>
      <c r="G117" s="114">
        <v>61.1955</v>
      </c>
      <c r="H117" s="114">
        <v>74.5955</v>
      </c>
      <c r="I117" s="114">
        <v>82.5955</v>
      </c>
      <c r="J117" s="86"/>
      <c r="K117" s="86"/>
      <c r="L117" s="86"/>
    </row>
    <row r="118" spans="1:12" ht="15">
      <c r="A118">
        <v>1981</v>
      </c>
      <c r="B118" s="110" t="s">
        <v>163</v>
      </c>
      <c r="C118" s="114">
        <v>10.147727272727273</v>
      </c>
      <c r="D118" s="114">
        <v>20.556818181818183</v>
      </c>
      <c r="E118" s="114">
        <v>28.420454545454547</v>
      </c>
      <c r="F118" s="114">
        <v>36.46590909090909</v>
      </c>
      <c r="G118" s="114">
        <v>57.59090909090909</v>
      </c>
      <c r="H118" s="114">
        <v>68.45454545454545</v>
      </c>
      <c r="I118" s="114">
        <v>76.31818181818181</v>
      </c>
      <c r="J118" s="86"/>
      <c r="K118" s="86"/>
      <c r="L118" s="86"/>
    </row>
    <row r="119" spans="1:12" ht="15">
      <c r="A119" s="85">
        <v>1982</v>
      </c>
      <c r="B119" s="113" t="s">
        <v>153</v>
      </c>
      <c r="C119" s="114">
        <v>19.025</v>
      </c>
      <c r="D119" s="114">
        <v>35.225</v>
      </c>
      <c r="E119" s="114">
        <v>45.325</v>
      </c>
      <c r="F119" s="114">
        <v>56.875</v>
      </c>
      <c r="G119" s="114">
        <v>75.25</v>
      </c>
      <c r="H119" s="114">
        <v>84.45</v>
      </c>
      <c r="I119" s="114">
        <v>92.85</v>
      </c>
      <c r="J119" s="86"/>
      <c r="K119" s="86"/>
      <c r="L119" s="86"/>
    </row>
    <row r="120" spans="1:12" ht="15">
      <c r="A120">
        <v>1982</v>
      </c>
      <c r="B120" s="113" t="s">
        <v>154</v>
      </c>
      <c r="C120" s="114">
        <v>-119.539473684211</v>
      </c>
      <c r="D120" s="114">
        <v>39.1447368421053</v>
      </c>
      <c r="E120" s="114">
        <v>57.5131578947368</v>
      </c>
      <c r="F120" s="114">
        <v>70.6184210526316</v>
      </c>
      <c r="G120" s="114">
        <v>79.5263157894737</v>
      </c>
      <c r="H120" s="114">
        <v>87.421052631579</v>
      </c>
      <c r="I120" s="114">
        <v>99.0526315789474</v>
      </c>
      <c r="J120" s="86"/>
      <c r="K120" s="86"/>
      <c r="L120" s="86"/>
    </row>
    <row r="121" spans="1:12" ht="15">
      <c r="A121">
        <v>1982</v>
      </c>
      <c r="B121" s="113" t="s">
        <v>155</v>
      </c>
      <c r="C121" s="114">
        <v>-123.673913043478</v>
      </c>
      <c r="D121" s="114">
        <v>40.1086956521739</v>
      </c>
      <c r="E121" s="114">
        <v>57.8913043478261</v>
      </c>
      <c r="F121" s="114">
        <v>78.7608695652174</v>
      </c>
      <c r="G121" s="114">
        <v>85.2934782608696</v>
      </c>
      <c r="H121" s="114">
        <v>94.0326086956522</v>
      </c>
      <c r="I121" s="114">
        <v>108.032608695652</v>
      </c>
      <c r="J121" s="86"/>
      <c r="K121" s="86"/>
      <c r="L121" s="86"/>
    </row>
    <row r="122" spans="1:12" ht="15">
      <c r="A122">
        <v>1982</v>
      </c>
      <c r="B122" s="113" t="s">
        <v>178</v>
      </c>
      <c r="C122" s="114">
        <v>-18.4404761904762</v>
      </c>
      <c r="D122" s="114">
        <v>34.8452380952381</v>
      </c>
      <c r="E122" s="114">
        <v>58.5119047619048</v>
      </c>
      <c r="F122" s="114">
        <v>79.2738095238095</v>
      </c>
      <c r="G122" s="114">
        <v>82.7380952380952</v>
      </c>
      <c r="H122" s="114">
        <v>92.8333333333333</v>
      </c>
      <c r="I122" s="114">
        <v>109.261904761905</v>
      </c>
      <c r="J122" s="86"/>
      <c r="K122" s="86"/>
      <c r="L122" s="86"/>
    </row>
    <row r="123" spans="1:12" ht="15">
      <c r="A123">
        <v>1982</v>
      </c>
      <c r="B123" s="113" t="s">
        <v>157</v>
      </c>
      <c r="C123" s="114">
        <v>34.8625</v>
      </c>
      <c r="D123" s="114">
        <v>54.9125</v>
      </c>
      <c r="E123" s="114">
        <v>76.2125</v>
      </c>
      <c r="F123" s="114">
        <v>95.6625</v>
      </c>
      <c r="G123" s="114">
        <v>81.625</v>
      </c>
      <c r="H123" s="114">
        <v>91.625</v>
      </c>
      <c r="I123" s="114">
        <v>107.425</v>
      </c>
      <c r="J123" s="86"/>
      <c r="K123" s="86"/>
      <c r="L123" s="86"/>
    </row>
    <row r="124" spans="1:12" ht="15">
      <c r="A124">
        <v>1982</v>
      </c>
      <c r="B124" s="113" t="s">
        <v>158</v>
      </c>
      <c r="C124" s="114">
        <v>39.6477272727273</v>
      </c>
      <c r="D124" s="114">
        <v>70.0568181818182</v>
      </c>
      <c r="E124" s="114">
        <v>91.3295454545455</v>
      </c>
      <c r="F124" s="114">
        <v>107.875</v>
      </c>
      <c r="G124" s="114">
        <v>81.8863636363636</v>
      </c>
      <c r="H124" s="114">
        <v>94.7045454545455</v>
      </c>
      <c r="I124" s="114">
        <v>105.022727272727</v>
      </c>
      <c r="J124" s="86"/>
      <c r="K124" s="86"/>
      <c r="L124" s="86"/>
    </row>
    <row r="125" spans="1:12" ht="15">
      <c r="A125">
        <v>1982</v>
      </c>
      <c r="B125" s="113" t="s">
        <v>172</v>
      </c>
      <c r="C125" s="114">
        <v>31.6428571428571</v>
      </c>
      <c r="D125" s="114">
        <v>50.4523809523809</v>
      </c>
      <c r="E125" s="114">
        <v>72.2142857142857</v>
      </c>
      <c r="F125" s="114">
        <v>89.9285714285714</v>
      </c>
      <c r="G125" s="114">
        <v>70.5952380952381</v>
      </c>
      <c r="H125" s="114">
        <v>78.7857142857143</v>
      </c>
      <c r="I125" s="114">
        <v>83.7857142857143</v>
      </c>
      <c r="J125" s="86"/>
      <c r="K125" s="86"/>
      <c r="L125" s="86"/>
    </row>
    <row r="126" spans="1:12" ht="15">
      <c r="A126">
        <v>1982</v>
      </c>
      <c r="B126" s="113" t="s">
        <v>0</v>
      </c>
      <c r="C126" s="114">
        <v>40.4886363636364</v>
      </c>
      <c r="D126" s="114">
        <v>55.3522727272727</v>
      </c>
      <c r="E126" s="114">
        <v>71.3977272727273</v>
      </c>
      <c r="F126" s="114">
        <v>90.8522727272727</v>
      </c>
      <c r="G126" s="114">
        <v>57.5681818181818</v>
      </c>
      <c r="H126" s="114">
        <v>71.9318181818182</v>
      </c>
      <c r="I126" s="114">
        <v>78.0681818181818</v>
      </c>
      <c r="J126" s="86"/>
      <c r="K126" s="86"/>
      <c r="L126" s="86"/>
    </row>
    <row r="127" spans="1:12" ht="15">
      <c r="A127">
        <v>1982</v>
      </c>
      <c r="B127" s="113" t="s">
        <v>160</v>
      </c>
      <c r="C127" s="114">
        <v>46.5952380952381</v>
      </c>
      <c r="D127" s="114">
        <v>51.4523809523809</v>
      </c>
      <c r="E127" s="114">
        <v>66.2142857142857</v>
      </c>
      <c r="F127" s="114">
        <v>85.1190476190476</v>
      </c>
      <c r="G127" s="114">
        <v>54.3571428571429</v>
      </c>
      <c r="H127" s="114">
        <v>63.5952380952381</v>
      </c>
      <c r="I127" s="114">
        <v>71.8333333333333</v>
      </c>
      <c r="J127" s="86"/>
      <c r="K127" s="86"/>
      <c r="L127" s="86"/>
    </row>
    <row r="128" spans="1:12" ht="15">
      <c r="A128">
        <v>1982</v>
      </c>
      <c r="B128" s="113" t="s">
        <v>161</v>
      </c>
      <c r="C128" s="114">
        <v>66.1315789473684</v>
      </c>
      <c r="D128" s="114">
        <v>70.2894736842105</v>
      </c>
      <c r="E128" s="114">
        <v>86.3947368421053</v>
      </c>
      <c r="F128" s="114">
        <v>109.131578947368</v>
      </c>
      <c r="G128" s="114">
        <v>56.4342105263158</v>
      </c>
      <c r="H128" s="114">
        <v>75.4868421052632</v>
      </c>
      <c r="I128" s="114">
        <v>85.75</v>
      </c>
      <c r="J128" s="86"/>
      <c r="K128" s="86"/>
      <c r="L128" s="86"/>
    </row>
    <row r="129" spans="1:12" ht="15">
      <c r="A129">
        <v>1982</v>
      </c>
      <c r="B129" s="113" t="s">
        <v>162</v>
      </c>
      <c r="C129" s="114">
        <v>61.7916666666667</v>
      </c>
      <c r="D129" s="114">
        <v>66.2916666666667</v>
      </c>
      <c r="E129" s="114">
        <v>80.625</v>
      </c>
      <c r="F129" s="114">
        <v>98.125</v>
      </c>
      <c r="G129" s="114">
        <v>57.25</v>
      </c>
      <c r="H129" s="114">
        <v>80.1388888888889</v>
      </c>
      <c r="I129" s="114">
        <v>95.9166666666667</v>
      </c>
      <c r="J129" s="86"/>
      <c r="K129" s="86"/>
      <c r="L129" s="86"/>
    </row>
    <row r="130" spans="1:12" ht="15">
      <c r="A130">
        <v>1982</v>
      </c>
      <c r="B130" s="113" t="s">
        <v>163</v>
      </c>
      <c r="C130" s="114">
        <v>61.15</v>
      </c>
      <c r="D130" s="114">
        <v>63.05</v>
      </c>
      <c r="E130" s="114">
        <v>79.65</v>
      </c>
      <c r="F130" s="114">
        <v>104.3</v>
      </c>
      <c r="G130" s="114">
        <v>55.775</v>
      </c>
      <c r="H130" s="114">
        <v>77.625</v>
      </c>
      <c r="I130" s="114">
        <v>92.425</v>
      </c>
      <c r="J130" s="86"/>
      <c r="K130" s="86"/>
      <c r="L130" s="86"/>
    </row>
    <row r="131" spans="1:12" ht="15">
      <c r="A131" s="85">
        <v>1983</v>
      </c>
      <c r="B131" s="113" t="s">
        <v>153</v>
      </c>
      <c r="C131" s="114">
        <v>66.6309523809524</v>
      </c>
      <c r="D131" s="114">
        <v>67.2023809523809</v>
      </c>
      <c r="E131" s="114">
        <v>78.3928571428571</v>
      </c>
      <c r="F131" s="114">
        <v>95.7738095238095</v>
      </c>
      <c r="G131" s="114">
        <v>58.75</v>
      </c>
      <c r="H131" s="114">
        <v>76.2738095238095</v>
      </c>
      <c r="I131" s="114">
        <v>82.8214285714286</v>
      </c>
      <c r="J131" s="86"/>
      <c r="K131" s="86"/>
      <c r="L131" s="86"/>
    </row>
    <row r="132" spans="1:12" ht="15">
      <c r="A132">
        <v>1983</v>
      </c>
      <c r="B132" s="113" t="s">
        <v>154</v>
      </c>
      <c r="C132" s="114">
        <v>53.1184210526316</v>
      </c>
      <c r="D132" s="114">
        <v>53.1710526315789</v>
      </c>
      <c r="E132" s="114">
        <v>60.9078947368421</v>
      </c>
      <c r="F132" s="114">
        <v>73.0131578947368</v>
      </c>
      <c r="G132" s="114">
        <v>60.6184210526316</v>
      </c>
      <c r="H132" s="114">
        <v>76.6184210526316</v>
      </c>
      <c r="I132" s="114">
        <v>75.5921052631579</v>
      </c>
      <c r="J132" s="86"/>
      <c r="K132" s="86"/>
      <c r="L132" s="86"/>
    </row>
    <row r="133" spans="1:12" ht="15">
      <c r="A133">
        <v>1983</v>
      </c>
      <c r="B133" s="113" t="s">
        <v>155</v>
      </c>
      <c r="C133" s="114">
        <v>62.0434782608696</v>
      </c>
      <c r="D133" s="114">
        <v>62.0434782608696</v>
      </c>
      <c r="E133" s="114">
        <v>67.5217391304348</v>
      </c>
      <c r="F133" s="114">
        <v>82.9130434782609</v>
      </c>
      <c r="G133" s="114">
        <v>67.0978260869565</v>
      </c>
      <c r="H133" s="114">
        <v>79.5760869565217</v>
      </c>
      <c r="I133" s="114">
        <v>83.9565217391304</v>
      </c>
      <c r="J133" s="86"/>
      <c r="K133" s="86"/>
      <c r="L133" s="86"/>
    </row>
    <row r="134" spans="1:12" ht="15">
      <c r="A134">
        <v>1983</v>
      </c>
      <c r="B134" s="113" t="s">
        <v>156</v>
      </c>
      <c r="C134" s="114">
        <v>63.2125</v>
      </c>
      <c r="D134" s="114">
        <v>63.4125</v>
      </c>
      <c r="E134" s="114">
        <v>69.0625</v>
      </c>
      <c r="F134" s="114">
        <v>83.6125</v>
      </c>
      <c r="G134" s="114">
        <v>59.7</v>
      </c>
      <c r="H134" s="114">
        <v>75.3</v>
      </c>
      <c r="I134" s="114">
        <v>99.2625</v>
      </c>
      <c r="J134" s="86"/>
      <c r="K134" s="86"/>
      <c r="L134" s="86"/>
    </row>
    <row r="135" spans="1:12" ht="15">
      <c r="A135">
        <v>1983</v>
      </c>
      <c r="B135" s="113" t="s">
        <v>157</v>
      </c>
      <c r="C135" s="114">
        <v>77.6125</v>
      </c>
      <c r="D135" s="114">
        <v>86.0625</v>
      </c>
      <c r="E135" s="114">
        <v>97.9125</v>
      </c>
      <c r="F135" s="114">
        <v>114.5625</v>
      </c>
      <c r="G135" s="114">
        <v>74.8375</v>
      </c>
      <c r="H135" s="114">
        <v>90.5375</v>
      </c>
      <c r="I135" s="114">
        <v>128.2625</v>
      </c>
      <c r="J135" s="86"/>
      <c r="K135" s="86"/>
      <c r="L135" s="86"/>
    </row>
    <row r="136" spans="1:12" ht="15">
      <c r="A136">
        <v>1983</v>
      </c>
      <c r="B136" s="113" t="s">
        <v>158</v>
      </c>
      <c r="C136" s="114">
        <v>70.9659090909091</v>
      </c>
      <c r="D136" s="114">
        <v>91.375</v>
      </c>
      <c r="E136" s="114">
        <v>103.511363636364</v>
      </c>
      <c r="F136" s="114">
        <v>118.420454545455</v>
      </c>
      <c r="G136" s="114">
        <v>79.6931818181818</v>
      </c>
      <c r="H136" s="114">
        <v>94.4204545454545</v>
      </c>
      <c r="I136" s="114">
        <v>138.784090909091</v>
      </c>
      <c r="J136" s="86"/>
      <c r="K136" s="86"/>
      <c r="L136" s="86"/>
    </row>
    <row r="137" spans="1:12" ht="15">
      <c r="A137">
        <v>1983</v>
      </c>
      <c r="B137" s="113" t="s">
        <v>159</v>
      </c>
      <c r="C137" s="114">
        <v>48.1</v>
      </c>
      <c r="D137" s="114">
        <v>63.35</v>
      </c>
      <c r="E137" s="114">
        <v>78.8</v>
      </c>
      <c r="F137" s="114">
        <v>101.1</v>
      </c>
      <c r="G137" s="114">
        <v>73.0375</v>
      </c>
      <c r="H137" s="114">
        <v>88.1375</v>
      </c>
      <c r="I137" s="114">
        <v>129.4</v>
      </c>
      <c r="J137" s="86"/>
      <c r="K137" s="86"/>
      <c r="L137" s="86"/>
    </row>
    <row r="138" spans="1:12" ht="15">
      <c r="A138">
        <v>1983</v>
      </c>
      <c r="B138" s="113" t="s">
        <v>0</v>
      </c>
      <c r="C138" s="114">
        <v>28.2173913043478</v>
      </c>
      <c r="D138" s="114">
        <v>43.3913043478261</v>
      </c>
      <c r="E138" s="114">
        <v>63.3913043478261</v>
      </c>
      <c r="F138" s="114">
        <v>86.0869565217391</v>
      </c>
      <c r="G138" s="114">
        <v>55.2826086956522</v>
      </c>
      <c r="H138" s="114">
        <v>68.8913043478261</v>
      </c>
      <c r="I138" s="114">
        <v>108.04347826087</v>
      </c>
      <c r="J138" s="86"/>
      <c r="K138" s="86"/>
      <c r="L138" s="86"/>
    </row>
    <row r="139" spans="1:12" ht="15">
      <c r="A139">
        <v>1983</v>
      </c>
      <c r="B139" s="113" t="s">
        <v>160</v>
      </c>
      <c r="C139" s="114">
        <v>20.8333333333333</v>
      </c>
      <c r="D139" s="114">
        <v>38.5476190476191</v>
      </c>
      <c r="E139" s="114">
        <v>56.3571428571429</v>
      </c>
      <c r="F139" s="114">
        <v>80.4523809523809</v>
      </c>
      <c r="G139" s="114">
        <v>53.6190476190476</v>
      </c>
      <c r="H139" s="114">
        <v>64.2380952380952</v>
      </c>
      <c r="I139" s="114">
        <v>88.2142857142857</v>
      </c>
      <c r="J139" s="86"/>
      <c r="K139" s="86"/>
      <c r="L139" s="86"/>
    </row>
    <row r="140" spans="1:12" ht="15">
      <c r="A140">
        <v>1983</v>
      </c>
      <c r="B140" s="113" t="s">
        <v>161</v>
      </c>
      <c r="C140" s="114">
        <v>26.8375</v>
      </c>
      <c r="D140" s="114">
        <v>49.8875</v>
      </c>
      <c r="E140" s="114">
        <v>71.8875</v>
      </c>
      <c r="F140" s="114">
        <v>97.2875</v>
      </c>
      <c r="G140" s="114">
        <v>60.4375</v>
      </c>
      <c r="H140" s="114">
        <v>66.6375</v>
      </c>
      <c r="I140" s="114">
        <v>95.2375</v>
      </c>
      <c r="J140" s="86"/>
      <c r="K140" s="86"/>
      <c r="L140" s="86"/>
    </row>
    <row r="141" spans="1:12" ht="15">
      <c r="A141">
        <v>1983</v>
      </c>
      <c r="B141" s="113" t="s">
        <v>162</v>
      </c>
      <c r="C141" s="114">
        <v>30.6875</v>
      </c>
      <c r="D141" s="114">
        <v>51.6375</v>
      </c>
      <c r="E141" s="114">
        <v>70.4375</v>
      </c>
      <c r="F141" s="114">
        <v>91.0875</v>
      </c>
      <c r="G141" s="114">
        <v>56.7125</v>
      </c>
      <c r="H141" s="114">
        <v>68.1125</v>
      </c>
      <c r="I141" s="114">
        <v>98.8375</v>
      </c>
      <c r="J141" s="86"/>
      <c r="K141" s="86"/>
      <c r="L141" s="86"/>
    </row>
    <row r="142" spans="1:12" ht="15">
      <c r="A142">
        <v>1983</v>
      </c>
      <c r="B142" s="113" t="s">
        <v>163</v>
      </c>
      <c r="C142" s="114">
        <v>29.25</v>
      </c>
      <c r="D142" s="114">
        <v>49.2976190476191</v>
      </c>
      <c r="E142" s="114">
        <v>67.4880952380952</v>
      </c>
      <c r="F142" s="114">
        <v>87.0595238095238</v>
      </c>
      <c r="G142" s="114">
        <v>55.4523809523809</v>
      </c>
      <c r="H142" s="114">
        <v>68.9761904761905</v>
      </c>
      <c r="I142" s="114">
        <v>97.8214285714286</v>
      </c>
      <c r="J142" s="86"/>
      <c r="K142" s="86"/>
      <c r="L142" s="86"/>
    </row>
    <row r="143" spans="1:12" ht="15">
      <c r="A143" s="85">
        <v>1984</v>
      </c>
      <c r="B143" s="113" t="s">
        <v>153</v>
      </c>
      <c r="C143" s="114">
        <v>88.5</v>
      </c>
      <c r="D143" s="114">
        <v>51.2738095238095</v>
      </c>
      <c r="E143" s="114">
        <v>72.6071428571429</v>
      </c>
      <c r="F143" s="114">
        <v>94.7023809523809</v>
      </c>
      <c r="G143" s="114">
        <v>58.0119047619048</v>
      </c>
      <c r="H143" s="114">
        <v>74.0119047619048</v>
      </c>
      <c r="I143" s="114">
        <v>81.8214285714286</v>
      </c>
      <c r="J143" s="86"/>
      <c r="K143" s="86"/>
      <c r="L143" s="86"/>
    </row>
    <row r="144" spans="1:12" ht="15">
      <c r="A144">
        <v>1984</v>
      </c>
      <c r="B144" s="113" t="s">
        <v>154</v>
      </c>
      <c r="C144" s="114">
        <v>30.0875</v>
      </c>
      <c r="D144" s="114">
        <v>45.9875</v>
      </c>
      <c r="E144" s="114">
        <v>66.4375</v>
      </c>
      <c r="F144" s="114">
        <v>89.6875</v>
      </c>
      <c r="G144" s="114">
        <v>64.4</v>
      </c>
      <c r="H144" s="114">
        <v>80.05</v>
      </c>
      <c r="I144" s="114">
        <v>88.3</v>
      </c>
      <c r="J144" s="86"/>
      <c r="K144" s="86"/>
      <c r="L144" s="86"/>
    </row>
    <row r="145" spans="1:12" ht="15">
      <c r="A145">
        <v>1984</v>
      </c>
      <c r="B145" s="113" t="s">
        <v>155</v>
      </c>
      <c r="C145" s="114">
        <v>34.625</v>
      </c>
      <c r="D145" s="114">
        <v>47.7613636363636</v>
      </c>
      <c r="E145" s="114">
        <v>68.0340909090909</v>
      </c>
      <c r="F145" s="114">
        <v>92.5795454545455</v>
      </c>
      <c r="G145" s="114">
        <v>65.9545454545455</v>
      </c>
      <c r="H145" s="114">
        <v>81.9545454545455</v>
      </c>
      <c r="I145" s="114">
        <v>89.9545454545455</v>
      </c>
      <c r="J145" s="86"/>
      <c r="K145" s="86"/>
      <c r="L145" s="86"/>
    </row>
    <row r="146" spans="1:12" ht="15">
      <c r="A146">
        <v>1984</v>
      </c>
      <c r="B146" s="113" t="s">
        <v>156</v>
      </c>
      <c r="C146" s="114">
        <v>31.6375</v>
      </c>
      <c r="D146" s="114">
        <v>45.0875</v>
      </c>
      <c r="E146" s="114">
        <v>66.4875</v>
      </c>
      <c r="F146" s="114">
        <v>92.6875</v>
      </c>
      <c r="G146" s="114">
        <v>63.3</v>
      </c>
      <c r="H146" s="114">
        <v>79.3</v>
      </c>
      <c r="I146" s="114">
        <v>102.3</v>
      </c>
      <c r="J146" s="86"/>
      <c r="K146" s="86"/>
      <c r="L146" s="86"/>
    </row>
    <row r="147" spans="1:12" ht="15">
      <c r="A147">
        <v>1984</v>
      </c>
      <c r="B147" s="113" t="s">
        <v>157</v>
      </c>
      <c r="C147" s="114">
        <v>38.7386363636364</v>
      </c>
      <c r="D147" s="114">
        <v>57.7386363636364</v>
      </c>
      <c r="E147" s="114">
        <v>79.2840909090909</v>
      </c>
      <c r="F147" s="114">
        <v>104.556818181818</v>
      </c>
      <c r="G147" s="114">
        <v>69.9318181818182</v>
      </c>
      <c r="H147" s="114">
        <v>97.9318181818182</v>
      </c>
      <c r="I147" s="114">
        <v>92.2954545454545</v>
      </c>
      <c r="J147" s="86"/>
      <c r="K147" s="86"/>
      <c r="L147" s="86"/>
    </row>
    <row r="148" spans="1:12" ht="15">
      <c r="A148">
        <v>1984</v>
      </c>
      <c r="B148" s="113" t="s">
        <v>158</v>
      </c>
      <c r="C148" s="114">
        <v>45.1190476190476</v>
      </c>
      <c r="D148" s="114">
        <v>66.1190476190476</v>
      </c>
      <c r="E148" s="114">
        <v>84.4523809523809</v>
      </c>
      <c r="F148" s="114">
        <v>103.642857142857</v>
      </c>
      <c r="G148" s="114">
        <v>72.6666666666667</v>
      </c>
      <c r="H148" s="114">
        <v>86</v>
      </c>
      <c r="I148" s="114">
        <v>93.0476190476191</v>
      </c>
      <c r="J148" s="86"/>
      <c r="K148" s="86"/>
      <c r="L148" s="86"/>
    </row>
    <row r="149" spans="1:12" ht="15">
      <c r="A149">
        <v>1984</v>
      </c>
      <c r="B149" s="113" t="s">
        <v>159</v>
      </c>
      <c r="C149" s="114">
        <v>34.6785714285714</v>
      </c>
      <c r="D149" s="114">
        <v>54.8214285714286</v>
      </c>
      <c r="E149" s="114">
        <v>67.6309523809524</v>
      </c>
      <c r="F149" s="114">
        <v>80.6309523809524</v>
      </c>
      <c r="G149" s="114">
        <v>71.1071428571428</v>
      </c>
      <c r="H149" s="114">
        <v>86.7261904761905</v>
      </c>
      <c r="I149" s="114">
        <v>94.7261904761905</v>
      </c>
      <c r="J149" s="86"/>
      <c r="K149" s="86"/>
      <c r="L149" s="86"/>
    </row>
    <row r="150" spans="1:12" ht="15">
      <c r="A150">
        <v>1984</v>
      </c>
      <c r="B150" s="113" t="s">
        <v>0</v>
      </c>
      <c r="C150" s="114">
        <v>37.5</v>
      </c>
      <c r="D150" s="114">
        <v>47.804347826087</v>
      </c>
      <c r="E150" s="114">
        <v>57.6739130434783</v>
      </c>
      <c r="F150" s="114">
        <v>68.9782608695652</v>
      </c>
      <c r="G150" s="114">
        <v>66.945652173913</v>
      </c>
      <c r="H150" s="114">
        <v>79.1630434782609</v>
      </c>
      <c r="I150" s="114">
        <v>83.945652173913</v>
      </c>
      <c r="J150" s="86"/>
      <c r="K150" s="86"/>
      <c r="L150" s="86"/>
    </row>
    <row r="151" spans="1:12" ht="15">
      <c r="A151">
        <v>1984</v>
      </c>
      <c r="B151" s="113" t="s">
        <v>160</v>
      </c>
      <c r="C151" s="114">
        <v>51.8815789473684</v>
      </c>
      <c r="D151" s="114">
        <v>56.3552631578947</v>
      </c>
      <c r="E151" s="114">
        <v>61.0921052631579</v>
      </c>
      <c r="F151" s="114">
        <v>69.4605263157895</v>
      </c>
      <c r="G151" s="114">
        <v>76.8684210526316</v>
      </c>
      <c r="H151" s="114">
        <v>86.3421052631579</v>
      </c>
      <c r="I151" s="114">
        <v>90.3421052631579</v>
      </c>
      <c r="J151" s="86"/>
      <c r="K151" s="86"/>
      <c r="L151" s="86"/>
    </row>
    <row r="152" spans="1:12" ht="15">
      <c r="A152">
        <v>1984</v>
      </c>
      <c r="B152" s="113" t="s">
        <v>161</v>
      </c>
      <c r="C152" s="114">
        <v>40.2840909090909</v>
      </c>
      <c r="D152" s="114">
        <v>45.5113636363636</v>
      </c>
      <c r="E152" s="114">
        <v>49.6022727272727</v>
      </c>
      <c r="F152" s="114">
        <v>58.7386363636364</v>
      </c>
      <c r="G152" s="114">
        <v>73.1590909090909</v>
      </c>
      <c r="H152" s="114">
        <v>80.9772727272727</v>
      </c>
      <c r="I152" s="114">
        <v>84.9772727272727</v>
      </c>
      <c r="J152" s="86"/>
      <c r="K152" s="86"/>
      <c r="L152" s="86"/>
    </row>
    <row r="153" spans="1:12" ht="15">
      <c r="A153">
        <v>1984</v>
      </c>
      <c r="B153" s="113" t="s">
        <v>162</v>
      </c>
      <c r="C153" s="114">
        <v>45.0263157894737</v>
      </c>
      <c r="D153" s="114">
        <v>50.1842105263158</v>
      </c>
      <c r="E153" s="114">
        <v>55.1315789473684</v>
      </c>
      <c r="F153" s="114">
        <v>63.6052631578947</v>
      </c>
      <c r="G153" s="114">
        <v>76.7368421052632</v>
      </c>
      <c r="H153" s="114">
        <v>84.4736842105263</v>
      </c>
      <c r="I153" s="114">
        <v>88.6842105263158</v>
      </c>
      <c r="J153" s="86"/>
      <c r="K153" s="86"/>
      <c r="L153" s="86"/>
    </row>
    <row r="154" spans="1:12" ht="15">
      <c r="A154">
        <v>1984</v>
      </c>
      <c r="B154" s="113" t="s">
        <v>163</v>
      </c>
      <c r="C154" s="114">
        <v>55.5657894736842</v>
      </c>
      <c r="D154" s="114">
        <v>59.0921052631579</v>
      </c>
      <c r="E154" s="114">
        <v>63.0921052631579</v>
      </c>
      <c r="F154" s="114">
        <v>68.4605263157895</v>
      </c>
      <c r="G154" s="114">
        <v>80.1184210526316</v>
      </c>
      <c r="H154" s="114">
        <v>88.1184210526316</v>
      </c>
      <c r="I154" s="114">
        <v>92.1184210526316</v>
      </c>
      <c r="J154" s="86"/>
      <c r="K154" s="86"/>
      <c r="L154" s="86"/>
    </row>
    <row r="155" spans="1:12" ht="15">
      <c r="A155" s="85">
        <v>1985</v>
      </c>
      <c r="B155" s="113" t="s">
        <v>153</v>
      </c>
      <c r="C155" s="114">
        <v>57.2857142857143</v>
      </c>
      <c r="D155" s="114">
        <v>60.9047619047619</v>
      </c>
      <c r="E155" s="114">
        <v>64.7619047619048</v>
      </c>
      <c r="F155" s="114">
        <v>69.3809523809524</v>
      </c>
      <c r="G155" s="114">
        <v>82.5952380952381</v>
      </c>
      <c r="H155" s="114">
        <v>90.5952380952381</v>
      </c>
      <c r="I155" s="114">
        <v>94.5952380952381</v>
      </c>
      <c r="J155" s="86"/>
      <c r="K155" s="86"/>
      <c r="L155" s="86"/>
    </row>
    <row r="156" spans="1:12" ht="15">
      <c r="A156">
        <v>1985</v>
      </c>
      <c r="B156" s="113" t="s">
        <v>154</v>
      </c>
      <c r="C156" s="114">
        <v>52.6052631578947</v>
      </c>
      <c r="D156" s="114">
        <v>57.6578947368421</v>
      </c>
      <c r="E156" s="114">
        <v>64.2368421052632</v>
      </c>
      <c r="F156" s="114">
        <v>72.5</v>
      </c>
      <c r="G156" s="114">
        <v>67.0789473684211</v>
      </c>
      <c r="H156" s="114">
        <v>82.6578947368421</v>
      </c>
      <c r="I156" s="114">
        <v>86.6578947368421</v>
      </c>
      <c r="J156" s="86"/>
      <c r="K156" s="86"/>
      <c r="L156" s="86"/>
    </row>
    <row r="157" spans="1:12" ht="15">
      <c r="A157">
        <v>1985</v>
      </c>
      <c r="B157" s="113" t="s">
        <v>155</v>
      </c>
      <c r="C157" s="114">
        <v>54.9210526315789</v>
      </c>
      <c r="D157" s="114">
        <v>60.7631578947368</v>
      </c>
      <c r="E157" s="114">
        <v>67.5</v>
      </c>
      <c r="F157" s="114">
        <v>78.7105263157895</v>
      </c>
      <c r="G157" s="114">
        <v>69.0131578947368</v>
      </c>
      <c r="H157" s="114">
        <v>83.1184210526316</v>
      </c>
      <c r="I157" s="114">
        <v>88.5394736842105</v>
      </c>
      <c r="J157" s="86"/>
      <c r="K157" s="86"/>
      <c r="L157" s="86"/>
    </row>
    <row r="158" spans="1:12" ht="15">
      <c r="A158">
        <v>1985</v>
      </c>
      <c r="B158" s="113" t="s">
        <v>156</v>
      </c>
      <c r="C158" s="114">
        <v>51.9761904761905</v>
      </c>
      <c r="D158" s="114">
        <v>59.7380952380952</v>
      </c>
      <c r="E158" s="114">
        <v>68.0714285714286</v>
      </c>
      <c r="F158" s="114">
        <v>80.5</v>
      </c>
      <c r="G158" s="114">
        <v>73.9880952380952</v>
      </c>
      <c r="H158" s="114">
        <v>86.75</v>
      </c>
      <c r="I158" s="114">
        <v>90.75</v>
      </c>
      <c r="J158" s="86"/>
      <c r="K158" s="86"/>
      <c r="L158" s="86"/>
    </row>
    <row r="159" spans="1:12" ht="15">
      <c r="A159">
        <v>1985</v>
      </c>
      <c r="B159" s="113" t="s">
        <v>157</v>
      </c>
      <c r="C159" s="114">
        <v>68.5113636363636</v>
      </c>
      <c r="D159" s="114">
        <v>78.375</v>
      </c>
      <c r="E159" s="114">
        <v>88.4659090909091</v>
      </c>
      <c r="F159" s="114">
        <v>104.420454545455</v>
      </c>
      <c r="G159" s="114">
        <v>87.0227272727273</v>
      </c>
      <c r="H159" s="114">
        <v>98.0681818181818</v>
      </c>
      <c r="I159" s="114">
        <v>102.068181818182</v>
      </c>
      <c r="J159" s="86"/>
      <c r="K159" s="86"/>
      <c r="L159" s="86"/>
    </row>
    <row r="160" spans="1:12" ht="15">
      <c r="A160">
        <v>1985</v>
      </c>
      <c r="B160" s="113" t="s">
        <v>158</v>
      </c>
      <c r="C160" s="114">
        <v>57.2105263157895</v>
      </c>
      <c r="D160" s="114">
        <v>68.0526315789474</v>
      </c>
      <c r="E160" s="114">
        <v>78.4210526315789</v>
      </c>
      <c r="F160" s="114">
        <v>91.3684210526316</v>
      </c>
      <c r="G160" s="114">
        <v>89.4210526315789</v>
      </c>
      <c r="H160" s="114">
        <v>98.5789473684211</v>
      </c>
      <c r="I160" s="114">
        <v>102.578947368421</v>
      </c>
      <c r="J160" s="86"/>
      <c r="K160" s="86"/>
      <c r="L160" s="86"/>
    </row>
    <row r="161" spans="1:12" ht="15">
      <c r="A161">
        <v>1985</v>
      </c>
      <c r="B161" s="113" t="s">
        <v>159</v>
      </c>
      <c r="C161" s="114">
        <v>43.8068181818182</v>
      </c>
      <c r="D161" s="114">
        <v>54.5795454545455</v>
      </c>
      <c r="E161" s="114">
        <v>66.4886363636364</v>
      </c>
      <c r="F161" s="114">
        <v>84.7159090909091</v>
      </c>
      <c r="G161" s="114">
        <v>78.3977272727273</v>
      </c>
      <c r="H161" s="114">
        <v>92.5795454545455</v>
      </c>
      <c r="I161" s="114">
        <v>98.8977272727273</v>
      </c>
      <c r="J161" s="86"/>
      <c r="K161" s="86"/>
      <c r="L161" s="86"/>
    </row>
    <row r="162" spans="1:12" ht="15">
      <c r="A162">
        <v>1985</v>
      </c>
      <c r="B162" s="113" t="s">
        <v>0</v>
      </c>
      <c r="C162" s="114">
        <v>44.3977272727273</v>
      </c>
      <c r="D162" s="114">
        <v>55.125</v>
      </c>
      <c r="E162" s="114">
        <v>65.1704545454545</v>
      </c>
      <c r="F162" s="114">
        <v>83.3977272727273</v>
      </c>
      <c r="G162" s="114">
        <v>80.3068181818182</v>
      </c>
      <c r="H162" s="114">
        <v>92.3068181818182</v>
      </c>
      <c r="I162" s="114">
        <v>97.9431818181818</v>
      </c>
      <c r="J162" s="86"/>
      <c r="K162" s="86"/>
      <c r="L162" s="86"/>
    </row>
    <row r="163" spans="1:12" ht="15">
      <c r="A163">
        <v>1985</v>
      </c>
      <c r="B163" s="113" t="s">
        <v>160</v>
      </c>
      <c r="C163" s="114">
        <v>43.45</v>
      </c>
      <c r="D163" s="114">
        <v>51.4</v>
      </c>
      <c r="E163" s="114">
        <v>62.4</v>
      </c>
      <c r="F163" s="114">
        <v>80.95</v>
      </c>
      <c r="G163" s="114">
        <v>68.4375</v>
      </c>
      <c r="H163" s="114">
        <v>83.8375</v>
      </c>
      <c r="I163" s="114">
        <v>94.2375</v>
      </c>
      <c r="J163" s="86"/>
      <c r="K163" s="86"/>
      <c r="L163" s="86"/>
    </row>
    <row r="164" spans="1:12" ht="15">
      <c r="A164">
        <v>1985</v>
      </c>
      <c r="B164" s="113" t="s">
        <v>161</v>
      </c>
      <c r="C164" s="114">
        <v>42.6630434782609</v>
      </c>
      <c r="D164" s="114">
        <v>51.1847826086956</v>
      </c>
      <c r="E164" s="114">
        <v>68.054347826087</v>
      </c>
      <c r="F164" s="114">
        <v>89.3586956521739</v>
      </c>
      <c r="G164" s="114">
        <v>62.1304347826087</v>
      </c>
      <c r="H164" s="114">
        <v>89.7826086956522</v>
      </c>
      <c r="I164" s="114">
        <v>108.04347826087</v>
      </c>
      <c r="J164" s="86"/>
      <c r="K164" s="86"/>
      <c r="L164" s="86"/>
    </row>
    <row r="165" spans="1:12" ht="15">
      <c r="A165">
        <v>1985</v>
      </c>
      <c r="B165" s="113" t="s">
        <v>162</v>
      </c>
      <c r="C165" s="114">
        <v>47.5625</v>
      </c>
      <c r="D165" s="114">
        <v>50.8125</v>
      </c>
      <c r="E165" s="114">
        <v>63.1625</v>
      </c>
      <c r="F165" s="114">
        <v>83.9625</v>
      </c>
      <c r="G165" s="114">
        <v>62.05</v>
      </c>
      <c r="H165" s="114">
        <v>90.05</v>
      </c>
      <c r="I165" s="114">
        <v>110.05</v>
      </c>
      <c r="J165" s="86"/>
      <c r="K165" s="86"/>
      <c r="L165" s="86"/>
    </row>
    <row r="166" spans="1:12" ht="15">
      <c r="A166">
        <v>1985</v>
      </c>
      <c r="B166" s="113" t="s">
        <v>163</v>
      </c>
      <c r="C166" s="114">
        <v>48</v>
      </c>
      <c r="D166" s="114">
        <v>50.8636363636364</v>
      </c>
      <c r="E166" s="114">
        <v>64.8181818181818</v>
      </c>
      <c r="F166" s="114">
        <v>90</v>
      </c>
      <c r="G166" s="114">
        <v>68.0568181818182</v>
      </c>
      <c r="H166" s="114">
        <v>96.0568181818182</v>
      </c>
      <c r="I166" s="114">
        <v>116.056818181818</v>
      </c>
      <c r="J166" s="86"/>
      <c r="K166" s="86"/>
      <c r="L166" s="86"/>
    </row>
    <row r="167" spans="1:12" ht="15">
      <c r="A167" s="85">
        <v>1986</v>
      </c>
      <c r="B167" s="113" t="s">
        <v>153</v>
      </c>
      <c r="C167" s="114">
        <v>50.22727272727273</v>
      </c>
      <c r="D167" s="114">
        <v>51.09090909090909</v>
      </c>
      <c r="E167" s="114">
        <v>65.22727272727273</v>
      </c>
      <c r="F167" s="114">
        <v>94.36363636363636</v>
      </c>
      <c r="G167" s="114">
        <v>81.11363636363636</v>
      </c>
      <c r="H167" s="114">
        <v>105.8409090909091</v>
      </c>
      <c r="I167" s="114">
        <v>125.8409090909091</v>
      </c>
      <c r="J167" s="86"/>
      <c r="K167" s="86"/>
      <c r="L167" s="86"/>
    </row>
    <row r="168" spans="1:12" ht="15">
      <c r="A168">
        <v>1986</v>
      </c>
      <c r="B168" s="113" t="s">
        <v>154</v>
      </c>
      <c r="C168" s="114">
        <v>76.17105263157895</v>
      </c>
      <c r="D168" s="114">
        <v>77.53947368421052</v>
      </c>
      <c r="E168" s="114">
        <v>88.53947368421052</v>
      </c>
      <c r="F168" s="114">
        <v>115.32894736842105</v>
      </c>
      <c r="G168" s="114">
        <v>91.05263157894737</v>
      </c>
      <c r="H168" s="114">
        <v>117.15789473684211</v>
      </c>
      <c r="I168" s="114">
        <v>137.1578947368421</v>
      </c>
      <c r="J168" s="86"/>
      <c r="K168" s="86"/>
      <c r="L168" s="86"/>
    </row>
    <row r="169" spans="1:12" ht="15">
      <c r="A169">
        <v>1986</v>
      </c>
      <c r="B169" s="113" t="s">
        <v>155</v>
      </c>
      <c r="C169" s="114">
        <v>86</v>
      </c>
      <c r="D169" s="114">
        <v>88.6</v>
      </c>
      <c r="E169" s="114">
        <v>99.45</v>
      </c>
      <c r="F169" s="114">
        <v>122.5</v>
      </c>
      <c r="G169" s="114">
        <v>103.2625</v>
      </c>
      <c r="H169" s="114">
        <v>127.4125</v>
      </c>
      <c r="I169" s="114">
        <v>146.7125</v>
      </c>
      <c r="J169" s="86"/>
      <c r="K169" s="86"/>
      <c r="L169" s="86"/>
    </row>
    <row r="170" spans="1:12" ht="15">
      <c r="A170">
        <v>1986</v>
      </c>
      <c r="B170" s="113" t="s">
        <v>156</v>
      </c>
      <c r="C170" s="114">
        <v>97.70454545454545</v>
      </c>
      <c r="D170" s="114">
        <v>100.56818181818181</v>
      </c>
      <c r="E170" s="114">
        <v>110.56818181818181</v>
      </c>
      <c r="F170" s="114">
        <v>128.38636363636363</v>
      </c>
      <c r="G170" s="114">
        <v>107.5340909090909</v>
      </c>
      <c r="H170" s="114">
        <v>127.5340909090909</v>
      </c>
      <c r="I170" s="114">
        <v>143.5340909090909</v>
      </c>
      <c r="J170" s="86"/>
      <c r="K170" s="86"/>
      <c r="L170" s="86"/>
    </row>
    <row r="171" spans="1:12" ht="15">
      <c r="A171">
        <v>1986</v>
      </c>
      <c r="B171" s="113" t="s">
        <v>157</v>
      </c>
      <c r="C171" s="114">
        <v>93.79761904761905</v>
      </c>
      <c r="D171" s="114">
        <v>99.6547619047619</v>
      </c>
      <c r="E171" s="114">
        <v>109.75</v>
      </c>
      <c r="F171" s="114">
        <v>122.98809523809524</v>
      </c>
      <c r="G171" s="114">
        <v>116.36904761904762</v>
      </c>
      <c r="H171" s="114">
        <v>140.17857142857142</v>
      </c>
      <c r="I171" s="114">
        <v>158.27380952380952</v>
      </c>
      <c r="J171" s="86"/>
      <c r="K171" s="86"/>
      <c r="L171" s="86"/>
    </row>
    <row r="172" spans="1:12" ht="15">
      <c r="A172">
        <v>1986</v>
      </c>
      <c r="B172" s="113" t="s">
        <v>158</v>
      </c>
      <c r="C172" s="114">
        <v>55.583333333333336</v>
      </c>
      <c r="D172" s="114">
        <v>60.773809523809526</v>
      </c>
      <c r="E172" s="114">
        <v>67.1547619047619</v>
      </c>
      <c r="F172" s="114">
        <v>76.29761904761905</v>
      </c>
      <c r="G172" s="114">
        <v>70.0952380952381</v>
      </c>
      <c r="H172" s="114">
        <v>93.52380952380952</v>
      </c>
      <c r="I172" s="114">
        <v>108</v>
      </c>
      <c r="J172" s="86"/>
      <c r="K172" s="86"/>
      <c r="L172" s="86"/>
    </row>
    <row r="173" spans="1:12" ht="15">
      <c r="A173">
        <v>1986</v>
      </c>
      <c r="B173" s="113" t="s">
        <v>159</v>
      </c>
      <c r="C173" s="114">
        <v>28.988636363636363</v>
      </c>
      <c r="D173" s="114">
        <v>36.21590909090909</v>
      </c>
      <c r="E173" s="114">
        <v>41.21590909090909</v>
      </c>
      <c r="F173" s="114">
        <v>49.98863636363637</v>
      </c>
      <c r="G173" s="114">
        <v>57.29545454545455</v>
      </c>
      <c r="H173" s="114">
        <v>78.93181818181819</v>
      </c>
      <c r="I173" s="114">
        <v>93.29545454545455</v>
      </c>
      <c r="J173" s="86"/>
      <c r="K173" s="86"/>
      <c r="L173" s="86"/>
    </row>
    <row r="174" spans="1:12" ht="15">
      <c r="A174">
        <v>1986</v>
      </c>
      <c r="B174" s="110" t="s">
        <v>0</v>
      </c>
      <c r="C174" s="114">
        <v>22.25</v>
      </c>
      <c r="D174" s="114">
        <v>29.392857142857142</v>
      </c>
      <c r="E174" s="114">
        <v>33.726190476190474</v>
      </c>
      <c r="F174" s="114">
        <v>40.01190476190476</v>
      </c>
      <c r="G174" s="114">
        <v>45.583333333333336</v>
      </c>
      <c r="H174" s="114">
        <v>70.3452380952381</v>
      </c>
      <c r="I174" s="114">
        <v>89.01190476190476</v>
      </c>
      <c r="J174" s="86"/>
      <c r="K174" s="86"/>
      <c r="L174" s="86"/>
    </row>
    <row r="175" spans="1:12" ht="15">
      <c r="A175">
        <v>1986</v>
      </c>
      <c r="B175" s="113" t="s">
        <v>160</v>
      </c>
      <c r="C175" s="114">
        <v>29.69047619047619</v>
      </c>
      <c r="D175" s="114">
        <v>34.73809523809524</v>
      </c>
      <c r="E175" s="114">
        <v>40.404761904761905</v>
      </c>
      <c r="F175" s="114">
        <v>50.11904761904762</v>
      </c>
      <c r="G175" s="114">
        <v>41.70238095238095</v>
      </c>
      <c r="H175" s="114">
        <v>72.55952380952381</v>
      </c>
      <c r="I175" s="114">
        <v>99.22619047619048</v>
      </c>
      <c r="J175" s="86"/>
      <c r="K175" s="86"/>
      <c r="L175" s="86"/>
    </row>
    <row r="176" spans="1:12" ht="15">
      <c r="A176">
        <v>1986</v>
      </c>
      <c r="B176" s="113" t="s">
        <v>161</v>
      </c>
      <c r="C176" s="114">
        <v>35.47826086956522</v>
      </c>
      <c r="D176" s="114">
        <v>40.391304347826086</v>
      </c>
      <c r="E176" s="114">
        <v>45.608695652173914</v>
      </c>
      <c r="F176" s="114">
        <v>55</v>
      </c>
      <c r="G176" s="114">
        <v>39.73913043478261</v>
      </c>
      <c r="H176" s="114">
        <v>74.34782608695652</v>
      </c>
      <c r="I176" s="114">
        <v>104.95652173913044</v>
      </c>
      <c r="J176" s="86"/>
      <c r="K176" s="86"/>
      <c r="L176" s="86"/>
    </row>
    <row r="177" spans="1:12" ht="15">
      <c r="A177">
        <v>1986</v>
      </c>
      <c r="B177" s="113" t="s">
        <v>162</v>
      </c>
      <c r="C177" s="114">
        <v>36.94736842105263</v>
      </c>
      <c r="D177" s="114">
        <v>43.26315789473684</v>
      </c>
      <c r="E177" s="114">
        <v>47.73684210526316</v>
      </c>
      <c r="F177" s="114">
        <v>56.10526315789474</v>
      </c>
      <c r="G177" s="114">
        <v>34.68421052631579</v>
      </c>
      <c r="H177" s="114">
        <v>76.6842105263158</v>
      </c>
      <c r="I177" s="114">
        <v>114.36842105263158</v>
      </c>
      <c r="J177" s="86"/>
      <c r="K177" s="86"/>
      <c r="L177" s="86"/>
    </row>
    <row r="178" spans="1:12" ht="15">
      <c r="A178">
        <v>1986</v>
      </c>
      <c r="B178" s="113" t="s">
        <v>163</v>
      </c>
      <c r="C178" s="114">
        <v>35.82954545454545</v>
      </c>
      <c r="D178" s="114">
        <v>40.55681818181818</v>
      </c>
      <c r="E178" s="114">
        <v>45.23863636363637</v>
      </c>
      <c r="F178" s="114">
        <v>54.28409090909091</v>
      </c>
      <c r="G178" s="114">
        <v>28.535714285714285</v>
      </c>
      <c r="H178" s="114">
        <v>74.5</v>
      </c>
      <c r="I178" s="114">
        <v>114.44047619047619</v>
      </c>
      <c r="J178" s="86"/>
      <c r="K178" s="86"/>
      <c r="L178" s="86"/>
    </row>
    <row r="179" spans="1:12" ht="15">
      <c r="A179" s="85">
        <v>1987</v>
      </c>
      <c r="B179" s="113" t="s">
        <v>153</v>
      </c>
      <c r="C179" s="114">
        <v>35.70454545454545</v>
      </c>
      <c r="D179" s="114">
        <v>43.70454545454545</v>
      </c>
      <c r="E179" s="114">
        <v>43.88636363636363</v>
      </c>
      <c r="F179" s="114">
        <v>52.47727272727273</v>
      </c>
      <c r="G179" s="114">
        <v>28.147727272727273</v>
      </c>
      <c r="H179" s="114">
        <v>69.9659090909091</v>
      </c>
      <c r="I179" s="114">
        <v>103.7840909090909</v>
      </c>
      <c r="J179" s="86"/>
      <c r="K179" s="86"/>
      <c r="L179" s="86"/>
    </row>
    <row r="180" spans="1:12" ht="15">
      <c r="A180">
        <v>1987</v>
      </c>
      <c r="B180" s="113" t="s">
        <v>154</v>
      </c>
      <c r="C180" s="114">
        <v>36.05555555555556</v>
      </c>
      <c r="D180" s="114">
        <v>38.77777777777778</v>
      </c>
      <c r="E180" s="114">
        <v>42.611111111111114</v>
      </c>
      <c r="F180" s="114">
        <v>53.27777777777778</v>
      </c>
      <c r="G180" s="114">
        <v>26.375</v>
      </c>
      <c r="H180" s="114">
        <v>63.263888888888886</v>
      </c>
      <c r="I180" s="114">
        <v>92.15277777777777</v>
      </c>
      <c r="J180" s="86"/>
      <c r="K180" s="86"/>
      <c r="L180" s="86"/>
    </row>
    <row r="181" spans="1:12" ht="15">
      <c r="A181">
        <v>1987</v>
      </c>
      <c r="B181" s="113" t="s">
        <v>155</v>
      </c>
      <c r="C181" s="114">
        <v>38.84090909090909</v>
      </c>
      <c r="D181" s="114">
        <v>40.97727272727273</v>
      </c>
      <c r="E181" s="114">
        <v>44.93181818181818</v>
      </c>
      <c r="F181" s="114">
        <v>54.84090909090909</v>
      </c>
      <c r="G181" s="114">
        <v>29.420454545454547</v>
      </c>
      <c r="H181" s="114">
        <v>66.14772727272727</v>
      </c>
      <c r="I181" s="114">
        <v>95.01136363636364</v>
      </c>
      <c r="J181" s="86"/>
      <c r="K181" s="86"/>
      <c r="L181" s="86"/>
    </row>
    <row r="182" spans="1:12" ht="15">
      <c r="A182">
        <v>1987</v>
      </c>
      <c r="B182" s="113" t="s">
        <v>156</v>
      </c>
      <c r="C182" s="114">
        <v>37.45454545454545</v>
      </c>
      <c r="D182" s="114">
        <v>39.13636363636363</v>
      </c>
      <c r="E182" s="114">
        <v>43.04545454545455</v>
      </c>
      <c r="F182" s="114">
        <v>54.22727272727273</v>
      </c>
      <c r="G182" s="114">
        <v>24.386363636363637</v>
      </c>
      <c r="H182" s="114">
        <v>70.20454545454545</v>
      </c>
      <c r="I182" s="114">
        <v>107.11363636363636</v>
      </c>
      <c r="J182" s="86"/>
      <c r="K182" s="86"/>
      <c r="L182" s="86"/>
    </row>
    <row r="183" spans="1:12" ht="15">
      <c r="A183">
        <v>1987</v>
      </c>
      <c r="B183" s="113" t="s">
        <v>157</v>
      </c>
      <c r="C183" s="114">
        <v>30.3625</v>
      </c>
      <c r="D183" s="114">
        <v>36.5125</v>
      </c>
      <c r="E183" s="114">
        <v>42.3125</v>
      </c>
      <c r="F183" s="114">
        <v>56.2125</v>
      </c>
      <c r="G183" s="114">
        <v>13.1875</v>
      </c>
      <c r="H183" s="114">
        <v>84.3875</v>
      </c>
      <c r="I183" s="114">
        <v>139.9875</v>
      </c>
      <c r="J183" s="86"/>
      <c r="K183" s="86"/>
      <c r="L183" s="86"/>
    </row>
    <row r="184" spans="1:12" ht="15">
      <c r="A184">
        <v>1987</v>
      </c>
      <c r="B184" s="113" t="s">
        <v>158</v>
      </c>
      <c r="C184" s="114">
        <v>31.931454545454546</v>
      </c>
      <c r="D184" s="114">
        <v>37.97690909090909</v>
      </c>
      <c r="E184" s="114">
        <v>43.11327272727273</v>
      </c>
      <c r="F184" s="114">
        <v>57.79509090909091</v>
      </c>
      <c r="G184" s="114">
        <v>28.90909090909091</v>
      </c>
      <c r="H184" s="114">
        <v>89</v>
      </c>
      <c r="I184" s="114">
        <v>137</v>
      </c>
      <c r="J184" s="86"/>
      <c r="K184" s="86"/>
      <c r="L184" s="86"/>
    </row>
    <row r="185" spans="1:12" ht="15">
      <c r="A185">
        <v>1987</v>
      </c>
      <c r="B185" s="113" t="s">
        <v>159</v>
      </c>
      <c r="C185" s="114">
        <v>24.193181818181817</v>
      </c>
      <c r="D185" s="114">
        <v>28.875</v>
      </c>
      <c r="E185" s="114">
        <v>33.19318181818182</v>
      </c>
      <c r="F185" s="114">
        <v>51.05681818181818</v>
      </c>
      <c r="G185" s="114">
        <v>17.613636363636363</v>
      </c>
      <c r="H185" s="114">
        <v>79.06818181818181</v>
      </c>
      <c r="I185" s="114">
        <v>126.70454545454545</v>
      </c>
      <c r="J185" s="86"/>
      <c r="K185" s="86"/>
      <c r="L185" s="86"/>
    </row>
    <row r="186" spans="1:12" ht="15">
      <c r="A186">
        <v>1987</v>
      </c>
      <c r="B186" s="113" t="s">
        <v>0</v>
      </c>
      <c r="C186" s="114">
        <v>25.3125</v>
      </c>
      <c r="D186" s="114">
        <v>29.4125</v>
      </c>
      <c r="E186" s="114">
        <v>33.4125</v>
      </c>
      <c r="F186" s="114">
        <v>52.6125</v>
      </c>
      <c r="G186" s="114">
        <v>26.2375</v>
      </c>
      <c r="H186" s="114">
        <v>73.6375</v>
      </c>
      <c r="I186" s="114">
        <v>105.2875</v>
      </c>
      <c r="J186" s="86"/>
      <c r="K186" s="86"/>
      <c r="L186" s="86"/>
    </row>
    <row r="187" spans="1:12" ht="15">
      <c r="A187">
        <v>1987</v>
      </c>
      <c r="B187" s="110" t="s">
        <v>160</v>
      </c>
      <c r="C187" s="114">
        <v>18.952380952380953</v>
      </c>
      <c r="D187" s="114">
        <v>22.571428571428573</v>
      </c>
      <c r="E187" s="114">
        <v>26.476190476190474</v>
      </c>
      <c r="F187" s="114">
        <v>47.42857142857143</v>
      </c>
      <c r="G187" s="114">
        <v>20.071428571428573</v>
      </c>
      <c r="H187" s="114">
        <v>68.26190476190476</v>
      </c>
      <c r="I187" s="114">
        <v>100.45238095238095</v>
      </c>
      <c r="J187" s="86"/>
      <c r="K187" s="86"/>
      <c r="L187" s="86"/>
    </row>
    <row r="188" spans="1:12" ht="15">
      <c r="A188">
        <v>1987</v>
      </c>
      <c r="B188" s="113" t="s">
        <v>179</v>
      </c>
      <c r="C188" s="114">
        <v>19.295454545454547</v>
      </c>
      <c r="D188" s="114">
        <v>22.75</v>
      </c>
      <c r="E188" s="114">
        <v>27.15909090909091</v>
      </c>
      <c r="F188" s="114">
        <v>51.65909090909091</v>
      </c>
      <c r="G188" s="114">
        <v>18.795454545454547</v>
      </c>
      <c r="H188" s="114">
        <v>73.93181818181819</v>
      </c>
      <c r="I188" s="114">
        <v>113.3409090909091</v>
      </c>
      <c r="J188" s="86"/>
      <c r="K188" s="86"/>
      <c r="L188" s="86"/>
    </row>
    <row r="189" spans="1:12" ht="15">
      <c r="A189">
        <v>1987</v>
      </c>
      <c r="B189" s="113" t="s">
        <v>162</v>
      </c>
      <c r="C189" s="114">
        <v>27.8375</v>
      </c>
      <c r="D189" s="114">
        <v>31.7375</v>
      </c>
      <c r="E189" s="114">
        <v>37.4375</v>
      </c>
      <c r="F189" s="114">
        <v>58.4875</v>
      </c>
      <c r="G189" s="114">
        <v>27.05</v>
      </c>
      <c r="H189" s="114">
        <v>83.05</v>
      </c>
      <c r="I189" s="114">
        <v>123.05</v>
      </c>
      <c r="J189" s="86"/>
      <c r="K189" s="86"/>
      <c r="L189" s="86"/>
    </row>
    <row r="190" spans="1:12" ht="15">
      <c r="A190">
        <v>1987</v>
      </c>
      <c r="B190" s="113" t="s">
        <v>163</v>
      </c>
      <c r="C190" s="114">
        <v>28.21590909090909</v>
      </c>
      <c r="D190" s="114">
        <v>30.806818181818183</v>
      </c>
      <c r="E190" s="114">
        <v>33.39772727272727</v>
      </c>
      <c r="F190" s="114">
        <v>48.44318181818182</v>
      </c>
      <c r="G190" s="114">
        <v>20.920454545454547</v>
      </c>
      <c r="H190" s="114">
        <v>68.55681818181819</v>
      </c>
      <c r="I190" s="114">
        <v>100.19318181818181</v>
      </c>
      <c r="J190" s="86"/>
      <c r="K190" s="86"/>
      <c r="L190" s="86"/>
    </row>
    <row r="191" spans="1:12" ht="15">
      <c r="A191" s="85">
        <v>1988</v>
      </c>
      <c r="B191" s="113" t="s">
        <v>153</v>
      </c>
      <c r="C191" s="114">
        <v>31.45</v>
      </c>
      <c r="D191" s="114">
        <v>33</v>
      </c>
      <c r="E191" s="114">
        <v>34.55</v>
      </c>
      <c r="F191" s="114">
        <v>43.3</v>
      </c>
      <c r="G191" s="114">
        <v>28.2</v>
      </c>
      <c r="H191" s="114">
        <v>67.2</v>
      </c>
      <c r="I191" s="114">
        <v>91.8</v>
      </c>
      <c r="J191" s="86"/>
      <c r="K191" s="86"/>
      <c r="L191" s="86"/>
    </row>
    <row r="192" spans="1:12" ht="15">
      <c r="A192">
        <v>1988</v>
      </c>
      <c r="B192" s="113" t="s">
        <v>154</v>
      </c>
      <c r="C192" s="114">
        <v>39.8125</v>
      </c>
      <c r="D192" s="114">
        <v>41.5625</v>
      </c>
      <c r="E192" s="114">
        <v>41.6625</v>
      </c>
      <c r="F192" s="114">
        <v>41.6625</v>
      </c>
      <c r="G192" s="114">
        <v>44.9</v>
      </c>
      <c r="H192" s="114">
        <v>67.2</v>
      </c>
      <c r="I192" s="114">
        <v>78.2</v>
      </c>
      <c r="J192" s="86"/>
      <c r="K192" s="86"/>
      <c r="L192" s="86"/>
    </row>
    <row r="193" spans="1:12" ht="15">
      <c r="A193">
        <v>1988</v>
      </c>
      <c r="B193" s="113" t="s">
        <v>155</v>
      </c>
      <c r="C193" s="114">
        <v>41.195652173913</v>
      </c>
      <c r="D193" s="114">
        <v>43.195652173913</v>
      </c>
      <c r="E193" s="114">
        <v>43.195652173913</v>
      </c>
      <c r="F193" s="114">
        <v>44.2826086956522</v>
      </c>
      <c r="G193" s="114">
        <v>52.3152173913044</v>
      </c>
      <c r="H193" s="114">
        <v>71.1413043478261</v>
      </c>
      <c r="I193" s="114">
        <v>80.8804347826087</v>
      </c>
      <c r="J193" s="86"/>
      <c r="K193" s="86"/>
      <c r="L193" s="86"/>
    </row>
    <row r="194" spans="1:12" ht="15">
      <c r="A194">
        <v>1988</v>
      </c>
      <c r="B194" s="113" t="s">
        <v>156</v>
      </c>
      <c r="C194" s="114">
        <v>40.8194444444444</v>
      </c>
      <c r="D194" s="114">
        <v>44.1527777777778</v>
      </c>
      <c r="E194" s="114">
        <v>46.0972222222222</v>
      </c>
      <c r="F194" s="114">
        <v>55.6333333333333</v>
      </c>
      <c r="G194" s="114">
        <v>54.8</v>
      </c>
      <c r="H194" s="114">
        <v>82.6</v>
      </c>
      <c r="I194" s="114">
        <v>98.6</v>
      </c>
      <c r="J194" s="86"/>
      <c r="K194" s="86"/>
      <c r="L194" s="86"/>
    </row>
    <row r="195" spans="1:12" ht="15">
      <c r="A195">
        <v>1988</v>
      </c>
      <c r="B195" s="113" t="s">
        <v>157</v>
      </c>
      <c r="C195" s="114">
        <v>31.2380952380952</v>
      </c>
      <c r="D195" s="114">
        <v>37.3809523809524</v>
      </c>
      <c r="E195" s="114">
        <v>44.1904761904762</v>
      </c>
      <c r="F195" s="114">
        <v>65.2380952380952</v>
      </c>
      <c r="G195" s="114">
        <v>57.3095238095238</v>
      </c>
      <c r="H195" s="114">
        <v>83.4047619047619</v>
      </c>
      <c r="I195" s="114">
        <v>101.119047619048</v>
      </c>
      <c r="J195" s="86"/>
      <c r="K195" s="86"/>
      <c r="L195" s="86"/>
    </row>
    <row r="196" spans="1:12" ht="15">
      <c r="A196">
        <v>1988</v>
      </c>
      <c r="B196" s="113" t="s">
        <v>158</v>
      </c>
      <c r="C196" s="114">
        <v>25.8888888888889</v>
      </c>
      <c r="D196" s="114">
        <v>31.7840909090909</v>
      </c>
      <c r="E196" s="114">
        <v>36.8295454545455</v>
      </c>
      <c r="F196" s="114">
        <v>59.1071428571429</v>
      </c>
      <c r="G196" s="114">
        <v>49.8636363636364</v>
      </c>
      <c r="H196" s="114">
        <v>73.8636363636364</v>
      </c>
      <c r="I196" s="114">
        <v>86.9545454545455</v>
      </c>
      <c r="J196" s="86"/>
      <c r="K196" s="86"/>
      <c r="L196" s="86"/>
    </row>
    <row r="197" spans="1:12" ht="15">
      <c r="A197">
        <v>1988</v>
      </c>
      <c r="B197" s="113" t="s">
        <v>159</v>
      </c>
      <c r="C197" s="114">
        <v>34.3421052631579</v>
      </c>
      <c r="D197" s="114">
        <v>39.75</v>
      </c>
      <c r="E197" s="114">
        <v>42.95</v>
      </c>
      <c r="F197" s="114">
        <v>59.05</v>
      </c>
      <c r="G197" s="114">
        <v>78.5375</v>
      </c>
      <c r="H197" s="114">
        <v>97.9375</v>
      </c>
      <c r="I197" s="114">
        <v>106.9375</v>
      </c>
      <c r="J197" s="86"/>
      <c r="K197" s="86"/>
      <c r="L197" s="86"/>
    </row>
    <row r="198" spans="1:12" ht="15">
      <c r="A198">
        <v>1988</v>
      </c>
      <c r="B198" s="113" t="s">
        <v>0</v>
      </c>
      <c r="C198" s="114">
        <v>36.9130434782609</v>
      </c>
      <c r="D198" s="114">
        <v>39.5217391304348</v>
      </c>
      <c r="E198" s="114">
        <v>40.304347826087</v>
      </c>
      <c r="F198" s="114">
        <v>48.8695652173913</v>
      </c>
      <c r="G198" s="114">
        <v>84.6304347826087</v>
      </c>
      <c r="H198" s="114">
        <v>92.6304347826087</v>
      </c>
      <c r="I198" s="114">
        <v>94.6304347826087</v>
      </c>
      <c r="J198" s="86"/>
      <c r="K198" s="86"/>
      <c r="L198" s="86"/>
    </row>
    <row r="199" spans="1:12" ht="15">
      <c r="A199">
        <v>1988</v>
      </c>
      <c r="B199" s="113" t="s">
        <v>160</v>
      </c>
      <c r="C199" s="114">
        <v>37.1309523809524</v>
      </c>
      <c r="D199" s="114">
        <v>38.5595238095238</v>
      </c>
      <c r="E199" s="114">
        <v>38.5595238095238</v>
      </c>
      <c r="F199" s="114">
        <v>47.1309523809524</v>
      </c>
      <c r="G199" s="114">
        <v>81.3333333333333</v>
      </c>
      <c r="H199" s="114">
        <v>89.3333333333333</v>
      </c>
      <c r="I199" s="114">
        <v>91.3809523809524</v>
      </c>
      <c r="J199" s="86"/>
      <c r="K199" s="86"/>
      <c r="L199" s="86"/>
    </row>
    <row r="200" spans="1:12" ht="15">
      <c r="A200">
        <v>1988</v>
      </c>
      <c r="B200" s="113" t="s">
        <v>161</v>
      </c>
      <c r="C200" s="114">
        <v>32.2619047619048</v>
      </c>
      <c r="D200" s="114">
        <v>34.1666666666667</v>
      </c>
      <c r="E200" s="114">
        <v>34.1666666666667</v>
      </c>
      <c r="F200" s="114">
        <v>43.0238095238095</v>
      </c>
      <c r="G200" s="114">
        <v>80.7142857142857</v>
      </c>
      <c r="H200" s="114">
        <v>88.7142857142857</v>
      </c>
      <c r="I200" s="114">
        <v>90.7142857142857</v>
      </c>
      <c r="J200" s="86"/>
      <c r="K200" s="86"/>
      <c r="L200" s="86"/>
    </row>
    <row r="201" spans="1:12" ht="15">
      <c r="A201">
        <v>1988</v>
      </c>
      <c r="B201" s="113" t="s">
        <v>162</v>
      </c>
      <c r="C201" s="114">
        <v>42.525</v>
      </c>
      <c r="D201" s="114">
        <v>44.525</v>
      </c>
      <c r="E201" s="114">
        <v>44.525</v>
      </c>
      <c r="F201" s="114">
        <v>50.025</v>
      </c>
      <c r="G201" s="114">
        <v>92.8</v>
      </c>
      <c r="H201" s="114">
        <v>100</v>
      </c>
      <c r="I201" s="114">
        <v>101.9</v>
      </c>
      <c r="J201" s="86"/>
      <c r="K201" s="86"/>
      <c r="L201" s="86"/>
    </row>
    <row r="202" spans="1:12" ht="15">
      <c r="A202">
        <v>1988</v>
      </c>
      <c r="B202" s="113" t="s">
        <v>163</v>
      </c>
      <c r="C202" s="114">
        <v>38.8214285714286</v>
      </c>
      <c r="D202" s="114">
        <v>40.0119047619048</v>
      </c>
      <c r="E202" s="114">
        <v>40.8690476190476</v>
      </c>
      <c r="F202" s="114">
        <v>43.1547619047619</v>
      </c>
      <c r="G202" s="114">
        <v>83.8214285714286</v>
      </c>
      <c r="H202" s="114">
        <v>87.8214285714286</v>
      </c>
      <c r="I202" s="114">
        <v>88.8214285714286</v>
      </c>
      <c r="J202" s="86"/>
      <c r="K202" s="86"/>
      <c r="L202" s="86"/>
    </row>
    <row r="203" spans="1:12" ht="15">
      <c r="A203" s="85">
        <v>1989</v>
      </c>
      <c r="B203" s="110" t="s">
        <v>153</v>
      </c>
      <c r="C203" s="111">
        <v>41.8375</v>
      </c>
      <c r="D203" s="111">
        <v>42.1875</v>
      </c>
      <c r="E203" s="111">
        <v>42.1875</v>
      </c>
      <c r="F203" s="111">
        <v>42.1875</v>
      </c>
      <c r="G203" s="111">
        <v>74.9625</v>
      </c>
      <c r="H203" s="111">
        <v>78.9625</v>
      </c>
      <c r="I203" s="111">
        <v>78.9625</v>
      </c>
      <c r="J203" s="86"/>
      <c r="K203" s="86"/>
      <c r="L203" s="86"/>
    </row>
    <row r="204" spans="1:12" ht="15">
      <c r="A204">
        <v>1989</v>
      </c>
      <c r="B204" s="110" t="s">
        <v>154</v>
      </c>
      <c r="C204" s="111">
        <v>49.65</v>
      </c>
      <c r="D204" s="111">
        <v>49.9</v>
      </c>
      <c r="E204" s="111">
        <v>49.9</v>
      </c>
      <c r="F204" s="111">
        <v>49.9</v>
      </c>
      <c r="G204" s="111">
        <v>77.125</v>
      </c>
      <c r="H204" s="111">
        <v>81.125</v>
      </c>
      <c r="I204" s="111">
        <v>81.125</v>
      </c>
      <c r="J204" s="86"/>
      <c r="K204" s="86"/>
      <c r="L204" s="86"/>
    </row>
    <row r="205" spans="1:12" ht="15">
      <c r="A205">
        <v>1989</v>
      </c>
      <c r="B205" s="110" t="s">
        <v>155</v>
      </c>
      <c r="C205" s="111">
        <v>54.76086956521739</v>
      </c>
      <c r="D205" s="111">
        <v>55.80434782608695</v>
      </c>
      <c r="E205" s="111">
        <v>55.80434782608695</v>
      </c>
      <c r="F205" s="111">
        <v>56.41304347826087</v>
      </c>
      <c r="G205" s="111">
        <v>81.32608695652173</v>
      </c>
      <c r="H205" s="111">
        <v>84.71739130434783</v>
      </c>
      <c r="I205" s="111">
        <v>84.76086956521739</v>
      </c>
      <c r="J205" s="86"/>
      <c r="K205" s="86"/>
      <c r="L205" s="86"/>
    </row>
    <row r="206" spans="1:12" ht="15">
      <c r="A206">
        <v>1989</v>
      </c>
      <c r="B206" s="110" t="s">
        <v>156</v>
      </c>
      <c r="C206" s="111">
        <v>56.921052631578945</v>
      </c>
      <c r="D206" s="111">
        <v>57.86842105263158</v>
      </c>
      <c r="E206" s="111">
        <v>57.86842105263158</v>
      </c>
      <c r="F206" s="111">
        <v>58.28947368421053</v>
      </c>
      <c r="G206" s="111">
        <v>80.67105263157895</v>
      </c>
      <c r="H206" s="111">
        <v>82.82894736842105</v>
      </c>
      <c r="I206" s="111">
        <v>82.82894736842105</v>
      </c>
      <c r="J206" s="86"/>
      <c r="K206" s="86"/>
      <c r="L206" s="86"/>
    </row>
    <row r="207" spans="1:12" ht="15">
      <c r="A207">
        <v>1989</v>
      </c>
      <c r="B207" s="110" t="s">
        <v>157</v>
      </c>
      <c r="C207" s="111">
        <v>59.130434782608695</v>
      </c>
      <c r="D207" s="111">
        <v>61.04347826086956</v>
      </c>
      <c r="E207" s="111">
        <v>62.34782608695652</v>
      </c>
      <c r="F207" s="111">
        <v>68.6086956521739</v>
      </c>
      <c r="G207" s="111">
        <v>88.29565217391304</v>
      </c>
      <c r="H207" s="111">
        <v>90.38260869565218</v>
      </c>
      <c r="I207" s="111">
        <v>90.38260869565218</v>
      </c>
      <c r="J207" s="86"/>
      <c r="K207" s="86"/>
      <c r="L207" s="86"/>
    </row>
    <row r="208" spans="1:12" ht="15">
      <c r="A208">
        <v>1989</v>
      </c>
      <c r="B208" s="110" t="s">
        <v>158</v>
      </c>
      <c r="C208" s="111">
        <v>62.26190476190476</v>
      </c>
      <c r="D208" s="111">
        <v>65.88095238095238</v>
      </c>
      <c r="E208" s="111">
        <v>68.02380952380952</v>
      </c>
      <c r="F208" s="111">
        <v>77.16666666666667</v>
      </c>
      <c r="G208" s="111">
        <v>89.07142857142857</v>
      </c>
      <c r="H208" s="111">
        <v>91.07142857142857</v>
      </c>
      <c r="I208" s="111">
        <v>93.02380952380952</v>
      </c>
      <c r="J208" s="86"/>
      <c r="K208" s="86"/>
      <c r="L208" s="86"/>
    </row>
    <row r="209" spans="1:12" ht="15">
      <c r="A209">
        <v>1989</v>
      </c>
      <c r="B209" s="110" t="s">
        <v>159</v>
      </c>
      <c r="C209" s="111">
        <v>54.075</v>
      </c>
      <c r="D209" s="111">
        <v>56.875</v>
      </c>
      <c r="E209" s="111">
        <v>58.725</v>
      </c>
      <c r="F209" s="111">
        <v>65.875</v>
      </c>
      <c r="G209" s="111">
        <v>83.575</v>
      </c>
      <c r="H209" s="111">
        <v>87.075</v>
      </c>
      <c r="I209" s="111">
        <v>90.575</v>
      </c>
      <c r="J209" s="86"/>
      <c r="K209" s="86"/>
      <c r="L209" s="86"/>
    </row>
    <row r="210" spans="1:12" ht="15">
      <c r="A210">
        <v>1989</v>
      </c>
      <c r="B210" s="110" t="s">
        <v>0</v>
      </c>
      <c r="C210" s="111">
        <v>54.60227272727273</v>
      </c>
      <c r="D210" s="111">
        <v>56.10227272727273</v>
      </c>
      <c r="E210" s="111">
        <v>56.42045454545455</v>
      </c>
      <c r="F210" s="111">
        <v>58.23863636363637</v>
      </c>
      <c r="G210" s="111">
        <v>70.125</v>
      </c>
      <c r="H210" s="111">
        <v>73.44318181818181</v>
      </c>
      <c r="I210" s="111">
        <v>74.89772727272727</v>
      </c>
      <c r="J210" s="86"/>
      <c r="K210" s="86"/>
      <c r="L210" s="86"/>
    </row>
    <row r="211" spans="1:12" ht="15">
      <c r="A211">
        <v>1989</v>
      </c>
      <c r="B211" s="110" t="s">
        <v>160</v>
      </c>
      <c r="C211" s="111">
        <v>59.9875</v>
      </c>
      <c r="D211" s="111">
        <v>61.3375</v>
      </c>
      <c r="E211" s="111">
        <v>61.4875</v>
      </c>
      <c r="F211" s="111">
        <v>63.4875</v>
      </c>
      <c r="G211" s="111">
        <v>68.075</v>
      </c>
      <c r="H211" s="111">
        <v>70.075</v>
      </c>
      <c r="I211" s="111">
        <v>70.075</v>
      </c>
      <c r="J211" s="86"/>
      <c r="K211" s="86"/>
      <c r="L211" s="86"/>
    </row>
    <row r="212" spans="1:12" ht="15">
      <c r="A212">
        <v>1989</v>
      </c>
      <c r="B212" s="110" t="s">
        <v>161</v>
      </c>
      <c r="C212" s="111">
        <v>57.46590909090909</v>
      </c>
      <c r="D212" s="111">
        <v>58.96590909090909</v>
      </c>
      <c r="E212" s="111">
        <v>58.73863636363637</v>
      </c>
      <c r="F212" s="111">
        <v>60.78409090909091</v>
      </c>
      <c r="G212" s="111">
        <v>60.02272727272727</v>
      </c>
      <c r="H212" s="111">
        <v>62.02272727272727</v>
      </c>
      <c r="I212" s="111">
        <v>62.02272727272727</v>
      </c>
      <c r="J212" s="86"/>
      <c r="K212" s="86"/>
      <c r="L212" s="86"/>
    </row>
    <row r="213" spans="1:12" ht="15">
      <c r="A213">
        <v>1989</v>
      </c>
      <c r="B213" s="110" t="s">
        <v>162</v>
      </c>
      <c r="C213" s="111">
        <v>57.20652173913044</v>
      </c>
      <c r="D213" s="111">
        <v>58.20652173913044</v>
      </c>
      <c r="E213" s="111">
        <v>58.20652173913044</v>
      </c>
      <c r="F213" s="111">
        <v>59.33695652173913</v>
      </c>
      <c r="G213" s="111">
        <v>61.18478260869565</v>
      </c>
      <c r="H213" s="111">
        <v>63.18478260869565</v>
      </c>
      <c r="I213" s="111">
        <v>63.18478260869565</v>
      </c>
      <c r="J213" s="86"/>
      <c r="K213" s="86"/>
      <c r="L213" s="86"/>
    </row>
    <row r="214" spans="1:12" ht="15">
      <c r="A214">
        <v>1989</v>
      </c>
      <c r="B214" s="110" t="s">
        <v>163</v>
      </c>
      <c r="C214" s="111">
        <v>58.95</v>
      </c>
      <c r="D214" s="111">
        <v>59.75</v>
      </c>
      <c r="E214" s="111">
        <v>59.75</v>
      </c>
      <c r="F214" s="111">
        <v>60.9</v>
      </c>
      <c r="G214" s="111">
        <v>67.4</v>
      </c>
      <c r="H214" s="111">
        <v>69.4</v>
      </c>
      <c r="I214" s="111">
        <v>69.4</v>
      </c>
      <c r="J214" s="86"/>
      <c r="K214" s="86"/>
      <c r="L214" s="86"/>
    </row>
    <row r="215" spans="1:12" ht="15">
      <c r="A215" s="85">
        <v>1990</v>
      </c>
      <c r="B215" s="115" t="s">
        <v>153</v>
      </c>
      <c r="C215" s="111">
        <v>60.21590909090909</v>
      </c>
      <c r="D215" s="111">
        <v>61.26136363636363</v>
      </c>
      <c r="E215" s="111">
        <v>61.26136363636363</v>
      </c>
      <c r="F215" s="111">
        <v>62.26136363636363</v>
      </c>
      <c r="G215" s="111">
        <v>68.04545454545455</v>
      </c>
      <c r="H215" s="111">
        <v>69.77272727272727</v>
      </c>
      <c r="I215" s="111">
        <v>69.77272727272727</v>
      </c>
      <c r="J215" s="86"/>
      <c r="K215" s="86"/>
      <c r="L215" s="86"/>
    </row>
    <row r="216" spans="1:12" ht="15">
      <c r="A216">
        <v>1990</v>
      </c>
      <c r="B216" s="116" t="s">
        <v>154</v>
      </c>
      <c r="C216" s="114">
        <v>52.776315789473685</v>
      </c>
      <c r="D216" s="114">
        <v>53.776315789473685</v>
      </c>
      <c r="E216" s="114">
        <v>53.776315789473685</v>
      </c>
      <c r="F216" s="114">
        <v>54.35526315789474</v>
      </c>
      <c r="G216" s="114">
        <v>55.28947368421053</v>
      </c>
      <c r="H216" s="114">
        <v>57.28947368421053</v>
      </c>
      <c r="I216" s="114">
        <v>57.28947368421053</v>
      </c>
      <c r="J216" s="86"/>
      <c r="K216" s="86"/>
      <c r="L216" s="86"/>
    </row>
    <row r="217" spans="1:12" ht="15">
      <c r="A217">
        <v>1990</v>
      </c>
      <c r="B217" s="116" t="s">
        <v>155</v>
      </c>
      <c r="C217" s="114">
        <v>62.39772727272727</v>
      </c>
      <c r="D217" s="114">
        <v>63.39772727272727</v>
      </c>
      <c r="E217" s="114">
        <v>63.39772727272727</v>
      </c>
      <c r="F217" s="114">
        <v>64.39772727272727</v>
      </c>
      <c r="G217" s="114">
        <v>58.69318181818182</v>
      </c>
      <c r="H217" s="114">
        <v>60.64772727272727</v>
      </c>
      <c r="I217" s="114">
        <v>60.64772727272727</v>
      </c>
      <c r="J217" s="86"/>
      <c r="K217" s="86"/>
      <c r="L217" s="86"/>
    </row>
    <row r="218" spans="1:12" ht="15">
      <c r="A218">
        <v>1990</v>
      </c>
      <c r="B218" s="116" t="s">
        <v>156</v>
      </c>
      <c r="C218" s="114">
        <v>75.925</v>
      </c>
      <c r="D218" s="114">
        <v>76.875</v>
      </c>
      <c r="E218" s="114">
        <v>76.875</v>
      </c>
      <c r="F218" s="114">
        <v>78.175</v>
      </c>
      <c r="G218" s="114">
        <v>65.6125</v>
      </c>
      <c r="H218" s="114">
        <v>67.5125</v>
      </c>
      <c r="I218" s="114">
        <v>67.5125</v>
      </c>
      <c r="J218" s="86"/>
      <c r="K218" s="86"/>
      <c r="L218" s="86"/>
    </row>
    <row r="219" spans="1:12" ht="15">
      <c r="A219">
        <v>1990</v>
      </c>
      <c r="B219" s="115" t="s">
        <v>157</v>
      </c>
      <c r="C219" s="111">
        <v>68.47727272727273</v>
      </c>
      <c r="D219" s="111">
        <v>69.75</v>
      </c>
      <c r="E219" s="111">
        <v>69.75</v>
      </c>
      <c r="F219" s="111">
        <v>74.29545454545455</v>
      </c>
      <c r="G219" s="111">
        <v>66.70454545454545</v>
      </c>
      <c r="H219" s="111">
        <v>68.70454545454545</v>
      </c>
      <c r="I219" s="111">
        <v>68.70454545454545</v>
      </c>
      <c r="J219" s="86"/>
      <c r="K219" s="86"/>
      <c r="L219" s="86"/>
    </row>
    <row r="220" spans="1:12" ht="15">
      <c r="A220">
        <v>1990</v>
      </c>
      <c r="B220" s="115" t="s">
        <v>158</v>
      </c>
      <c r="C220" s="111">
        <v>65.1547619047619</v>
      </c>
      <c r="D220" s="111">
        <v>66.91666666666667</v>
      </c>
      <c r="E220" s="111">
        <v>66.91666666666667</v>
      </c>
      <c r="F220" s="111">
        <v>75.1547619047619</v>
      </c>
      <c r="G220" s="111">
        <v>67.85714285714286</v>
      </c>
      <c r="H220" s="111">
        <v>69.80952380952381</v>
      </c>
      <c r="I220" s="111">
        <v>69.80952380952381</v>
      </c>
      <c r="J220" s="86"/>
      <c r="K220" s="86"/>
      <c r="L220" s="86"/>
    </row>
    <row r="221" spans="1:12" ht="15">
      <c r="A221">
        <v>1990</v>
      </c>
      <c r="B221" s="115" t="s">
        <v>159</v>
      </c>
      <c r="C221" s="111">
        <v>39.17857142857143</v>
      </c>
      <c r="D221" s="111">
        <v>40.79761904761905</v>
      </c>
      <c r="E221" s="111">
        <v>41.083333333333336</v>
      </c>
      <c r="F221" s="111">
        <v>47.273809523809526</v>
      </c>
      <c r="G221" s="111">
        <v>75.0952380952381</v>
      </c>
      <c r="H221" s="111">
        <v>77.0952380952381</v>
      </c>
      <c r="I221" s="111">
        <v>77.0952380952381</v>
      </c>
      <c r="J221" s="86"/>
      <c r="K221" s="86"/>
      <c r="L221" s="86"/>
    </row>
    <row r="222" spans="1:12" ht="15">
      <c r="A222">
        <v>1990</v>
      </c>
      <c r="B222" s="115" t="s">
        <v>0</v>
      </c>
      <c r="C222" s="111">
        <v>52.16304347826087</v>
      </c>
      <c r="D222" s="111">
        <v>53.98913043478261</v>
      </c>
      <c r="E222" s="111">
        <v>53.98913043478261</v>
      </c>
      <c r="F222" s="111">
        <v>55.119565217391305</v>
      </c>
      <c r="G222" s="111">
        <v>84.3586956521739</v>
      </c>
      <c r="H222" s="111">
        <v>86.3586956521739</v>
      </c>
      <c r="I222" s="111">
        <v>86.3586956521739</v>
      </c>
      <c r="J222" s="86"/>
      <c r="K222" s="86"/>
      <c r="L222" s="86"/>
    </row>
    <row r="223" spans="1:12" ht="15">
      <c r="A223">
        <v>1990</v>
      </c>
      <c r="B223" s="115" t="s">
        <v>160</v>
      </c>
      <c r="C223" s="111">
        <v>49.223684210526315</v>
      </c>
      <c r="D223" s="111">
        <v>50.9078947368421</v>
      </c>
      <c r="E223" s="111">
        <v>50.9078947368421</v>
      </c>
      <c r="F223" s="111">
        <v>53.06578947368421</v>
      </c>
      <c r="G223" s="111">
        <v>69.94736842105263</v>
      </c>
      <c r="H223" s="111">
        <v>75.42105263157895</v>
      </c>
      <c r="I223" s="111">
        <v>78.26315789473684</v>
      </c>
      <c r="J223" s="86"/>
      <c r="K223" s="86"/>
      <c r="L223" s="86"/>
    </row>
    <row r="224" spans="1:12" ht="15">
      <c r="A224">
        <v>1990</v>
      </c>
      <c r="B224" s="115" t="s">
        <v>161</v>
      </c>
      <c r="C224" s="111">
        <v>53.91304347826087</v>
      </c>
      <c r="D224" s="111">
        <v>56.04347826086956</v>
      </c>
      <c r="E224" s="111">
        <v>56.04347826086956</v>
      </c>
      <c r="F224" s="111">
        <v>57.04347826086956</v>
      </c>
      <c r="G224" s="111">
        <v>70.46739130434783</v>
      </c>
      <c r="H224" s="111">
        <v>78.46739130434783</v>
      </c>
      <c r="I224" s="111">
        <v>80.59782608695652</v>
      </c>
      <c r="J224" s="86"/>
      <c r="K224" s="86"/>
      <c r="L224" s="86"/>
    </row>
    <row r="225" spans="1:12" ht="15">
      <c r="A225">
        <v>1990</v>
      </c>
      <c r="B225" s="115" t="s">
        <v>162</v>
      </c>
      <c r="C225" s="111">
        <v>55.57142857142857</v>
      </c>
      <c r="D225" s="111">
        <v>57.57142857142857</v>
      </c>
      <c r="E225" s="111">
        <v>57.57142857142857</v>
      </c>
      <c r="F225" s="111">
        <v>57.904761904761905</v>
      </c>
      <c r="G225" s="111">
        <v>79.55952380952381</v>
      </c>
      <c r="H225" s="111">
        <v>87.27380952380952</v>
      </c>
      <c r="I225" s="111">
        <v>89.27380952380952</v>
      </c>
      <c r="J225" s="86"/>
      <c r="K225" s="86"/>
      <c r="L225" s="86"/>
    </row>
    <row r="226" spans="1:12" ht="15">
      <c r="A226">
        <v>1990</v>
      </c>
      <c r="B226" s="115" t="s">
        <v>163</v>
      </c>
      <c r="C226" s="111">
        <v>51.7875</v>
      </c>
      <c r="D226" s="111">
        <v>53.5875</v>
      </c>
      <c r="E226" s="111">
        <v>53.5875</v>
      </c>
      <c r="F226" s="111">
        <v>54.5375</v>
      </c>
      <c r="G226" s="111">
        <v>83.3</v>
      </c>
      <c r="H226" s="111">
        <v>88.5</v>
      </c>
      <c r="I226" s="111">
        <v>89.1</v>
      </c>
      <c r="J226" s="86"/>
      <c r="K226" s="86"/>
      <c r="L226" s="86"/>
    </row>
    <row r="227" spans="1:12" ht="15">
      <c r="A227" s="85">
        <v>1991</v>
      </c>
      <c r="B227" s="113" t="s">
        <v>153</v>
      </c>
      <c r="C227" s="114">
        <v>50.845238095238095</v>
      </c>
      <c r="D227" s="114">
        <v>51.98809523809524</v>
      </c>
      <c r="E227" s="114">
        <v>51.98809523809524</v>
      </c>
      <c r="F227" s="114">
        <v>53.55952380952381</v>
      </c>
      <c r="G227" s="114">
        <v>88.22619047619048</v>
      </c>
      <c r="H227" s="114">
        <v>92.22619047619048</v>
      </c>
      <c r="I227" s="114">
        <v>92.22619047619048</v>
      </c>
      <c r="J227" s="86"/>
      <c r="K227" s="86"/>
      <c r="L227" s="86"/>
    </row>
    <row r="228" spans="1:12" ht="15">
      <c r="A228">
        <v>1991</v>
      </c>
      <c r="B228" s="113" t="s">
        <v>154</v>
      </c>
      <c r="C228" s="114">
        <v>50.828947368421055</v>
      </c>
      <c r="D228" s="114">
        <v>51.828947368421055</v>
      </c>
      <c r="E228" s="114">
        <v>51.828947368421055</v>
      </c>
      <c r="F228" s="114">
        <v>53.35526315789474</v>
      </c>
      <c r="G228" s="114">
        <v>82.21052631578948</v>
      </c>
      <c r="H228" s="114">
        <v>86.05263157894737</v>
      </c>
      <c r="I228" s="114">
        <v>86.05263157894737</v>
      </c>
      <c r="J228" s="86"/>
      <c r="K228" s="86"/>
      <c r="L228" s="86"/>
    </row>
    <row r="229" spans="1:12" ht="15">
      <c r="A229">
        <v>1991</v>
      </c>
      <c r="B229" s="113" t="s">
        <v>155</v>
      </c>
      <c r="C229" s="114">
        <v>46.32142857142857</v>
      </c>
      <c r="D229" s="114">
        <v>47.32142857142857</v>
      </c>
      <c r="E229" s="114">
        <v>47.32142857142857</v>
      </c>
      <c r="F229" s="114">
        <v>48.51190476190476</v>
      </c>
      <c r="G229" s="114">
        <v>74.19047619047619</v>
      </c>
      <c r="H229" s="114">
        <v>78.19047619047619</v>
      </c>
      <c r="I229" s="114">
        <v>78.19047619047619</v>
      </c>
      <c r="J229" s="86"/>
      <c r="K229" s="86"/>
      <c r="L229" s="86"/>
    </row>
    <row r="230" spans="1:12" ht="15">
      <c r="A230">
        <v>1991</v>
      </c>
      <c r="B230" s="113" t="s">
        <v>156</v>
      </c>
      <c r="C230" s="114">
        <v>49.97826086956522</v>
      </c>
      <c r="D230" s="114">
        <v>50.97826086956522</v>
      </c>
      <c r="E230" s="114">
        <v>50.97826086956522</v>
      </c>
      <c r="F230" s="114">
        <v>52.15217391304348</v>
      </c>
      <c r="G230" s="114">
        <v>78.8804347826087</v>
      </c>
      <c r="H230" s="114">
        <v>82.8804347826087</v>
      </c>
      <c r="I230" s="114">
        <v>82.8804347826087</v>
      </c>
      <c r="J230" s="86"/>
      <c r="K230" s="86"/>
      <c r="L230" s="86"/>
    </row>
    <row r="231" spans="1:12" ht="15">
      <c r="A231">
        <v>1991</v>
      </c>
      <c r="B231" s="113" t="s">
        <v>157</v>
      </c>
      <c r="C231" s="114">
        <v>51.09090909090909</v>
      </c>
      <c r="D231" s="114">
        <v>52.09090909090909</v>
      </c>
      <c r="E231" s="114">
        <v>52.09090909090909</v>
      </c>
      <c r="F231" s="114">
        <v>53.63636363636363</v>
      </c>
      <c r="G231" s="114">
        <v>80.75</v>
      </c>
      <c r="H231" s="114">
        <v>84.75</v>
      </c>
      <c r="I231" s="114">
        <v>84.75</v>
      </c>
      <c r="J231" s="86"/>
      <c r="K231" s="86"/>
      <c r="L231" s="86"/>
    </row>
    <row r="232" spans="1:12" ht="15">
      <c r="A232">
        <v>1991</v>
      </c>
      <c r="B232" s="113" t="s">
        <v>158</v>
      </c>
      <c r="C232" s="114">
        <v>54.6375</v>
      </c>
      <c r="D232" s="114">
        <v>55.6375</v>
      </c>
      <c r="E232" s="114">
        <v>55.6375</v>
      </c>
      <c r="F232" s="114">
        <v>58.7875</v>
      </c>
      <c r="G232" s="114">
        <v>81.4125</v>
      </c>
      <c r="H232" s="114">
        <v>86.2125</v>
      </c>
      <c r="I232" s="114">
        <v>87.1625</v>
      </c>
      <c r="J232" s="86"/>
      <c r="K232" s="86"/>
      <c r="L232" s="86"/>
    </row>
    <row r="233" spans="1:12" ht="15">
      <c r="A233">
        <v>1991</v>
      </c>
      <c r="B233" s="113" t="s">
        <v>159</v>
      </c>
      <c r="C233" s="114">
        <v>52.56818181818182</v>
      </c>
      <c r="D233" s="114">
        <v>53.61363636363637</v>
      </c>
      <c r="E233" s="114">
        <v>53.61363636363637</v>
      </c>
      <c r="F233" s="114">
        <v>56.34090909090909</v>
      </c>
      <c r="G233" s="114">
        <v>70.70454545454545</v>
      </c>
      <c r="H233" s="114">
        <v>78.88636363636364</v>
      </c>
      <c r="I233" s="114">
        <v>82.20454545454545</v>
      </c>
      <c r="J233" s="86"/>
      <c r="K233" s="86"/>
      <c r="L233" s="86"/>
    </row>
    <row r="234" spans="1:12" ht="15">
      <c r="A234">
        <v>1991</v>
      </c>
      <c r="B234" s="113" t="s">
        <v>0</v>
      </c>
      <c r="C234" s="114">
        <v>43.625</v>
      </c>
      <c r="D234" s="114">
        <v>45.39772727272727</v>
      </c>
      <c r="E234" s="114">
        <v>45.39772727272727</v>
      </c>
      <c r="F234" s="114">
        <v>49.71590909090909</v>
      </c>
      <c r="G234" s="114">
        <v>64.25</v>
      </c>
      <c r="H234" s="114">
        <v>72.25</v>
      </c>
      <c r="I234" s="114">
        <v>74.79545454545455</v>
      </c>
      <c r="J234" s="86"/>
      <c r="K234" s="86"/>
      <c r="L234" s="86"/>
    </row>
    <row r="235" spans="1:12" ht="15">
      <c r="A235">
        <v>1991</v>
      </c>
      <c r="B235" s="113" t="s">
        <v>160</v>
      </c>
      <c r="C235" s="114">
        <v>38.8125</v>
      </c>
      <c r="D235" s="114">
        <v>40.8125</v>
      </c>
      <c r="E235" s="114">
        <v>40.8125</v>
      </c>
      <c r="F235" s="114">
        <v>46.0125</v>
      </c>
      <c r="G235" s="114">
        <v>52.875</v>
      </c>
      <c r="H235" s="114">
        <v>62.975</v>
      </c>
      <c r="I235" s="114">
        <v>66.975</v>
      </c>
      <c r="J235" s="86"/>
      <c r="K235" s="86"/>
      <c r="L235" s="86"/>
    </row>
    <row r="236" spans="1:12" ht="15">
      <c r="A236">
        <v>1991</v>
      </c>
      <c r="B236" s="113" t="s">
        <v>161</v>
      </c>
      <c r="C236" s="114">
        <v>40.53260869565217</v>
      </c>
      <c r="D236" s="114">
        <v>42.53260869565217</v>
      </c>
      <c r="E236" s="114">
        <v>42.53260869565217</v>
      </c>
      <c r="F236" s="114">
        <v>47.40217391304348</v>
      </c>
      <c r="G236" s="114">
        <v>58.869565217391305</v>
      </c>
      <c r="H236" s="114">
        <v>70.8695652173913</v>
      </c>
      <c r="I236" s="114">
        <v>76.08695652173913</v>
      </c>
      <c r="J236" s="86"/>
      <c r="K236" s="86"/>
      <c r="L236" s="86"/>
    </row>
    <row r="237" spans="1:12" ht="15">
      <c r="A237">
        <v>1991</v>
      </c>
      <c r="B237" s="113" t="s">
        <v>162</v>
      </c>
      <c r="C237" s="114">
        <v>47.13157894736842</v>
      </c>
      <c r="D237" s="114">
        <v>49.13157894736842</v>
      </c>
      <c r="E237" s="114">
        <v>49.13157894736842</v>
      </c>
      <c r="F237" s="114">
        <v>59.60526315789474</v>
      </c>
      <c r="G237" s="114">
        <v>65.89473684210526</v>
      </c>
      <c r="H237" s="114">
        <v>81.6842105263158</v>
      </c>
      <c r="I237" s="114">
        <v>89.84210526315789</v>
      </c>
      <c r="J237" s="86"/>
      <c r="K237" s="86"/>
      <c r="L237" s="86"/>
    </row>
    <row r="238" spans="1:12" ht="15">
      <c r="A238">
        <v>1991</v>
      </c>
      <c r="B238" s="113" t="s">
        <v>163</v>
      </c>
      <c r="C238" s="114">
        <v>42.70238095238095</v>
      </c>
      <c r="D238" s="114">
        <v>44.70238095238095</v>
      </c>
      <c r="E238" s="114">
        <v>44.70238095238095</v>
      </c>
      <c r="F238" s="114">
        <v>53.464285714285715</v>
      </c>
      <c r="G238" s="114">
        <v>57.36904761904762</v>
      </c>
      <c r="H238" s="114">
        <v>71.8452380952381</v>
      </c>
      <c r="I238" s="114">
        <v>78.32142857142857</v>
      </c>
      <c r="J238" s="86"/>
      <c r="K238" s="86"/>
      <c r="L238" s="86"/>
    </row>
    <row r="239" spans="1:12" ht="15">
      <c r="A239" s="85">
        <v>1992</v>
      </c>
      <c r="B239" s="113" t="s">
        <v>153</v>
      </c>
      <c r="C239" s="114">
        <v>30.136363636363637</v>
      </c>
      <c r="D239" s="114">
        <v>32.04545454545455</v>
      </c>
      <c r="E239" s="114">
        <v>32.04545454545455</v>
      </c>
      <c r="F239" s="114">
        <v>40.09090909090909</v>
      </c>
      <c r="G239" s="114">
        <v>46.13636363636363</v>
      </c>
      <c r="H239" s="114">
        <v>57.68181818181818</v>
      </c>
      <c r="I239" s="114">
        <v>61.68181818181818</v>
      </c>
      <c r="J239" s="86"/>
      <c r="K239" s="86"/>
      <c r="L239" s="86"/>
    </row>
    <row r="240" spans="1:12" ht="15">
      <c r="A240">
        <v>1992</v>
      </c>
      <c r="B240" s="113" t="s">
        <v>154</v>
      </c>
      <c r="C240" s="114">
        <v>36.73684210526316</v>
      </c>
      <c r="D240" s="114">
        <v>38.73684210526316</v>
      </c>
      <c r="E240" s="114">
        <v>38.73684210526316</v>
      </c>
      <c r="F240" s="114">
        <v>46.73684210526316</v>
      </c>
      <c r="G240" s="114">
        <v>45.47727272727273</v>
      </c>
      <c r="H240" s="114">
        <v>57.02272727272727</v>
      </c>
      <c r="I240" s="114">
        <v>61.02272727272727</v>
      </c>
      <c r="J240" s="86"/>
      <c r="K240" s="86"/>
      <c r="L240" s="86"/>
    </row>
    <row r="241" spans="1:12" ht="15">
      <c r="A241">
        <v>1992</v>
      </c>
      <c r="B241" s="113" t="s">
        <v>155</v>
      </c>
      <c r="C241" s="114">
        <v>59.55681818181818</v>
      </c>
      <c r="D241" s="114">
        <v>61.55681818181818</v>
      </c>
      <c r="E241" s="114">
        <v>61.55681818181818</v>
      </c>
      <c r="F241" s="114">
        <v>67.4659090909091</v>
      </c>
      <c r="G241" s="114">
        <v>44.90909090909091</v>
      </c>
      <c r="H241" s="114">
        <v>56.45454545454545</v>
      </c>
      <c r="I241" s="114">
        <v>60.45454545454545</v>
      </c>
      <c r="J241" s="86"/>
      <c r="K241" s="86"/>
      <c r="L241" s="86"/>
    </row>
    <row r="242" spans="1:12" ht="15">
      <c r="A242">
        <v>1992</v>
      </c>
      <c r="B242" s="113" t="s">
        <v>156</v>
      </c>
      <c r="C242" s="114">
        <v>73.51190476190476</v>
      </c>
      <c r="D242" s="114">
        <v>75.51190476190476</v>
      </c>
      <c r="E242" s="114">
        <v>75.51190476190476</v>
      </c>
      <c r="F242" s="114">
        <v>81.27380952380952</v>
      </c>
      <c r="G242" s="114">
        <v>44.48863636363637</v>
      </c>
      <c r="H242" s="114">
        <v>56.03409090909091</v>
      </c>
      <c r="I242" s="114">
        <v>60.03409090909091</v>
      </c>
      <c r="J242" s="86"/>
      <c r="K242" s="86"/>
      <c r="L242" s="86"/>
    </row>
    <row r="243" spans="1:12" ht="15">
      <c r="A243">
        <v>1992</v>
      </c>
      <c r="B243" s="113" t="s">
        <v>157</v>
      </c>
      <c r="C243" s="114">
        <v>67.575</v>
      </c>
      <c r="D243" s="114">
        <v>69.575</v>
      </c>
      <c r="E243" s="114">
        <v>69.575</v>
      </c>
      <c r="F243" s="114">
        <v>77.225</v>
      </c>
      <c r="G243" s="114">
        <v>43.98863636363637</v>
      </c>
      <c r="H243" s="114">
        <v>55.53409090909091</v>
      </c>
      <c r="I243" s="114">
        <v>59.53409090909091</v>
      </c>
      <c r="J243" s="86"/>
      <c r="K243" s="86"/>
      <c r="L243" s="86"/>
    </row>
    <row r="244" spans="1:12" ht="15">
      <c r="A244">
        <v>1992</v>
      </c>
      <c r="B244" s="113" t="s">
        <v>158</v>
      </c>
      <c r="C244" s="114">
        <v>68.64772727272727</v>
      </c>
      <c r="D244" s="114">
        <v>70.64772727272727</v>
      </c>
      <c r="E244" s="114">
        <v>70.64772727272727</v>
      </c>
      <c r="F244" s="114">
        <v>79.2840909090909</v>
      </c>
      <c r="G244" s="114">
        <v>43.64772727272727</v>
      </c>
      <c r="H244" s="114">
        <v>55.19318181818182</v>
      </c>
      <c r="I244" s="114">
        <v>59.19318181818182</v>
      </c>
      <c r="J244" s="86"/>
      <c r="K244" s="86"/>
      <c r="L244" s="86"/>
    </row>
    <row r="245" spans="1:12" ht="15">
      <c r="A245">
        <v>1992</v>
      </c>
      <c r="B245" s="113" t="s">
        <v>159</v>
      </c>
      <c r="C245" s="114">
        <v>56.5</v>
      </c>
      <c r="D245" s="114">
        <v>59.54545454545455</v>
      </c>
      <c r="E245" s="114">
        <v>60.95454545454545</v>
      </c>
      <c r="F245" s="114">
        <v>72.5909090909091</v>
      </c>
      <c r="G245" s="114">
        <v>43.45454545454545</v>
      </c>
      <c r="H245" s="114">
        <v>55</v>
      </c>
      <c r="I245" s="114">
        <v>59</v>
      </c>
      <c r="J245" s="86"/>
      <c r="K245" s="86"/>
      <c r="L245" s="86"/>
    </row>
    <row r="246" spans="1:12" ht="15">
      <c r="A246">
        <v>1992</v>
      </c>
      <c r="B246" s="113" t="s">
        <v>0</v>
      </c>
      <c r="C246" s="114">
        <v>53.45238095238095</v>
      </c>
      <c r="D246" s="114">
        <v>58.73809523809524</v>
      </c>
      <c r="E246" s="114">
        <v>61.26190476190476</v>
      </c>
      <c r="F246" s="114">
        <v>74.69047619047619</v>
      </c>
      <c r="G246" s="114">
        <v>42.84090909090909</v>
      </c>
      <c r="H246" s="114">
        <v>54.84090909090909</v>
      </c>
      <c r="I246" s="114">
        <v>58.84090909090909</v>
      </c>
      <c r="J246" s="86"/>
      <c r="K246" s="86"/>
      <c r="L246" s="86"/>
    </row>
    <row r="247" spans="1:12" ht="15">
      <c r="A247">
        <v>1992</v>
      </c>
      <c r="B247" s="113" t="s">
        <v>160</v>
      </c>
      <c r="C247" s="114">
        <v>54.416666666666664</v>
      </c>
      <c r="D247" s="114">
        <v>57.035714285714285</v>
      </c>
      <c r="E247" s="114">
        <v>60.464285714285715</v>
      </c>
      <c r="F247" s="114">
        <v>79.75</v>
      </c>
      <c r="G247" s="114">
        <v>42.44318181818182</v>
      </c>
      <c r="H247" s="114">
        <v>54.44318181818182</v>
      </c>
      <c r="I247" s="114">
        <v>58.44318181818182</v>
      </c>
      <c r="J247" s="86"/>
      <c r="K247" s="86"/>
      <c r="L247" s="86"/>
    </row>
    <row r="248" spans="1:12" ht="15">
      <c r="A248">
        <v>1992</v>
      </c>
      <c r="B248" s="113" t="s">
        <v>161</v>
      </c>
      <c r="C248" s="114">
        <v>52.5</v>
      </c>
      <c r="D248" s="114">
        <v>55.5</v>
      </c>
      <c r="E248" s="114">
        <v>58.5</v>
      </c>
      <c r="F248" s="114">
        <v>78.72727272727273</v>
      </c>
      <c r="G248" s="114">
        <v>42.11363636363637</v>
      </c>
      <c r="H248" s="114">
        <v>54.11363636363637</v>
      </c>
      <c r="I248" s="114">
        <v>58.11363636363637</v>
      </c>
      <c r="J248" s="86"/>
      <c r="K248" s="86"/>
      <c r="L248" s="86"/>
    </row>
    <row r="249" spans="1:12" ht="15">
      <c r="A249">
        <v>1992</v>
      </c>
      <c r="B249" s="113" t="s">
        <v>162</v>
      </c>
      <c r="C249" s="114">
        <v>51.6625</v>
      </c>
      <c r="D249" s="114">
        <v>54.7625</v>
      </c>
      <c r="E249" s="114">
        <v>57.6625</v>
      </c>
      <c r="F249" s="114">
        <v>78.0625</v>
      </c>
      <c r="G249" s="114">
        <v>41.54545454545455</v>
      </c>
      <c r="H249" s="114">
        <v>53.54545454545455</v>
      </c>
      <c r="I249" s="114">
        <v>57.54545454545455</v>
      </c>
      <c r="J249" s="86"/>
      <c r="K249" s="86"/>
      <c r="L249" s="86"/>
    </row>
    <row r="250" spans="1:12" ht="15">
      <c r="A250">
        <v>1992</v>
      </c>
      <c r="B250" s="113" t="s">
        <v>163</v>
      </c>
      <c r="C250" s="114">
        <v>63.23863636363637</v>
      </c>
      <c r="D250" s="114">
        <v>64.9659090909091</v>
      </c>
      <c r="E250" s="114">
        <v>67.42045454545455</v>
      </c>
      <c r="F250" s="114">
        <v>74.73863636363636</v>
      </c>
      <c r="G250" s="114">
        <v>40.97727272727273</v>
      </c>
      <c r="H250" s="114">
        <v>52.97727272727273</v>
      </c>
      <c r="I250" s="114">
        <v>56.97727272727273</v>
      </c>
      <c r="J250" s="86"/>
      <c r="K250" s="86"/>
      <c r="L250" s="86"/>
    </row>
    <row r="251" spans="1:12" ht="15">
      <c r="A251" s="85">
        <v>1993</v>
      </c>
      <c r="B251" s="113" t="s">
        <v>153</v>
      </c>
      <c r="C251" s="114">
        <v>68.6</v>
      </c>
      <c r="D251" s="114">
        <v>69.6</v>
      </c>
      <c r="E251" s="114">
        <v>71.6</v>
      </c>
      <c r="F251" s="114">
        <v>76.1</v>
      </c>
      <c r="G251" s="114">
        <v>78.1625</v>
      </c>
      <c r="H251" s="114">
        <v>114.7125</v>
      </c>
      <c r="I251" s="114">
        <v>142.7125</v>
      </c>
      <c r="J251" s="86"/>
      <c r="K251" s="86"/>
      <c r="L251" s="86"/>
    </row>
    <row r="252" spans="1:12" ht="15">
      <c r="A252">
        <v>1993</v>
      </c>
      <c r="B252" s="113" t="s">
        <v>154</v>
      </c>
      <c r="C252" s="114">
        <v>64.36842105263158</v>
      </c>
      <c r="D252" s="114">
        <v>65.36842105263158</v>
      </c>
      <c r="E252" s="114">
        <v>67.3157894736842</v>
      </c>
      <c r="F252" s="114">
        <v>71</v>
      </c>
      <c r="G252" s="114">
        <v>74.63157894736842</v>
      </c>
      <c r="H252" s="114">
        <v>115.52631578947368</v>
      </c>
      <c r="I252" s="114">
        <v>143.52631578947367</v>
      </c>
      <c r="J252" s="86"/>
      <c r="K252" s="86"/>
      <c r="L252" s="86"/>
    </row>
    <row r="253" spans="1:12" ht="15">
      <c r="A253">
        <v>1993</v>
      </c>
      <c r="B253" s="113" t="s">
        <v>155</v>
      </c>
      <c r="C253" s="114">
        <v>75.8695652173913</v>
      </c>
      <c r="D253" s="114">
        <v>77.95652173913044</v>
      </c>
      <c r="E253" s="114">
        <v>80.26086956521739</v>
      </c>
      <c r="F253" s="114">
        <v>80.26086956521739</v>
      </c>
      <c r="G253" s="114">
        <v>76.98913043478261</v>
      </c>
      <c r="H253" s="114">
        <v>125.6413043478261</v>
      </c>
      <c r="I253" s="114">
        <v>156.07608695652175</v>
      </c>
      <c r="J253" s="86"/>
      <c r="K253" s="86"/>
      <c r="L253" s="86"/>
    </row>
    <row r="254" spans="1:12" ht="15">
      <c r="A254">
        <v>1993</v>
      </c>
      <c r="B254" s="113" t="s">
        <v>156</v>
      </c>
      <c r="C254" s="114">
        <v>58.285714285714285</v>
      </c>
      <c r="D254" s="114">
        <v>60.285714285714285</v>
      </c>
      <c r="E254" s="114">
        <v>62.095238095238095</v>
      </c>
      <c r="F254" s="114">
        <v>62.095238095238095</v>
      </c>
      <c r="G254" s="114">
        <v>72.17857142857143</v>
      </c>
      <c r="H254" s="114">
        <v>118.22619047619048</v>
      </c>
      <c r="I254" s="114">
        <v>150.17857142857142</v>
      </c>
      <c r="J254" s="86"/>
      <c r="K254" s="86"/>
      <c r="L254" s="86"/>
    </row>
    <row r="255" spans="1:12" ht="15">
      <c r="A255">
        <v>1993</v>
      </c>
      <c r="B255" s="113" t="s">
        <v>157</v>
      </c>
      <c r="C255" s="114">
        <v>79.13157894736842</v>
      </c>
      <c r="D255" s="114">
        <v>81.13157894736842</v>
      </c>
      <c r="E255" s="114">
        <v>82.13157894736842</v>
      </c>
      <c r="F255" s="114">
        <v>82.13157894736842</v>
      </c>
      <c r="G255" s="114">
        <v>90.8157894736842</v>
      </c>
      <c r="H255" s="114">
        <v>139.23684210526315</v>
      </c>
      <c r="I255" s="114">
        <v>171.76315789473685</v>
      </c>
      <c r="J255" s="86"/>
      <c r="K255" s="86"/>
      <c r="L255" s="86"/>
    </row>
    <row r="256" spans="1:12" ht="15">
      <c r="A256">
        <v>1993</v>
      </c>
      <c r="B256" s="113" t="s">
        <v>158</v>
      </c>
      <c r="C256" s="114">
        <v>85.44318181818181</v>
      </c>
      <c r="D256" s="114">
        <v>87.44318181818181</v>
      </c>
      <c r="E256" s="114">
        <v>89.44318181818181</v>
      </c>
      <c r="F256" s="114">
        <v>89.44318181818181</v>
      </c>
      <c r="G256" s="114">
        <v>106.13636363636364</v>
      </c>
      <c r="H256" s="114">
        <v>170.86363636363637</v>
      </c>
      <c r="I256" s="114">
        <v>214.5</v>
      </c>
      <c r="J256" s="86"/>
      <c r="K256" s="86"/>
      <c r="L256" s="86"/>
    </row>
    <row r="257" spans="1:12" ht="15">
      <c r="A257">
        <v>1993</v>
      </c>
      <c r="B257" s="113" t="s">
        <v>159</v>
      </c>
      <c r="C257" s="114">
        <v>49.20454545454545</v>
      </c>
      <c r="D257" s="114">
        <v>61.70454545454545</v>
      </c>
      <c r="E257" s="114">
        <v>69.8409090909091</v>
      </c>
      <c r="F257" s="114">
        <v>105.1590909090909</v>
      </c>
      <c r="G257" s="114">
        <v>110.4659090909091</v>
      </c>
      <c r="H257" s="114">
        <v>193.5568181818182</v>
      </c>
      <c r="I257" s="114">
        <v>248.10227272727272</v>
      </c>
      <c r="J257" s="86"/>
      <c r="K257" s="86"/>
      <c r="L257" s="86"/>
    </row>
    <row r="258" spans="1:12" ht="15">
      <c r="A258">
        <v>1993</v>
      </c>
      <c r="B258" s="113" t="s">
        <v>0</v>
      </c>
      <c r="C258" s="114">
        <v>37.06818181818182</v>
      </c>
      <c r="D258" s="114">
        <v>43.52272727272727</v>
      </c>
      <c r="E258" s="114">
        <v>68.61363636363636</v>
      </c>
      <c r="F258" s="114">
        <v>116.3409090909091</v>
      </c>
      <c r="G258" s="114">
        <v>85.95454545454545</v>
      </c>
      <c r="H258" s="114">
        <v>191.95454545454547</v>
      </c>
      <c r="I258" s="114">
        <v>259</v>
      </c>
      <c r="J258" s="86"/>
      <c r="K258" s="86"/>
      <c r="L258" s="86"/>
    </row>
    <row r="259" spans="1:12" ht="15">
      <c r="A259">
        <v>1993</v>
      </c>
      <c r="B259" s="113" t="s">
        <v>160</v>
      </c>
      <c r="C259" s="114">
        <v>29.511904761904763</v>
      </c>
      <c r="D259" s="114">
        <v>42.416666666666664</v>
      </c>
      <c r="E259" s="114">
        <v>81.51190476190476</v>
      </c>
      <c r="F259" s="114">
        <v>138.36904761904762</v>
      </c>
      <c r="G259" s="114">
        <v>84.5</v>
      </c>
      <c r="H259" s="114">
        <v>178.78571428571428</v>
      </c>
      <c r="I259" s="114">
        <v>233.07142857142858</v>
      </c>
      <c r="J259" s="86"/>
      <c r="K259" s="86"/>
      <c r="L259" s="86"/>
    </row>
    <row r="260" spans="1:12" ht="15">
      <c r="A260">
        <v>1993</v>
      </c>
      <c r="B260" s="113" t="s">
        <v>161</v>
      </c>
      <c r="C260" s="114">
        <v>24.988095238095237</v>
      </c>
      <c r="D260" s="114">
        <v>34.226190476190474</v>
      </c>
      <c r="E260" s="114">
        <v>91.17857142857143</v>
      </c>
      <c r="F260" s="114">
        <v>182.27380952380952</v>
      </c>
      <c r="G260" s="114">
        <v>115.36904761904762</v>
      </c>
      <c r="H260" s="114">
        <v>202.51190476190476</v>
      </c>
      <c r="I260" s="114">
        <v>242.51190476190476</v>
      </c>
      <c r="J260" s="86"/>
      <c r="K260" s="86"/>
      <c r="L260" s="86"/>
    </row>
    <row r="261" spans="1:12" ht="15">
      <c r="A261">
        <v>1993</v>
      </c>
      <c r="B261" s="113" t="s">
        <v>162</v>
      </c>
      <c r="C261" s="114">
        <v>25.69047619047619</v>
      </c>
      <c r="D261" s="114">
        <v>26.404761904761905</v>
      </c>
      <c r="E261" s="114">
        <v>94.30952380952381</v>
      </c>
      <c r="F261" s="114">
        <v>190.07142857142858</v>
      </c>
      <c r="G261" s="114">
        <v>121.19047619047619</v>
      </c>
      <c r="H261" s="114">
        <v>217.47619047619048</v>
      </c>
      <c r="I261" s="114">
        <v>285.0952380952381</v>
      </c>
      <c r="J261" s="86"/>
      <c r="K261" s="86"/>
      <c r="L261" s="86"/>
    </row>
    <row r="262" spans="1:12" ht="15">
      <c r="A262">
        <v>1993</v>
      </c>
      <c r="B262" s="113" t="s">
        <v>163</v>
      </c>
      <c r="C262" s="114">
        <v>29.3375</v>
      </c>
      <c r="D262" s="114">
        <v>30.1375</v>
      </c>
      <c r="E262" s="114">
        <v>87.5375</v>
      </c>
      <c r="F262" s="114">
        <v>172.7875</v>
      </c>
      <c r="G262" s="114">
        <v>120.1</v>
      </c>
      <c r="H262" s="114">
        <v>199.15</v>
      </c>
      <c r="I262" s="114">
        <v>303.95</v>
      </c>
      <c r="J262" s="86"/>
      <c r="K262" s="86"/>
      <c r="L262" s="86"/>
    </row>
    <row r="263" spans="1:12" ht="15">
      <c r="A263" s="85">
        <v>1994</v>
      </c>
      <c r="B263" s="113" t="s">
        <v>153</v>
      </c>
      <c r="C263" s="114">
        <v>26.035714285714285</v>
      </c>
      <c r="D263" s="114">
        <v>27.654761904761905</v>
      </c>
      <c r="E263" s="114">
        <v>61.845238095238095</v>
      </c>
      <c r="F263" s="114">
        <v>121.6547619047619</v>
      </c>
      <c r="G263" s="114">
        <v>107.98809523809524</v>
      </c>
      <c r="H263" s="114">
        <v>192.79761904761904</v>
      </c>
      <c r="I263" s="114">
        <v>238.51190476190476</v>
      </c>
      <c r="J263" s="86"/>
      <c r="K263" s="86"/>
      <c r="L263" s="86"/>
    </row>
    <row r="264" spans="1:12" ht="15">
      <c r="A264">
        <v>1994</v>
      </c>
      <c r="B264" s="113" t="s">
        <v>154</v>
      </c>
      <c r="C264" s="114">
        <v>18.81578947368421</v>
      </c>
      <c r="D264" s="114">
        <v>26.394736842105264</v>
      </c>
      <c r="E264" s="114">
        <v>75.34210526315789</v>
      </c>
      <c r="F264" s="114">
        <v>134.81578947368422</v>
      </c>
      <c r="G264" s="114">
        <v>106.82894736842105</v>
      </c>
      <c r="H264" s="114">
        <v>217.35526315789474</v>
      </c>
      <c r="I264" s="114">
        <v>257.4078947368421</v>
      </c>
      <c r="J264" s="86"/>
      <c r="K264" s="86"/>
      <c r="L264" s="86"/>
    </row>
    <row r="265" spans="1:12" ht="15">
      <c r="A265">
        <v>1994</v>
      </c>
      <c r="B265" s="113" t="s">
        <v>155</v>
      </c>
      <c r="C265" s="114">
        <v>12.315217391304348</v>
      </c>
      <c r="D265" s="114">
        <v>26.967391304347824</v>
      </c>
      <c r="E265" s="114">
        <v>79.96739130434783</v>
      </c>
      <c r="F265" s="114">
        <v>140.05434782608697</v>
      </c>
      <c r="G265" s="114">
        <v>119.21739130434783</v>
      </c>
      <c r="H265" s="114">
        <v>235.3913043478261</v>
      </c>
      <c r="I265" s="114">
        <v>294.5217391304348</v>
      </c>
      <c r="J265" s="86"/>
      <c r="K265" s="86"/>
      <c r="L265" s="86"/>
    </row>
    <row r="266" spans="1:12" ht="15">
      <c r="A266">
        <v>1994</v>
      </c>
      <c r="B266" s="113" t="s">
        <v>156</v>
      </c>
      <c r="C266" s="114">
        <v>34.025</v>
      </c>
      <c r="D266" s="114">
        <v>38.125</v>
      </c>
      <c r="E266" s="114">
        <v>80.975</v>
      </c>
      <c r="F266" s="114">
        <v>141.325</v>
      </c>
      <c r="G266" s="114">
        <v>133.6375</v>
      </c>
      <c r="H266" s="114">
        <v>252.9375</v>
      </c>
      <c r="I266" s="114">
        <v>311.4375</v>
      </c>
      <c r="J266" s="86"/>
      <c r="K266" s="86"/>
      <c r="L266" s="86"/>
    </row>
    <row r="267" spans="1:12" ht="15">
      <c r="A267">
        <v>1994</v>
      </c>
      <c r="B267" s="113" t="s">
        <v>157</v>
      </c>
      <c r="C267" s="114">
        <v>35.25</v>
      </c>
      <c r="D267" s="114">
        <v>38.535714285714285</v>
      </c>
      <c r="E267" s="114">
        <v>78.72619047619048</v>
      </c>
      <c r="F267" s="114">
        <v>137.39285714285714</v>
      </c>
      <c r="G267" s="114">
        <v>137.77380952380952</v>
      </c>
      <c r="H267" s="114">
        <v>238.72619047619048</v>
      </c>
      <c r="I267" s="114">
        <v>293.01190476190476</v>
      </c>
      <c r="J267" s="86"/>
      <c r="K267" s="86"/>
      <c r="L267" s="86"/>
    </row>
    <row r="268" spans="1:12" ht="15">
      <c r="A268">
        <v>1994</v>
      </c>
      <c r="B268" s="113" t="s">
        <v>158</v>
      </c>
      <c r="C268" s="114">
        <v>29.545454545454547</v>
      </c>
      <c r="D268" s="114">
        <v>35.04545454545455</v>
      </c>
      <c r="E268" s="114">
        <v>54.95454545454545</v>
      </c>
      <c r="F268" s="114">
        <v>66.27272727272727</v>
      </c>
      <c r="G268" s="114">
        <v>75.31818181818181</v>
      </c>
      <c r="H268" s="114">
        <v>131</v>
      </c>
      <c r="I268" s="114">
        <v>173.6818181818182</v>
      </c>
      <c r="J268" s="86"/>
      <c r="K268" s="86"/>
      <c r="L268" s="86"/>
    </row>
    <row r="269" spans="1:12" ht="15">
      <c r="A269">
        <v>1994</v>
      </c>
      <c r="B269" s="113" t="s">
        <v>159</v>
      </c>
      <c r="C269" s="114">
        <v>26.2875</v>
      </c>
      <c r="D269" s="114">
        <v>32.2875</v>
      </c>
      <c r="E269" s="114">
        <v>47.3875</v>
      </c>
      <c r="F269" s="114">
        <v>57.2375</v>
      </c>
      <c r="G269" s="114">
        <v>62.4625</v>
      </c>
      <c r="H269" s="114">
        <v>116.3375</v>
      </c>
      <c r="I269" s="114">
        <v>138.3375</v>
      </c>
      <c r="J269" s="86"/>
      <c r="K269" s="86"/>
      <c r="L269" s="86"/>
    </row>
    <row r="270" spans="1:12" ht="15">
      <c r="A270">
        <v>1994</v>
      </c>
      <c r="B270" s="113" t="s">
        <v>0</v>
      </c>
      <c r="C270" s="114">
        <v>31.456521739130434</v>
      </c>
      <c r="D270" s="114">
        <v>34.97826086956522</v>
      </c>
      <c r="E270" s="114">
        <v>42.58695652173913</v>
      </c>
      <c r="F270" s="114">
        <v>51.15217391304348</v>
      </c>
      <c r="G270" s="114">
        <v>52.08695652173913</v>
      </c>
      <c r="H270" s="114">
        <v>89.91304347826087</v>
      </c>
      <c r="I270" s="114">
        <v>109.21739130434783</v>
      </c>
      <c r="J270" s="86"/>
      <c r="K270" s="86"/>
      <c r="L270" s="86"/>
    </row>
    <row r="271" spans="1:12" ht="15">
      <c r="A271">
        <v>1994</v>
      </c>
      <c r="B271" s="113" t="s">
        <v>160</v>
      </c>
      <c r="C271" s="114">
        <v>26.142857142857142</v>
      </c>
      <c r="D271" s="114">
        <v>31.047619047619047</v>
      </c>
      <c r="E271" s="114">
        <v>41.714285714285715</v>
      </c>
      <c r="F271" s="114">
        <v>51.42857142857143</v>
      </c>
      <c r="G271" s="114">
        <v>50.214285714285715</v>
      </c>
      <c r="H271" s="114">
        <v>86.35714285714286</v>
      </c>
      <c r="I271" s="114">
        <v>111.64285714285714</v>
      </c>
      <c r="J271" s="86"/>
      <c r="K271" s="86"/>
      <c r="L271" s="86"/>
    </row>
    <row r="272" spans="1:12" ht="15">
      <c r="A272">
        <v>1994</v>
      </c>
      <c r="B272" s="113" t="s">
        <v>161</v>
      </c>
      <c r="C272" s="114">
        <v>29.857142857142858</v>
      </c>
      <c r="D272" s="114">
        <v>34.04761904761905</v>
      </c>
      <c r="E272" s="114">
        <v>49.857142857142854</v>
      </c>
      <c r="F272" s="114">
        <v>62.95238095238095</v>
      </c>
      <c r="G272" s="114">
        <v>51.523809523809526</v>
      </c>
      <c r="H272" s="114">
        <v>86.57142857142857</v>
      </c>
      <c r="I272" s="114">
        <v>116.85714285714286</v>
      </c>
      <c r="J272" s="86"/>
      <c r="K272" s="86"/>
      <c r="L272" s="86"/>
    </row>
    <row r="273" spans="1:12" ht="15">
      <c r="A273">
        <v>1994</v>
      </c>
      <c r="B273" s="113" t="s">
        <v>162</v>
      </c>
      <c r="C273" s="114">
        <v>47.726190476190474</v>
      </c>
      <c r="D273" s="114">
        <v>52.29761904761905</v>
      </c>
      <c r="E273" s="114">
        <v>62.345238095238095</v>
      </c>
      <c r="F273" s="114">
        <v>75.39285714285714</v>
      </c>
      <c r="G273" s="114">
        <v>76.79761904761905</v>
      </c>
      <c r="H273" s="114">
        <v>123.03571428571429</v>
      </c>
      <c r="I273" s="114">
        <v>147.03571428571428</v>
      </c>
      <c r="J273" s="86"/>
      <c r="K273" s="86"/>
      <c r="L273" s="86"/>
    </row>
    <row r="274" spans="1:12" ht="15">
      <c r="A274">
        <v>1994</v>
      </c>
      <c r="B274" s="113" t="s">
        <v>163</v>
      </c>
      <c r="C274" s="114">
        <v>46.607142857142854</v>
      </c>
      <c r="D274" s="114">
        <v>48.273809523809526</v>
      </c>
      <c r="E274" s="114">
        <v>56.36904761904762</v>
      </c>
      <c r="F274" s="114">
        <v>64.98809523809524</v>
      </c>
      <c r="G274" s="114">
        <v>73.36904761904762</v>
      </c>
      <c r="H274" s="114">
        <v>108.60714285714286</v>
      </c>
      <c r="I274" s="114">
        <v>132.75</v>
      </c>
      <c r="J274" s="86"/>
      <c r="K274" s="86"/>
      <c r="L274" s="86"/>
    </row>
    <row r="275" spans="1:12" ht="15">
      <c r="A275" s="85">
        <v>1995</v>
      </c>
      <c r="B275" s="113" t="s">
        <v>153</v>
      </c>
      <c r="C275" s="114">
        <v>50.166666666666664</v>
      </c>
      <c r="D275" s="114">
        <v>51.5</v>
      </c>
      <c r="E275" s="114">
        <v>55.26190476190476</v>
      </c>
      <c r="F275" s="114">
        <v>59.5</v>
      </c>
      <c r="G275" s="114">
        <v>52</v>
      </c>
      <c r="H275" s="114">
        <v>60.76190476190476</v>
      </c>
      <c r="I275" s="114">
        <v>65.47619047619048</v>
      </c>
      <c r="J275" s="89"/>
      <c r="K275" s="89"/>
      <c r="L275" s="86"/>
    </row>
    <row r="276" spans="1:12" ht="15">
      <c r="A276">
        <v>1995</v>
      </c>
      <c r="B276" s="113" t="s">
        <v>154</v>
      </c>
      <c r="C276" s="114">
        <v>58.06944444444444</v>
      </c>
      <c r="D276" s="114">
        <v>58.236111111111114</v>
      </c>
      <c r="E276" s="114">
        <v>59.68055555555556</v>
      </c>
      <c r="F276" s="114">
        <v>62.736111111111114</v>
      </c>
      <c r="G276" s="114">
        <v>54.59722222222222</v>
      </c>
      <c r="H276" s="114">
        <v>61.31944444444444</v>
      </c>
      <c r="I276" s="114">
        <v>73.70833333333333</v>
      </c>
      <c r="J276" s="89"/>
      <c r="K276" s="89"/>
      <c r="L276" s="86"/>
    </row>
    <row r="277" spans="1:12" ht="15">
      <c r="A277">
        <v>1995</v>
      </c>
      <c r="B277" s="113" t="s">
        <v>155</v>
      </c>
      <c r="C277" s="114">
        <v>65.8804347826087</v>
      </c>
      <c r="D277" s="114">
        <v>65.8804347826087</v>
      </c>
      <c r="E277" s="114">
        <v>67.22826086956522</v>
      </c>
      <c r="F277" s="114">
        <v>69.05434782608695</v>
      </c>
      <c r="G277" s="114">
        <v>50.108695652173914</v>
      </c>
      <c r="H277" s="114">
        <v>62.67391304347826</v>
      </c>
      <c r="I277" s="114">
        <v>73.3695652173913</v>
      </c>
      <c r="J277" s="89"/>
      <c r="K277" s="89"/>
      <c r="L277" s="86"/>
    </row>
    <row r="278" spans="1:12" ht="15">
      <c r="A278">
        <v>1995</v>
      </c>
      <c r="B278" s="113" t="s">
        <v>156</v>
      </c>
      <c r="C278" s="114">
        <v>64.7375</v>
      </c>
      <c r="D278" s="114">
        <v>64.7375</v>
      </c>
      <c r="E278" s="114">
        <v>66.9375</v>
      </c>
      <c r="F278" s="114">
        <v>69.2375</v>
      </c>
      <c r="G278" s="114">
        <v>55.7</v>
      </c>
      <c r="H278" s="114">
        <v>66</v>
      </c>
      <c r="I278" s="114">
        <v>80.2</v>
      </c>
      <c r="J278" s="89"/>
      <c r="K278" s="89"/>
      <c r="L278" s="86"/>
    </row>
    <row r="279" spans="1:12" ht="15">
      <c r="A279">
        <v>1995</v>
      </c>
      <c r="B279" s="113" t="s">
        <v>157</v>
      </c>
      <c r="C279" s="114">
        <v>78.01136363636364</v>
      </c>
      <c r="D279" s="114">
        <v>78.01136363636364</v>
      </c>
      <c r="E279" s="114">
        <v>81.60227272727273</v>
      </c>
      <c r="F279" s="114">
        <v>85.375</v>
      </c>
      <c r="G279" s="114">
        <v>42.53409090909091</v>
      </c>
      <c r="H279" s="114">
        <v>53.98863636363637</v>
      </c>
      <c r="I279" s="114">
        <v>72.35227272727273</v>
      </c>
      <c r="J279" s="89"/>
      <c r="K279" s="89"/>
      <c r="L279" s="86"/>
    </row>
    <row r="280" spans="1:12" ht="15">
      <c r="A280">
        <v>1995</v>
      </c>
      <c r="B280" s="113" t="s">
        <v>158</v>
      </c>
      <c r="C280" s="114">
        <v>64.875</v>
      </c>
      <c r="D280" s="114">
        <v>64.875</v>
      </c>
      <c r="E280" s="114">
        <v>75.60227272727273</v>
      </c>
      <c r="F280" s="114">
        <v>95.4659090909091</v>
      </c>
      <c r="G280" s="114">
        <v>43.86363636363637</v>
      </c>
      <c r="H280" s="114">
        <v>54.70454545454545</v>
      </c>
      <c r="I280" s="114">
        <v>84.6590909090909</v>
      </c>
      <c r="J280" s="89"/>
      <c r="K280" s="89"/>
      <c r="L280" s="86"/>
    </row>
    <row r="281" spans="1:12" ht="15">
      <c r="A281">
        <v>1995</v>
      </c>
      <c r="B281" s="113" t="s">
        <v>159</v>
      </c>
      <c r="C281" s="114">
        <v>52.57142857142857</v>
      </c>
      <c r="D281" s="114">
        <v>53.42857142857143</v>
      </c>
      <c r="E281" s="114">
        <v>69.66666666666667</v>
      </c>
      <c r="F281" s="114">
        <v>105.33333333333333</v>
      </c>
      <c r="G281" s="112"/>
      <c r="H281" s="114">
        <v>47.07142857142857</v>
      </c>
      <c r="I281" s="114">
        <v>85.92857142857143</v>
      </c>
      <c r="J281" s="89"/>
      <c r="K281" s="89"/>
      <c r="L281" s="86"/>
    </row>
    <row r="282" spans="1:11" ht="15">
      <c r="A282">
        <v>1995</v>
      </c>
      <c r="B282" s="113" t="s">
        <v>0</v>
      </c>
      <c r="C282" s="114">
        <v>26.054347826086957</v>
      </c>
      <c r="D282" s="114">
        <v>29.706521739130434</v>
      </c>
      <c r="E282" s="114">
        <v>56.619565217391305</v>
      </c>
      <c r="F282" s="114">
        <v>94.1413043478261</v>
      </c>
      <c r="G282" s="112"/>
      <c r="H282" s="114">
        <v>46.53260869565217</v>
      </c>
      <c r="I282" s="114">
        <v>67.6195652173913</v>
      </c>
      <c r="J282" s="89"/>
      <c r="K282" s="89"/>
    </row>
    <row r="283" spans="1:11" ht="15">
      <c r="A283">
        <v>1995</v>
      </c>
      <c r="B283" s="113" t="s">
        <v>160</v>
      </c>
      <c r="C283" s="114">
        <v>43.214285714285715</v>
      </c>
      <c r="D283" s="114">
        <v>50.023809523809526</v>
      </c>
      <c r="E283" s="114">
        <v>76.02380952380952</v>
      </c>
      <c r="F283" s="114">
        <v>109.30952380952381</v>
      </c>
      <c r="G283" s="114">
        <v>41.666666666666664</v>
      </c>
      <c r="H283" s="114">
        <v>62.523809523809526</v>
      </c>
      <c r="I283" s="114">
        <v>82</v>
      </c>
      <c r="J283" s="89"/>
      <c r="K283" s="89"/>
    </row>
    <row r="284" spans="1:11" ht="15">
      <c r="A284">
        <v>1995</v>
      </c>
      <c r="B284" s="113" t="s">
        <v>161</v>
      </c>
      <c r="C284" s="114">
        <v>46.13095238095238</v>
      </c>
      <c r="D284" s="114">
        <v>55.607142857142854</v>
      </c>
      <c r="E284" s="114">
        <v>79.46428571428571</v>
      </c>
      <c r="F284" s="114">
        <v>107.79761904761905</v>
      </c>
      <c r="G284" s="114">
        <v>33.154761904761905</v>
      </c>
      <c r="H284" s="114">
        <v>53.726190476190474</v>
      </c>
      <c r="I284" s="114">
        <v>74.05952380952381</v>
      </c>
      <c r="J284" s="89"/>
      <c r="K284" s="89"/>
    </row>
    <row r="285" spans="1:11" ht="15">
      <c r="A285">
        <v>1995</v>
      </c>
      <c r="B285" s="113" t="s">
        <v>162</v>
      </c>
      <c r="C285" s="114">
        <v>52.154761904761905</v>
      </c>
      <c r="D285" s="114">
        <v>61.05952380952381</v>
      </c>
      <c r="E285" s="114">
        <v>80.86904761904762</v>
      </c>
      <c r="F285" s="114">
        <v>105.39285714285714</v>
      </c>
      <c r="G285" s="114">
        <v>39.154761904761905</v>
      </c>
      <c r="H285" s="114">
        <v>62.392857142857146</v>
      </c>
      <c r="I285" s="114">
        <v>80.1547619047619</v>
      </c>
      <c r="J285" s="89"/>
      <c r="K285" s="89"/>
    </row>
    <row r="286" spans="1:11" ht="15">
      <c r="A286">
        <v>1995</v>
      </c>
      <c r="B286" s="113" t="s">
        <v>163</v>
      </c>
      <c r="C286" s="114">
        <v>56.89473684210526</v>
      </c>
      <c r="D286" s="114">
        <v>66.78947368421052</v>
      </c>
      <c r="E286" s="114">
        <v>82.47368421052632</v>
      </c>
      <c r="F286" s="114">
        <v>111.36842105263158</v>
      </c>
      <c r="G286" s="114">
        <v>50.18421052631579</v>
      </c>
      <c r="H286" s="114">
        <v>71.5</v>
      </c>
      <c r="I286" s="114">
        <v>90.86842105263158</v>
      </c>
      <c r="J286" s="89"/>
      <c r="K286" s="89"/>
    </row>
    <row r="287" spans="1:9" ht="15">
      <c r="A287" s="85">
        <v>1996</v>
      </c>
      <c r="B287" s="113" t="s">
        <v>153</v>
      </c>
      <c r="C287" s="114">
        <v>54.19318181818182</v>
      </c>
      <c r="D287" s="114">
        <v>63.55681818181818</v>
      </c>
      <c r="E287" s="114">
        <v>81.01136363636364</v>
      </c>
      <c r="F287" s="114">
        <v>113.10227272727273</v>
      </c>
      <c r="G287" s="114">
        <v>101.05681818181819</v>
      </c>
      <c r="H287" s="114">
        <v>120.32954545454545</v>
      </c>
      <c r="I287" s="114">
        <v>134.7840909090909</v>
      </c>
    </row>
    <row r="288" spans="1:9" ht="15">
      <c r="A288">
        <v>1996</v>
      </c>
      <c r="B288" s="113" t="s">
        <v>154</v>
      </c>
      <c r="C288" s="114">
        <v>62.4125</v>
      </c>
      <c r="D288" s="114">
        <v>67.1625</v>
      </c>
      <c r="E288" s="114">
        <v>84.0125</v>
      </c>
      <c r="F288" s="114">
        <v>108.4125</v>
      </c>
      <c r="G288" s="114">
        <v>99.95</v>
      </c>
      <c r="H288" s="114">
        <v>121.85</v>
      </c>
      <c r="I288" s="114">
        <v>137.6</v>
      </c>
    </row>
    <row r="289" spans="1:9" ht="15">
      <c r="A289">
        <v>1996</v>
      </c>
      <c r="B289" s="113" t="s">
        <v>155</v>
      </c>
      <c r="C289" s="114">
        <v>67.16666666666667</v>
      </c>
      <c r="D289" s="114">
        <v>70.64285714285714</v>
      </c>
      <c r="E289" s="114">
        <v>86.21428571428571</v>
      </c>
      <c r="F289" s="114">
        <v>115.64285714285714</v>
      </c>
      <c r="G289" s="114">
        <v>94.89285714285714</v>
      </c>
      <c r="H289" s="114">
        <v>117.41666666666667</v>
      </c>
      <c r="I289" s="114">
        <v>132.89285714285714</v>
      </c>
    </row>
    <row r="290" spans="1:9" ht="15">
      <c r="A290">
        <v>1996</v>
      </c>
      <c r="B290" s="113" t="s">
        <v>156</v>
      </c>
      <c r="C290" s="114">
        <v>29.845238095238095</v>
      </c>
      <c r="D290" s="114">
        <v>32.654761904761905</v>
      </c>
      <c r="E290" s="114">
        <v>47.94047619047619</v>
      </c>
      <c r="F290" s="114">
        <v>81.27380952380952</v>
      </c>
      <c r="G290" s="114">
        <v>67.70238095238095</v>
      </c>
      <c r="H290" s="114">
        <v>92.03571428571429</v>
      </c>
      <c r="I290" s="114">
        <v>107.4125</v>
      </c>
    </row>
    <row r="291" spans="1:9" ht="15">
      <c r="A291">
        <v>1996</v>
      </c>
      <c r="B291" s="113" t="s">
        <v>157</v>
      </c>
      <c r="C291" s="114">
        <v>21.113636363636363</v>
      </c>
      <c r="D291" s="114">
        <v>24.25</v>
      </c>
      <c r="E291" s="114">
        <v>50.43181818181818</v>
      </c>
      <c r="F291" s="114">
        <v>92.8409090909091</v>
      </c>
      <c r="G291" s="114">
        <v>75.69318181818181</v>
      </c>
      <c r="H291" s="114">
        <v>108.69318181818181</v>
      </c>
      <c r="I291" s="114">
        <v>123.60227272727273</v>
      </c>
    </row>
    <row r="292" spans="1:9" ht="15">
      <c r="A292">
        <v>1996</v>
      </c>
      <c r="B292" s="113" t="s">
        <v>158</v>
      </c>
      <c r="C292" s="114">
        <v>42.95</v>
      </c>
      <c r="D292" s="114">
        <v>47.85</v>
      </c>
      <c r="E292" s="114">
        <v>74.35</v>
      </c>
      <c r="F292" s="114">
        <v>103.05</v>
      </c>
      <c r="G292" s="114">
        <v>125.4375</v>
      </c>
      <c r="H292" s="114">
        <v>161.8875</v>
      </c>
      <c r="I292" s="114">
        <v>175.2375</v>
      </c>
    </row>
    <row r="293" spans="1:9" ht="15">
      <c r="A293">
        <v>1996</v>
      </c>
      <c r="B293" s="113" t="s">
        <v>159</v>
      </c>
      <c r="C293" s="114">
        <v>39.39772727272727</v>
      </c>
      <c r="D293" s="114">
        <v>41.67045454545455</v>
      </c>
      <c r="E293" s="114">
        <v>57.44318181818182</v>
      </c>
      <c r="F293" s="114">
        <v>75.17045454545455</v>
      </c>
      <c r="G293" s="114">
        <v>97.72727272727273</v>
      </c>
      <c r="H293" s="114">
        <v>136.22727272727272</v>
      </c>
      <c r="I293" s="114">
        <v>148.6818181818182</v>
      </c>
    </row>
    <row r="294" spans="1:9" ht="15">
      <c r="A294">
        <v>1996</v>
      </c>
      <c r="B294" s="113" t="s">
        <v>0</v>
      </c>
      <c r="C294" s="114">
        <v>54.43181818181818</v>
      </c>
      <c r="D294" s="114">
        <v>55.70454545454545</v>
      </c>
      <c r="E294" s="114">
        <v>63.34090909090909</v>
      </c>
      <c r="F294" s="114">
        <v>69.25</v>
      </c>
      <c r="G294" s="114">
        <v>78.70454545454545</v>
      </c>
      <c r="H294" s="114">
        <v>103.79545454545455</v>
      </c>
      <c r="I294" s="114">
        <v>116.20454545454545</v>
      </c>
    </row>
    <row r="295" spans="1:9" ht="15">
      <c r="A295">
        <v>1996</v>
      </c>
      <c r="B295" s="113" t="s">
        <v>160</v>
      </c>
      <c r="C295" s="114">
        <v>69.525</v>
      </c>
      <c r="D295" s="114">
        <v>69.525</v>
      </c>
      <c r="E295" s="114">
        <v>71.375</v>
      </c>
      <c r="F295" s="114">
        <v>71.725</v>
      </c>
      <c r="G295" s="114">
        <v>70.2</v>
      </c>
      <c r="H295" s="114">
        <v>91.95</v>
      </c>
      <c r="I295" s="114">
        <v>103.95</v>
      </c>
    </row>
    <row r="296" spans="1:9" ht="15">
      <c r="A296">
        <v>1996</v>
      </c>
      <c r="B296" s="113" t="s">
        <v>161</v>
      </c>
      <c r="C296" s="114">
        <v>79.45652173913044</v>
      </c>
      <c r="D296" s="114">
        <v>79.45652173913044</v>
      </c>
      <c r="E296" s="114">
        <v>83.54347826086956</v>
      </c>
      <c r="F296" s="114">
        <v>85.06521739130434</v>
      </c>
      <c r="G296" s="114">
        <v>85.06521739130434</v>
      </c>
      <c r="H296" s="114">
        <v>106.58695652173913</v>
      </c>
      <c r="I296" s="114">
        <v>119.15217391304348</v>
      </c>
    </row>
    <row r="297" spans="1:9" ht="15">
      <c r="A297">
        <v>1996</v>
      </c>
      <c r="B297" s="113" t="s">
        <v>162</v>
      </c>
      <c r="C297" s="114">
        <v>89.42708333333333</v>
      </c>
      <c r="D297" s="114">
        <v>89.42708333333333</v>
      </c>
      <c r="E297" s="114">
        <v>93.96875</v>
      </c>
      <c r="F297" s="114">
        <v>96.30208333333333</v>
      </c>
      <c r="G297" s="114">
        <v>95.96875</v>
      </c>
      <c r="H297" s="114">
        <v>118.88541666666667</v>
      </c>
      <c r="I297" s="114">
        <v>128.67708333333334</v>
      </c>
    </row>
    <row r="298" spans="1:9" ht="15">
      <c r="A298">
        <v>1996</v>
      </c>
      <c r="B298" s="113" t="s">
        <v>163</v>
      </c>
      <c r="C298" s="114">
        <v>85.6304347826087</v>
      </c>
      <c r="D298" s="114">
        <v>89.19565217391305</v>
      </c>
      <c r="E298" s="114">
        <v>93.3695652173913</v>
      </c>
      <c r="F298" s="114">
        <v>95.23913043478261</v>
      </c>
      <c r="G298" s="114">
        <v>96.07608695652173</v>
      </c>
      <c r="H298" s="114">
        <v>118.94565217391305</v>
      </c>
      <c r="I298" s="114">
        <v>128.8586956521739</v>
      </c>
    </row>
    <row r="299" spans="2:9" ht="12.75">
      <c r="B299" s="117"/>
      <c r="C299" s="117"/>
      <c r="D299" s="117"/>
      <c r="E299" s="117"/>
      <c r="F299" s="117"/>
      <c r="G299" s="117"/>
      <c r="H299" s="117"/>
      <c r="I299" s="117"/>
    </row>
    <row r="300" spans="2:9" ht="12.75">
      <c r="B300" s="117"/>
      <c r="C300" s="117"/>
      <c r="D300" s="117"/>
      <c r="E300" s="117"/>
      <c r="F300" s="117"/>
      <c r="G300" s="117"/>
      <c r="H300" s="117"/>
      <c r="I300" s="117"/>
    </row>
    <row r="301" spans="2:9" ht="12.75">
      <c r="B301" s="117"/>
      <c r="C301" s="117"/>
      <c r="D301" s="117"/>
      <c r="E301" s="117"/>
      <c r="F301" s="117"/>
      <c r="G301" s="117"/>
      <c r="H301" s="117"/>
      <c r="I301" s="117"/>
    </row>
    <row r="302" spans="2:9" ht="12.75">
      <c r="B302" s="117"/>
      <c r="C302" s="117"/>
      <c r="D302" s="117"/>
      <c r="E302" s="117"/>
      <c r="F302" s="117"/>
      <c r="G302" s="117"/>
      <c r="H302" s="117"/>
      <c r="I302" s="117"/>
    </row>
  </sheetData>
  <sheetProtection sheet="1" objects="1" scenarios="1"/>
  <mergeCells count="2">
    <mergeCell ref="L9:O9"/>
    <mergeCell ref="P9:R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 Griffith</dc:creator>
  <cp:keywords/>
  <dc:description/>
  <cp:lastModifiedBy>Duane Griffith</cp:lastModifiedBy>
  <cp:lastPrinted>1999-11-03T18:18:43Z</cp:lastPrinted>
  <dcterms:created xsi:type="dcterms:W3CDTF">1998-10-01T15:34:07Z</dcterms:created>
  <dcterms:modified xsi:type="dcterms:W3CDTF">2002-05-22T17:07:01Z</dcterms:modified>
  <cp:category/>
  <cp:version/>
  <cp:contentType/>
  <cp:contentStatus/>
</cp:coreProperties>
</file>