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85" windowWidth="10860" windowHeight="5415" activeTab="2"/>
  </bookViews>
  <sheets>
    <sheet name="Ratio_Calc_Cost" sheetId="1" r:id="rId1"/>
    <sheet name="Ratios_Cost" sheetId="2" r:id="rId2"/>
    <sheet name="Ratio_Calc_Mrkt" sheetId="3" r:id="rId3"/>
    <sheet name="Ratios_Mrkt" sheetId="4" r:id="rId4"/>
  </sheets>
  <externalReferences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_xlnm.Print_Area" localSheetId="0">'Ratio_Calc_Cost'!$A$44:$J$92</definedName>
    <definedName name="_xlnm.Print_Area" localSheetId="2">'Ratio_Calc_Mrkt'!$A$44:$J$92</definedName>
    <definedName name="Print_Area_MI" localSheetId="0">'Ratio_Calc_Cost'!$A$44:$J$92</definedName>
    <definedName name="PRINT_RATIOCALC">#REF!</definedName>
    <definedName name="PRINT_RATIOONLY">#REF!</definedName>
  </definedNames>
  <calcPr fullCalcOnLoad="1"/>
</workbook>
</file>

<file path=xl/sharedStrings.xml><?xml version="1.0" encoding="utf-8"?>
<sst xmlns="http://schemas.openxmlformats.org/spreadsheetml/2006/main" count="222" uniqueCount="77">
  <si>
    <t>Financial Statement Ratios Suggested by the FFSG</t>
  </si>
  <si>
    <t>Ratios and Measures Calculated Using Cost Basis Information</t>
  </si>
  <si>
    <t>Liquidity</t>
  </si>
  <si>
    <t xml:space="preserve">     Cost Basis</t>
  </si>
  <si>
    <t xml:space="preserve">    Current Ratio   </t>
  </si>
  <si>
    <t xml:space="preserve">                   Beginning</t>
  </si>
  <si>
    <t xml:space="preserve">                         Ending</t>
  </si>
  <si>
    <t xml:space="preserve">  Current Assets </t>
  </si>
  <si>
    <t xml:space="preserve">  divided by Current Liabilities</t>
  </si>
  <si>
    <t xml:space="preserve">    Working Capital</t>
  </si>
  <si>
    <t xml:space="preserve"> Current Assets </t>
  </si>
  <si>
    <t xml:space="preserve">  - Current Liabilities</t>
  </si>
  <si>
    <t>Solvency</t>
  </si>
  <si>
    <t xml:space="preserve">    Debt/Asset Ratio</t>
  </si>
  <si>
    <t xml:space="preserve"> Total Farm Liabilities </t>
  </si>
  <si>
    <t xml:space="preserve"> divided by Total Farm Assets</t>
  </si>
  <si>
    <t xml:space="preserve">    Equity/Asset Ratio</t>
  </si>
  <si>
    <t xml:space="preserve"> Total Farm Equity </t>
  </si>
  <si>
    <t xml:space="preserve">    Debt/Equity Ratio</t>
  </si>
  <si>
    <t xml:space="preserve"> divided by Total Farm Equity</t>
  </si>
  <si>
    <t>Profitability</t>
  </si>
  <si>
    <t xml:space="preserve">    Rate of Return on Farm Assets</t>
  </si>
  <si>
    <t xml:space="preserve"> Net Farm Income From Operations</t>
  </si>
  <si>
    <t xml:space="preserve"> + Farm Interest Expense</t>
  </si>
  <si>
    <t xml:space="preserve"> - Value of Operator and Unpaid Family Labor &amp; Management</t>
  </si>
  <si>
    <t xml:space="preserve">   Divided by Average Total Farm Assets</t>
  </si>
  <si>
    <t xml:space="preserve">    Rate of Return on Farm Equity</t>
  </si>
  <si>
    <t xml:space="preserve">   Divided by Average Total Farm Equity</t>
  </si>
  <si>
    <t xml:space="preserve">    Operating Profit Margin Ratio</t>
  </si>
  <si>
    <t xml:space="preserve">   Divided by Gross Revenue</t>
  </si>
  <si>
    <t xml:space="preserve">    Net Farm Income</t>
  </si>
  <si>
    <t xml:space="preserve"> Calculated by Matching Revenues and Expense (Accrual) Plus </t>
  </si>
  <si>
    <t xml:space="preserve"> Gain or Loss on the Sale of Capital Assets</t>
  </si>
  <si>
    <t>Repayment Capacity</t>
  </si>
  <si>
    <t xml:space="preserve">    Term Debt and Capital Lease Coverage Ratio</t>
  </si>
  <si>
    <t xml:space="preserve"> + Total Non-Farm Income</t>
  </si>
  <si>
    <t xml:space="preserve"> + Depreciation/Amortization Expense</t>
  </si>
  <si>
    <t xml:space="preserve"> + Interest on Term Debt</t>
  </si>
  <si>
    <t xml:space="preserve"> + Interest on Capital Leases</t>
  </si>
  <si>
    <t xml:space="preserve"> - Total Income Tax Expense</t>
  </si>
  <si>
    <t xml:space="preserve"> - Owner Withdrawals</t>
  </si>
  <si>
    <t>Divided by</t>
  </si>
  <si>
    <t xml:space="preserve"> Annual Scheduled Principal and Interest Payments on Term Debt</t>
  </si>
  <si>
    <t xml:space="preserve"> + Annual Scheduled principal and Interest Payments of Capital Leases</t>
  </si>
  <si>
    <t>Ratio Value</t>
  </si>
  <si>
    <t xml:space="preserve">    Capital Replacement and Term Debt Repayment Margin</t>
  </si>
  <si>
    <t>Net Farm Income From Operations</t>
  </si>
  <si>
    <t xml:space="preserve"> + Total Non-Farm Income*</t>
  </si>
  <si>
    <t xml:space="preserve"> = Capital Replacement and Term Debt Repayment Capacity</t>
  </si>
  <si>
    <t xml:space="preserve"> - Payment on Unpaid Operating Debt From Prior Year</t>
  </si>
  <si>
    <t xml:space="preserve"> - Principal Payments on Current Portions of Term Debt</t>
  </si>
  <si>
    <t xml:space="preserve"> - Principal Payments on Current Portions of Capital Leases</t>
  </si>
  <si>
    <t xml:space="preserve"> - Total Annual Payments on Personal Liabilities (if Not in Withdrawals)*</t>
  </si>
  <si>
    <t xml:space="preserve"> = Capital Replacement and Term Debt Repayment Margin</t>
  </si>
  <si>
    <t xml:space="preserve"> * To evaluate for the business only, do not include items marked with an *</t>
  </si>
  <si>
    <t>Financial Efficiency</t>
  </si>
  <si>
    <t xml:space="preserve">    Asset Turnover Ratio</t>
  </si>
  <si>
    <t xml:space="preserve"> Gross Revenues </t>
  </si>
  <si>
    <t xml:space="preserve"> divided by Average Total Farm Assets</t>
  </si>
  <si>
    <t xml:space="preserve">    Operating Expense Ratio</t>
  </si>
  <si>
    <t xml:space="preserve"> Total Operating Expense</t>
  </si>
  <si>
    <t xml:space="preserve"> - Depreciation &amp; Amortization Expense</t>
  </si>
  <si>
    <t xml:space="preserve">   Divided by Gross Revenues</t>
  </si>
  <si>
    <t xml:space="preserve">    Depreciation Expense Ratio</t>
  </si>
  <si>
    <t xml:space="preserve"> Depreciation &amp; Amortization Expense </t>
  </si>
  <si>
    <t xml:space="preserve"> divided by Gross Revenues</t>
  </si>
  <si>
    <t xml:space="preserve">    Interest Expense Ratio</t>
  </si>
  <si>
    <t xml:space="preserve"> Total Farm Interest Expense </t>
  </si>
  <si>
    <t xml:space="preserve">    Net Farm Income From Operations Ratio</t>
  </si>
  <si>
    <t xml:space="preserve"> Net Farm Income From Operations </t>
  </si>
  <si>
    <t xml:space="preserve">  Check Sum</t>
  </si>
  <si>
    <t xml:space="preserve">    Current Ratio</t>
  </si>
  <si>
    <t xml:space="preserve">    Net Farm INcome From Operations Ratio</t>
  </si>
  <si>
    <t>Check Sum for Ratios</t>
  </si>
  <si>
    <t>Ratios and Measures Calculated Using Market Value Information</t>
  </si>
  <si>
    <t xml:space="preserve">   Market Value</t>
  </si>
  <si>
    <t xml:space="preserve"> Check Sum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</si>
</sst>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_)"/>
  </numFmts>
  <fonts count="1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6"/>
      <name val="Helv"/>
      <family val="0"/>
    </font>
    <font>
      <b/>
      <sz val="10"/>
      <color indexed="12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16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4" fontId="0" fillId="0" borderId="0" xfId="0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164" fontId="0" fillId="0" borderId="1" xfId="0" applyNumberForma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0" fillId="0" borderId="2" xfId="0" applyNumberFormat="1" applyBorder="1" applyAlignment="1" applyProtection="1">
      <alignment horizontal="left"/>
      <protection/>
    </xf>
    <xf numFmtId="164" fontId="0" fillId="0" borderId="3" xfId="0" applyNumberFormat="1" applyBorder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164" fontId="7" fillId="0" borderId="4" xfId="0" applyNumberFormat="1" applyFont="1" applyBorder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5" fontId="0" fillId="0" borderId="5" xfId="0" applyNumberFormat="1" applyBorder="1" applyAlignment="1" applyProtection="1">
      <alignment/>
      <protection/>
    </xf>
    <xf numFmtId="5" fontId="7" fillId="0" borderId="4" xfId="0" applyNumberFormat="1" applyFont="1" applyBorder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0" fontId="7" fillId="0" borderId="4" xfId="0" applyNumberFormat="1" applyFont="1" applyBorder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165" fontId="7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7" fontId="7" fillId="0" borderId="0" xfId="0" applyNumberFormat="1" applyFont="1" applyAlignment="1" applyProtection="1">
      <alignment/>
      <protection/>
    </xf>
    <xf numFmtId="164" fontId="0" fillId="0" borderId="6" xfId="0" applyNumberFormat="1" applyBorder="1" applyAlignment="1" applyProtection="1">
      <alignment/>
      <protection/>
    </xf>
    <xf numFmtId="164" fontId="0" fillId="0" borderId="7" xfId="0" applyNumberFormat="1" applyBorder="1" applyAlignment="1" applyProtection="1">
      <alignment/>
      <protection/>
    </xf>
    <xf numFmtId="164" fontId="0" fillId="0" borderId="8" xfId="0" applyNumberFormat="1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10" fontId="7" fillId="0" borderId="11" xfId="0" applyNumberFormat="1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5" fillId="2" borderId="0" xfId="0" applyNumberFormat="1" applyFont="1" applyFill="1" applyAlignment="1" applyProtection="1">
      <alignment horizontal="left"/>
      <protection/>
    </xf>
    <xf numFmtId="164" fontId="0" fillId="2" borderId="0" xfId="0" applyNumberFormat="1" applyFill="1" applyAlignment="1" applyProtection="1">
      <alignment/>
      <protection/>
    </xf>
    <xf numFmtId="164" fontId="6" fillId="2" borderId="0" xfId="0" applyNumberFormat="1" applyFont="1" applyFill="1" applyAlignment="1" applyProtection="1">
      <alignment horizontal="left"/>
      <protection/>
    </xf>
    <xf numFmtId="164" fontId="8" fillId="2" borderId="0" xfId="0" applyNumberFormat="1" applyFont="1" applyFill="1" applyAlignment="1" applyProtection="1">
      <alignment horizontal="left"/>
      <protection/>
    </xf>
    <xf numFmtId="164" fontId="0" fillId="3" borderId="0" xfId="0" applyNumberFormat="1" applyFill="1" applyAlignment="1" applyProtection="1">
      <alignment/>
      <protection/>
    </xf>
    <xf numFmtId="164" fontId="0" fillId="0" borderId="1" xfId="0" applyNumberForma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left"/>
      <protection/>
    </xf>
    <xf numFmtId="164" fontId="6" fillId="4" borderId="1" xfId="0" applyNumberFormat="1" applyFont="1" applyFill="1" applyBorder="1" applyAlignment="1" applyProtection="1">
      <alignment horizontal="left"/>
      <protection/>
    </xf>
    <xf numFmtId="164" fontId="0" fillId="4" borderId="0" xfId="0" applyFill="1" applyAlignment="1">
      <alignment/>
    </xf>
    <xf numFmtId="37" fontId="7" fillId="5" borderId="0" xfId="0" applyNumberFormat="1" applyFont="1" applyFill="1" applyBorder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37" fontId="9" fillId="0" borderId="12" xfId="0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sData\SSWorking\Excel\BSBEG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psData\SSWorking\Excel\BSE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sData\SSWorking\Excel\CASHF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s"/>
      <sheetName val="BalSheet"/>
      <sheetName val="DefTax"/>
      <sheetName val="Module1"/>
    </sheetNames>
    <sheetDataSet>
      <sheetData sheetId="1">
        <row r="36">
          <cell r="F36">
            <v>133212</v>
          </cell>
          <cell r="G36">
            <v>133212</v>
          </cell>
          <cell r="M36">
            <v>5015.333333333333</v>
          </cell>
          <cell r="N36">
            <v>5015.333333333333</v>
          </cell>
        </row>
        <row r="53">
          <cell r="M53">
            <v>5015.333333333333</v>
          </cell>
          <cell r="N53">
            <v>5015.333333333333</v>
          </cell>
        </row>
        <row r="57">
          <cell r="M57">
            <v>1595794.3666666667</v>
          </cell>
          <cell r="N57">
            <v>3918394.8666666667</v>
          </cell>
        </row>
        <row r="58">
          <cell r="F58">
            <v>1600809.7</v>
          </cell>
          <cell r="G58">
            <v>3923410.2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ules"/>
      <sheetName val="BalSheet"/>
      <sheetName val="DefTax"/>
      <sheetName val="Module1"/>
    </sheetNames>
    <sheetDataSet>
      <sheetData sheetId="1">
        <row r="36">
          <cell r="F36">
            <v>127260.85</v>
          </cell>
          <cell r="G36">
            <v>127260.85</v>
          </cell>
          <cell r="M36">
            <v>4470.833333333333</v>
          </cell>
          <cell r="N36">
            <v>4470.833333333333</v>
          </cell>
        </row>
        <row r="53">
          <cell r="M53">
            <v>4470.833333333333</v>
          </cell>
          <cell r="N53">
            <v>4470.833333333333</v>
          </cell>
        </row>
        <row r="57">
          <cell r="M57">
            <v>1567702.116666667</v>
          </cell>
          <cell r="N57">
            <v>3891553.1166666667</v>
          </cell>
        </row>
        <row r="58">
          <cell r="F58">
            <v>1572172.9500000002</v>
          </cell>
          <cell r="G58">
            <v>3896023.95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s"/>
      <sheetName val="CashFlow"/>
      <sheetName val="IncomeState"/>
      <sheetName val="StatementCashFlow"/>
      <sheetName val="Module1"/>
    </sheetNames>
    <sheetDataSet>
      <sheetData sheetId="1">
        <row r="128">
          <cell r="O128">
            <v>3939</v>
          </cell>
        </row>
        <row r="129">
          <cell r="O129">
            <v>261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</sheetData>
      <sheetData sheetId="2">
        <row r="31">
          <cell r="F31">
            <v>100546.5988</v>
          </cell>
        </row>
        <row r="43">
          <cell r="F43">
            <v>261</v>
          </cell>
        </row>
        <row r="48">
          <cell r="F48">
            <v>22386</v>
          </cell>
        </row>
        <row r="60">
          <cell r="F60">
            <v>-130.5</v>
          </cell>
        </row>
        <row r="66">
          <cell r="F66">
            <v>133040.06</v>
          </cell>
        </row>
        <row r="68">
          <cell r="F68">
            <v>-32493.461199999976</v>
          </cell>
        </row>
        <row r="76">
          <cell r="F76">
            <v>-32493.461199999976</v>
          </cell>
        </row>
        <row r="86">
          <cell r="F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92"/>
  <sheetViews>
    <sheetView showGridLines="0" zoomScale="90" zoomScaleNormal="90" workbookViewId="0" topLeftCell="A1">
      <selection activeCell="A1" sqref="A1"/>
    </sheetView>
  </sheetViews>
  <sheetFormatPr defaultColWidth="9.7109375" defaultRowHeight="12.75"/>
  <cols>
    <col min="7" max="7" width="13.7109375" style="0" customWidth="1"/>
    <col min="8" max="8" width="11.28125" style="0" customWidth="1"/>
    <col min="9" max="9" width="13.7109375" style="0" customWidth="1"/>
    <col min="10" max="10" width="14.7109375" style="0" customWidth="1"/>
  </cols>
  <sheetData>
    <row r="1" ht="33" customHeight="1"/>
    <row r="2" ht="19.5">
      <c r="B2" s="6" t="s">
        <v>0</v>
      </c>
    </row>
    <row r="4" spans="1:10" ht="16.5" thickBot="1">
      <c r="A4" s="7"/>
      <c r="B4" s="7"/>
      <c r="C4" s="42" t="s">
        <v>1</v>
      </c>
      <c r="D4" s="7"/>
      <c r="E4" s="7"/>
      <c r="F4" s="7"/>
      <c r="G4" s="8"/>
      <c r="H4" s="8"/>
      <c r="I4" s="8"/>
      <c r="J4" s="8"/>
    </row>
    <row r="5" spans="1:10" ht="20.25" thickBot="1">
      <c r="A5" s="36" t="s">
        <v>2</v>
      </c>
      <c r="B5" s="37"/>
      <c r="C5" s="37"/>
      <c r="D5" s="37"/>
      <c r="E5" s="37"/>
      <c r="F5" s="37"/>
      <c r="G5" s="37"/>
      <c r="H5" s="38" t="s">
        <v>3</v>
      </c>
      <c r="I5" s="37"/>
      <c r="J5" s="37"/>
    </row>
    <row r="6" spans="1:10" ht="16.5" thickBot="1">
      <c r="A6" s="9" t="s">
        <v>4</v>
      </c>
      <c r="G6" s="10" t="s">
        <v>5</v>
      </c>
      <c r="H6" s="11"/>
      <c r="I6" s="10" t="s">
        <v>6</v>
      </c>
      <c r="J6" s="11"/>
    </row>
    <row r="7" spans="1:9" ht="12.75">
      <c r="A7" s="12"/>
      <c r="B7" s="5" t="s">
        <v>7</v>
      </c>
      <c r="D7" s="44"/>
      <c r="G7" s="13">
        <f>'[1]BalSheet'!$F$36</f>
        <v>133212</v>
      </c>
      <c r="H7" s="14"/>
      <c r="I7" s="15">
        <f>'[2]BalSheet'!$F$36</f>
        <v>127260.85</v>
      </c>
    </row>
    <row r="8" spans="1:10" ht="12.75">
      <c r="A8" s="12"/>
      <c r="B8" s="5" t="s">
        <v>8</v>
      </c>
      <c r="G8" s="13">
        <f>'[1]BalSheet'!$M$36</f>
        <v>5015.333333333333</v>
      </c>
      <c r="H8" s="24">
        <f>G7/G8</f>
        <v>26.560946430945105</v>
      </c>
      <c r="I8" s="15">
        <f>'[2]BalSheet'!$M$36</f>
        <v>4470.833333333333</v>
      </c>
      <c r="J8" s="17">
        <f>I7/I8</f>
        <v>28.464682199440823</v>
      </c>
    </row>
    <row r="9" spans="1:10" ht="15.75">
      <c r="A9" s="9" t="s">
        <v>9</v>
      </c>
      <c r="G9" s="2"/>
      <c r="H9" s="16"/>
      <c r="I9" s="18"/>
      <c r="J9" s="12"/>
    </row>
    <row r="10" spans="2:10" ht="12.75">
      <c r="B10" s="5" t="s">
        <v>10</v>
      </c>
      <c r="G10" s="13">
        <f>Ratio_Calc_Cost!$G$7</f>
        <v>133212</v>
      </c>
      <c r="H10" s="16"/>
      <c r="I10" s="15">
        <f>I7</f>
        <v>127260.85</v>
      </c>
      <c r="J10" s="12"/>
    </row>
    <row r="11" spans="2:10" ht="12.75">
      <c r="B11" s="5" t="s">
        <v>11</v>
      </c>
      <c r="G11" s="13">
        <f>'[1]BalSheet'!$M$36</f>
        <v>5015.333333333333</v>
      </c>
      <c r="H11" s="19">
        <f>G10-G11</f>
        <v>128196.66666666667</v>
      </c>
      <c r="I11" s="15">
        <f>I8</f>
        <v>4470.833333333333</v>
      </c>
      <c r="J11" s="20">
        <f>I10-I11</f>
        <v>122790.01666666668</v>
      </c>
    </row>
    <row r="12" spans="1:10" ht="20.25" thickBot="1">
      <c r="A12" s="36" t="s">
        <v>12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6.5" thickBot="1">
      <c r="A13" s="9" t="s">
        <v>13</v>
      </c>
      <c r="G13" s="10" t="s">
        <v>5</v>
      </c>
      <c r="H13" s="11"/>
      <c r="I13" s="10" t="s">
        <v>6</v>
      </c>
      <c r="J13" s="11"/>
    </row>
    <row r="14" spans="1:9" ht="12.75">
      <c r="A14" s="12"/>
      <c r="B14" s="5" t="s">
        <v>14</v>
      </c>
      <c r="G14" s="13">
        <f>'[1]BalSheet'!$M$53</f>
        <v>5015.333333333333</v>
      </c>
      <c r="H14" s="14"/>
      <c r="I14" s="15">
        <f>'[2]BalSheet'!$M$53</f>
        <v>4470.833333333333</v>
      </c>
    </row>
    <row r="15" spans="1:10" ht="12.75">
      <c r="A15" s="12"/>
      <c r="B15" s="5" t="s">
        <v>15</v>
      </c>
      <c r="G15" s="13">
        <f>'[1]BalSheet'!$F$58</f>
        <v>1600809.7</v>
      </c>
      <c r="H15" s="21">
        <f>G14/G15</f>
        <v>0.0031329978406136176</v>
      </c>
      <c r="I15" s="15">
        <f>'[2]BalSheet'!$F$58</f>
        <v>1572172.9500000002</v>
      </c>
      <c r="J15" s="22">
        <f>I14/I15</f>
        <v>0.002843728696218398</v>
      </c>
    </row>
    <row r="16" spans="1:10" ht="15.75">
      <c r="A16" s="9" t="s">
        <v>16</v>
      </c>
      <c r="G16" s="2"/>
      <c r="H16" s="21"/>
      <c r="I16" s="23"/>
      <c r="J16" s="22"/>
    </row>
    <row r="17" spans="1:10" ht="12.75">
      <c r="A17" s="12"/>
      <c r="B17" s="5" t="s">
        <v>17</v>
      </c>
      <c r="G17" s="13">
        <f>'[1]BalSheet'!$M$57</f>
        <v>1595794.3666666667</v>
      </c>
      <c r="H17" s="21"/>
      <c r="I17" s="15">
        <f>'[2]BalSheet'!$M$57</f>
        <v>1567702.116666667</v>
      </c>
      <c r="J17" s="22"/>
    </row>
    <row r="18" spans="1:10" ht="12.75">
      <c r="A18" s="12"/>
      <c r="B18" s="5" t="s">
        <v>15</v>
      </c>
      <c r="G18" s="13">
        <f>G15</f>
        <v>1600809.7</v>
      </c>
      <c r="H18" s="21">
        <f>G17/G18</f>
        <v>0.9968670021593864</v>
      </c>
      <c r="I18" s="15">
        <f>I15</f>
        <v>1572172.9500000002</v>
      </c>
      <c r="J18" s="22">
        <f>I17/I18</f>
        <v>0.9971562713037817</v>
      </c>
    </row>
    <row r="19" spans="1:10" ht="15.75">
      <c r="A19" s="9" t="s">
        <v>18</v>
      </c>
      <c r="G19" s="1"/>
      <c r="H19" s="21"/>
      <c r="I19" s="23"/>
      <c r="J19" s="22"/>
    </row>
    <row r="20" spans="2:10" ht="12.75">
      <c r="B20" s="5" t="s">
        <v>14</v>
      </c>
      <c r="G20" s="13">
        <f>G14</f>
        <v>5015.333333333333</v>
      </c>
      <c r="H20" s="21"/>
      <c r="I20" s="15">
        <f>I14</f>
        <v>4470.833333333333</v>
      </c>
      <c r="J20" s="22"/>
    </row>
    <row r="21" spans="2:10" ht="12.75">
      <c r="B21" s="5" t="s">
        <v>19</v>
      </c>
      <c r="G21" s="13">
        <f>G17</f>
        <v>1595794.3666666667</v>
      </c>
      <c r="H21" s="24">
        <f>G20/G21</f>
        <v>0.0031428443652232467</v>
      </c>
      <c r="I21" s="15">
        <f>I17</f>
        <v>1567702.116666667</v>
      </c>
      <c r="J21" s="17">
        <f>I20/I21</f>
        <v>0.0028518385513438362</v>
      </c>
    </row>
    <row r="22" spans="1:10" ht="19.5">
      <c r="A22" s="39" t="s">
        <v>20</v>
      </c>
      <c r="B22" s="37"/>
      <c r="C22" s="37"/>
      <c r="D22" s="37"/>
      <c r="E22" s="37"/>
      <c r="F22" s="37"/>
      <c r="G22" s="37"/>
      <c r="H22" s="37"/>
      <c r="I22" s="37"/>
      <c r="J22" s="37"/>
    </row>
    <row r="23" ht="15.75">
      <c r="A23" s="9" t="s">
        <v>21</v>
      </c>
    </row>
    <row r="24" spans="1:9" ht="15.75">
      <c r="A24" s="25"/>
      <c r="B24" s="5" t="s">
        <v>22</v>
      </c>
      <c r="I24" s="13">
        <f>'[3]IncomeState'!$F$68</f>
        <v>-32493.461199999976</v>
      </c>
    </row>
    <row r="25" spans="1:9" ht="15.75">
      <c r="A25" s="25"/>
      <c r="B25" s="5" t="s">
        <v>23</v>
      </c>
      <c r="I25" s="13">
        <f>'[3]IncomeState'!$F$43+'[3]IncomeState'!$F$60</f>
        <v>130.5</v>
      </c>
    </row>
    <row r="26" spans="1:9" ht="15.75">
      <c r="A26" s="25"/>
      <c r="B26" s="5" t="s">
        <v>24</v>
      </c>
      <c r="I26" s="47">
        <v>25000</v>
      </c>
    </row>
    <row r="27" spans="1:10" ht="15.75">
      <c r="A27" s="25"/>
      <c r="B27" s="5" t="s">
        <v>25</v>
      </c>
      <c r="I27" s="13">
        <f>(G15+I15)/2</f>
        <v>1586491.3250000002</v>
      </c>
      <c r="J27" s="22">
        <f>(I24+I25-I26)/I27</f>
        <v>-0.036157122510581625</v>
      </c>
    </row>
    <row r="28" spans="1:9" ht="15.75">
      <c r="A28" s="25"/>
      <c r="I28" s="1"/>
    </row>
    <row r="29" spans="1:9" ht="15.75">
      <c r="A29" s="9" t="s">
        <v>26</v>
      </c>
      <c r="I29" s="1"/>
    </row>
    <row r="30" spans="1:9" ht="15.75">
      <c r="A30" s="25"/>
      <c r="B30" s="5" t="s">
        <v>22</v>
      </c>
      <c r="I30" s="13">
        <f>I24</f>
        <v>-32493.461199999976</v>
      </c>
    </row>
    <row r="31" spans="1:9" ht="15.75">
      <c r="A31" s="25"/>
      <c r="B31" s="5" t="s">
        <v>24</v>
      </c>
      <c r="I31" s="13">
        <f>I26</f>
        <v>25000</v>
      </c>
    </row>
    <row r="32" spans="1:10" ht="15.75">
      <c r="A32" s="25"/>
      <c r="B32" s="5" t="s">
        <v>27</v>
      </c>
      <c r="I32" s="13">
        <f>(G21+I21)/2</f>
        <v>1581748.2416666667</v>
      </c>
      <c r="J32" s="22">
        <f>(I30-I31)/I32</f>
        <v>-0.036348048118845955</v>
      </c>
    </row>
    <row r="33" spans="1:9" ht="15.75">
      <c r="A33" s="25"/>
      <c r="I33" s="1"/>
    </row>
    <row r="34" spans="1:9" ht="15.75">
      <c r="A34" s="9" t="s">
        <v>28</v>
      </c>
      <c r="I34" s="1"/>
    </row>
    <row r="35" spans="1:9" ht="15.75">
      <c r="A35" s="25"/>
      <c r="B35" s="5" t="s">
        <v>22</v>
      </c>
      <c r="I35" s="13">
        <f>I24</f>
        <v>-32493.461199999976</v>
      </c>
    </row>
    <row r="36" spans="1:9" ht="15.75">
      <c r="A36" s="25"/>
      <c r="B36" s="5" t="s">
        <v>23</v>
      </c>
      <c r="I36" s="13">
        <f>I25</f>
        <v>130.5</v>
      </c>
    </row>
    <row r="37" spans="1:9" ht="15.75">
      <c r="A37" s="25"/>
      <c r="B37" s="5" t="s">
        <v>24</v>
      </c>
      <c r="I37" s="13">
        <f>I31</f>
        <v>25000</v>
      </c>
    </row>
    <row r="38" spans="1:10" ht="15.75">
      <c r="A38" s="25"/>
      <c r="B38" s="5" t="s">
        <v>29</v>
      </c>
      <c r="I38" s="13">
        <f>'[3]IncomeState'!$F$31</f>
        <v>100546.5988</v>
      </c>
      <c r="J38" s="22">
        <f>(I35+I36-I37)/I38</f>
        <v>-0.5705112046017808</v>
      </c>
    </row>
    <row r="39" ht="15.75">
      <c r="A39" s="25"/>
    </row>
    <row r="40" ht="15.75">
      <c r="A40" s="9" t="s">
        <v>30</v>
      </c>
    </row>
    <row r="41" spans="1:2" ht="12.75">
      <c r="A41" s="12"/>
      <c r="B41" s="5" t="s">
        <v>31</v>
      </c>
    </row>
    <row r="42" spans="2:10" ht="12.75">
      <c r="B42" s="5" t="s">
        <v>32</v>
      </c>
      <c r="J42" s="26">
        <f>'[3]IncomeState'!$F$76</f>
        <v>-32493.461199999976</v>
      </c>
    </row>
    <row r="44" spans="1:10" ht="19.5">
      <c r="A44" s="36" t="s">
        <v>33</v>
      </c>
      <c r="B44" s="37"/>
      <c r="C44" s="37"/>
      <c r="D44" s="37"/>
      <c r="E44" s="37"/>
      <c r="F44" s="37"/>
      <c r="G44" s="37"/>
      <c r="H44" s="37"/>
      <c r="I44" s="38" t="s">
        <v>3</v>
      </c>
      <c r="J44" s="37"/>
    </row>
    <row r="45" ht="15.75">
      <c r="A45" s="9" t="s">
        <v>34</v>
      </c>
    </row>
    <row r="46" spans="1:9" ht="15.75">
      <c r="A46" s="25"/>
      <c r="B46" s="5" t="s">
        <v>22</v>
      </c>
      <c r="I46" s="13">
        <f>I24</f>
        <v>-32493.461199999976</v>
      </c>
    </row>
    <row r="47" spans="1:9" ht="15.75">
      <c r="A47" s="25"/>
      <c r="B47" s="5" t="s">
        <v>35</v>
      </c>
      <c r="I47" s="47">
        <v>0</v>
      </c>
    </row>
    <row r="48" spans="1:10" ht="15.75">
      <c r="A48" s="25"/>
      <c r="B48" s="5" t="s">
        <v>36</v>
      </c>
      <c r="I48" s="13">
        <f>'[3]IncomeState'!$F$48</f>
        <v>22386</v>
      </c>
      <c r="J48" s="44"/>
    </row>
    <row r="49" spans="1:9" ht="16.5" thickBot="1">
      <c r="A49" s="25"/>
      <c r="B49" s="5" t="s">
        <v>37</v>
      </c>
      <c r="E49" s="27"/>
      <c r="F49" s="7"/>
      <c r="G49" s="7"/>
      <c r="H49" s="28"/>
      <c r="I49" s="13">
        <f>'[3]CashFlow'!$O$129</f>
        <v>261</v>
      </c>
    </row>
    <row r="50" spans="1:9" ht="15.75">
      <c r="A50" s="25"/>
      <c r="B50" s="5" t="s">
        <v>38</v>
      </c>
      <c r="E50" s="29"/>
      <c r="F50" s="30"/>
      <c r="G50" s="30"/>
      <c r="H50" s="31"/>
      <c r="I50" s="40"/>
    </row>
    <row r="51" spans="1:9" ht="15.75">
      <c r="A51" s="25"/>
      <c r="B51" s="5" t="s">
        <v>39</v>
      </c>
      <c r="I51" s="45">
        <f>'[3]IncomeState'!$F$86</f>
        <v>0</v>
      </c>
    </row>
    <row r="52" spans="1:10" ht="15.75">
      <c r="A52" s="25"/>
      <c r="B52" s="5" t="s">
        <v>40</v>
      </c>
      <c r="I52" s="13">
        <f>SUM('[3]CashFlow'!O136:O140)</f>
        <v>0</v>
      </c>
      <c r="J52" s="26">
        <f>SUM(I46:I50)-I51-I52</f>
        <v>-9846.461199999976</v>
      </c>
    </row>
    <row r="53" spans="1:10" ht="15.75">
      <c r="A53" s="25"/>
      <c r="B53" s="5" t="s">
        <v>41</v>
      </c>
      <c r="I53" s="40"/>
      <c r="J53" s="4"/>
    </row>
    <row r="54" spans="1:10" ht="15.75">
      <c r="A54" s="25"/>
      <c r="B54" s="5" t="s">
        <v>42</v>
      </c>
      <c r="I54" s="13">
        <f>SUM('[3]CashFlow'!O128:O129)</f>
        <v>4200</v>
      </c>
      <c r="J54" s="4"/>
    </row>
    <row r="55" spans="1:10" ht="15.75">
      <c r="A55" s="25"/>
      <c r="B55" s="5" t="s">
        <v>43</v>
      </c>
      <c r="I55" s="47">
        <v>0</v>
      </c>
      <c r="J55" s="26">
        <f>I54+I55</f>
        <v>4200</v>
      </c>
    </row>
    <row r="56" spans="1:10" ht="15.75">
      <c r="A56" s="25"/>
      <c r="H56" s="9" t="s">
        <v>44</v>
      </c>
      <c r="J56" s="17">
        <f>J52/J55</f>
        <v>-2.344395523809518</v>
      </c>
    </row>
    <row r="57" ht="15.75">
      <c r="A57" s="9" t="s">
        <v>45</v>
      </c>
    </row>
    <row r="58" spans="2:9" ht="12.75">
      <c r="B58" s="5" t="s">
        <v>46</v>
      </c>
      <c r="I58" s="13">
        <f>I24</f>
        <v>-32493.461199999976</v>
      </c>
    </row>
    <row r="59" spans="2:9" ht="12.75">
      <c r="B59" s="5" t="s">
        <v>47</v>
      </c>
      <c r="I59" s="48">
        <v>0</v>
      </c>
    </row>
    <row r="60" spans="2:9" ht="12.75">
      <c r="B60" s="5" t="s">
        <v>36</v>
      </c>
      <c r="I60" s="13">
        <f>I48</f>
        <v>22386</v>
      </c>
    </row>
    <row r="61" spans="2:9" ht="12.75">
      <c r="B61" s="5" t="s">
        <v>39</v>
      </c>
      <c r="I61" s="13">
        <f>'[3]IncomeState'!$F$86</f>
        <v>0</v>
      </c>
    </row>
    <row r="62" spans="2:9" ht="12.75">
      <c r="B62" s="5" t="s">
        <v>40</v>
      </c>
      <c r="I62" s="13">
        <f>SUM('[3]CashFlow'!$O$136:$O140)</f>
        <v>0</v>
      </c>
    </row>
    <row r="63" spans="2:9" ht="12.75">
      <c r="B63" s="5" t="s">
        <v>48</v>
      </c>
      <c r="I63" s="13">
        <f>I58+I59+I60-I61-I62</f>
        <v>-10107.461199999976</v>
      </c>
    </row>
    <row r="64" spans="2:9" ht="12.75">
      <c r="B64" s="5" t="s">
        <v>49</v>
      </c>
      <c r="I64" s="47">
        <v>0</v>
      </c>
    </row>
    <row r="65" spans="2:9" ht="12.75">
      <c r="B65" s="5" t="s">
        <v>50</v>
      </c>
      <c r="I65" s="13">
        <f>'[3]CashFlow'!$O$128</f>
        <v>3939</v>
      </c>
    </row>
    <row r="66" spans="2:9" ht="12.75">
      <c r="B66" s="5" t="s">
        <v>51</v>
      </c>
      <c r="I66" s="47">
        <v>0</v>
      </c>
    </row>
    <row r="67" spans="2:9" ht="12.75">
      <c r="B67" s="5" t="s">
        <v>52</v>
      </c>
      <c r="I67" s="47">
        <v>0</v>
      </c>
    </row>
    <row r="68" spans="2:10" ht="12.75">
      <c r="B68" s="5" t="s">
        <v>53</v>
      </c>
      <c r="J68" s="26">
        <f>I63-SUM(I64:I67)</f>
        <v>-14046.461199999976</v>
      </c>
    </row>
    <row r="70" ht="12.75">
      <c r="B70" s="5" t="s">
        <v>54</v>
      </c>
    </row>
    <row r="72" spans="1:10" ht="19.5">
      <c r="A72" s="36" t="s">
        <v>55</v>
      </c>
      <c r="B72" s="37"/>
      <c r="C72" s="37"/>
      <c r="D72" s="37"/>
      <c r="E72" s="37"/>
      <c r="F72" s="37"/>
      <c r="G72" s="37"/>
      <c r="H72" s="37"/>
      <c r="I72" s="37"/>
      <c r="J72" s="37"/>
    </row>
    <row r="73" ht="15.75">
      <c r="A73" s="9" t="s">
        <v>56</v>
      </c>
    </row>
    <row r="74" spans="1:9" ht="15.75">
      <c r="A74" s="25"/>
      <c r="B74" s="5" t="s">
        <v>57</v>
      </c>
      <c r="I74" s="13">
        <f>I38</f>
        <v>100546.5988</v>
      </c>
    </row>
    <row r="75" spans="1:10" ht="15.75">
      <c r="A75" s="25"/>
      <c r="B75" s="5" t="s">
        <v>58</v>
      </c>
      <c r="I75" s="13">
        <f>I27</f>
        <v>1586491.3250000002</v>
      </c>
      <c r="J75" s="46">
        <f>I74/I75</f>
        <v>0.06337670885152807</v>
      </c>
    </row>
    <row r="76" spans="1:10" ht="15.75">
      <c r="A76" s="9" t="s">
        <v>59</v>
      </c>
      <c r="I76" s="1"/>
      <c r="J76" s="22"/>
    </row>
    <row r="77" spans="1:10" ht="15.75">
      <c r="A77" s="25"/>
      <c r="B77" s="5" t="s">
        <v>60</v>
      </c>
      <c r="I77" s="13">
        <f>'[3]IncomeState'!$F$66-I25</f>
        <v>132909.56</v>
      </c>
      <c r="J77" s="22"/>
    </row>
    <row r="78" spans="1:10" ht="15.75">
      <c r="A78" s="25"/>
      <c r="B78" s="5" t="s">
        <v>61</v>
      </c>
      <c r="I78" s="13">
        <f>+I48</f>
        <v>22386</v>
      </c>
      <c r="J78" s="22"/>
    </row>
    <row r="79" spans="1:10" ht="15.75">
      <c r="A79" s="25"/>
      <c r="B79" s="5" t="s">
        <v>62</v>
      </c>
      <c r="I79" s="13">
        <f>I38</f>
        <v>100546.5988</v>
      </c>
      <c r="J79" s="22">
        <f>(I77-I78)/I79</f>
        <v>1.0992272371126688</v>
      </c>
    </row>
    <row r="80" spans="1:10" ht="15.75">
      <c r="A80" s="25"/>
      <c r="I80" s="1"/>
      <c r="J80" s="22"/>
    </row>
    <row r="81" spans="1:10" ht="15.75">
      <c r="A81" s="9" t="s">
        <v>63</v>
      </c>
      <c r="I81" s="1"/>
      <c r="J81" s="22"/>
    </row>
    <row r="82" spans="1:10" ht="15.75">
      <c r="A82" s="25"/>
      <c r="B82" s="5" t="s">
        <v>64</v>
      </c>
      <c r="I82" s="13">
        <f>I78</f>
        <v>22386</v>
      </c>
      <c r="J82" s="22"/>
    </row>
    <row r="83" spans="1:10" ht="15.75">
      <c r="A83" s="25"/>
      <c r="B83" s="5" t="s">
        <v>65</v>
      </c>
      <c r="I83" s="13">
        <f>I38</f>
        <v>100546.5988</v>
      </c>
      <c r="J83" s="22">
        <f>I82/I83</f>
        <v>0.22264303583782685</v>
      </c>
    </row>
    <row r="84" spans="1:10" ht="15.75">
      <c r="A84" s="25"/>
      <c r="I84" s="1"/>
      <c r="J84" s="22"/>
    </row>
    <row r="85" spans="1:10" ht="15.75">
      <c r="A85" s="9" t="s">
        <v>66</v>
      </c>
      <c r="I85" s="1"/>
      <c r="J85" s="22"/>
    </row>
    <row r="86" spans="1:10" ht="15.75">
      <c r="A86" s="25"/>
      <c r="B86" s="5" t="s">
        <v>67</v>
      </c>
      <c r="I86" s="13">
        <f>I25</f>
        <v>130.5</v>
      </c>
      <c r="J86" s="22"/>
    </row>
    <row r="87" spans="1:10" ht="15.75">
      <c r="A87" s="25"/>
      <c r="B87" s="5" t="s">
        <v>65</v>
      </c>
      <c r="I87" s="13">
        <f>I38</f>
        <v>100546.5988</v>
      </c>
      <c r="J87" s="22">
        <f>I86/I87</f>
        <v>0.001297905663219709</v>
      </c>
    </row>
    <row r="88" spans="1:10" ht="15.75">
      <c r="A88" s="25"/>
      <c r="I88" s="1"/>
      <c r="J88" s="22"/>
    </row>
    <row r="89" spans="1:10" ht="15.75">
      <c r="A89" s="9" t="s">
        <v>68</v>
      </c>
      <c r="I89" s="1"/>
      <c r="J89" s="22"/>
    </row>
    <row r="90" spans="2:10" ht="12.75">
      <c r="B90" s="5" t="s">
        <v>69</v>
      </c>
      <c r="I90" s="13">
        <f>I24</f>
        <v>-32493.461199999976</v>
      </c>
      <c r="J90" s="22"/>
    </row>
    <row r="91" spans="2:11" ht="12.75">
      <c r="B91" s="5" t="s">
        <v>65</v>
      </c>
      <c r="I91" s="32">
        <f>I38</f>
        <v>100546.5988</v>
      </c>
      <c r="J91" s="33">
        <f>I90/I91</f>
        <v>-0.32316817861371533</v>
      </c>
      <c r="K91" s="34"/>
    </row>
    <row r="92" spans="10:11" ht="12.75">
      <c r="J92" s="3">
        <f>SUM(J79:J91)</f>
        <v>1</v>
      </c>
      <c r="K92" s="5" t="s">
        <v>70</v>
      </c>
    </row>
  </sheetData>
  <printOptions horizontalCentered="1"/>
  <pageMargins left="0.4" right="0.4" top="0.333" bottom="0.333" header="0.5" footer="0.5"/>
  <pageSetup fitToHeight="1" fitToWidth="1" orientation="portrait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H30"/>
  <sheetViews>
    <sheetView showGridLines="0" workbookViewId="0" topLeftCell="A1">
      <selection activeCell="A1" sqref="A1"/>
    </sheetView>
  </sheetViews>
  <sheetFormatPr defaultColWidth="9.7109375" defaultRowHeight="12.75"/>
  <cols>
    <col min="7" max="7" width="17.7109375" style="0" customWidth="1"/>
  </cols>
  <sheetData>
    <row r="3" ht="19.5">
      <c r="A3" s="6" t="s">
        <v>0</v>
      </c>
    </row>
    <row r="5" spans="1:7" ht="15.75">
      <c r="A5" s="38" t="s">
        <v>2</v>
      </c>
      <c r="B5" s="37"/>
      <c r="C5" s="37"/>
      <c r="D5" s="37"/>
      <c r="E5" s="37"/>
      <c r="F5" s="37"/>
      <c r="G5" s="38" t="s">
        <v>3</v>
      </c>
    </row>
    <row r="6" spans="1:7" ht="12.75">
      <c r="A6" s="35" t="s">
        <v>71</v>
      </c>
      <c r="G6" s="17">
        <f>Ratio_Calc_Cost!J8</f>
        <v>28.464682199440823</v>
      </c>
    </row>
    <row r="7" spans="1:7" ht="12.75">
      <c r="A7" s="35" t="s">
        <v>9</v>
      </c>
      <c r="G7" s="20">
        <f>Ratio_Calc_Cost!J11</f>
        <v>122790.01666666668</v>
      </c>
    </row>
    <row r="9" spans="1:7" ht="15.75">
      <c r="A9" s="38" t="s">
        <v>12</v>
      </c>
      <c r="B9" s="37"/>
      <c r="C9" s="37"/>
      <c r="D9" s="37"/>
      <c r="E9" s="37"/>
      <c r="F9" s="37"/>
      <c r="G9" s="37"/>
    </row>
    <row r="10" spans="1:7" ht="12.75">
      <c r="A10" s="35" t="s">
        <v>13</v>
      </c>
      <c r="G10" s="22">
        <f>Ratio_Calc_Cost!J15</f>
        <v>0.002843728696218398</v>
      </c>
    </row>
    <row r="11" spans="1:7" ht="12.75">
      <c r="A11" s="35" t="s">
        <v>16</v>
      </c>
      <c r="G11" s="22">
        <f>Ratio_Calc_Cost!J18</f>
        <v>0.9971562713037817</v>
      </c>
    </row>
    <row r="12" spans="1:7" ht="12.75">
      <c r="A12" s="35" t="s">
        <v>18</v>
      </c>
      <c r="G12" s="17">
        <f>Ratio_Calc_Cost!J21</f>
        <v>0.0028518385513438362</v>
      </c>
    </row>
    <row r="14" spans="1:7" ht="15.75">
      <c r="A14" s="38" t="s">
        <v>20</v>
      </c>
      <c r="B14" s="37"/>
      <c r="C14" s="37"/>
      <c r="D14" s="37"/>
      <c r="E14" s="37"/>
      <c r="F14" s="37"/>
      <c r="G14" s="37"/>
    </row>
    <row r="15" spans="1:7" ht="12.75">
      <c r="A15" s="35" t="s">
        <v>21</v>
      </c>
      <c r="G15" s="22">
        <f>Ratio_Calc_Cost!J27</f>
        <v>-0.036157122510581625</v>
      </c>
    </row>
    <row r="16" spans="1:7" ht="12.75">
      <c r="A16" s="35" t="s">
        <v>26</v>
      </c>
      <c r="G16" s="22">
        <f>Ratio_Calc_Cost!J32</f>
        <v>-0.036348048118845955</v>
      </c>
    </row>
    <row r="17" spans="1:7" ht="12.75">
      <c r="A17" s="35" t="s">
        <v>28</v>
      </c>
      <c r="G17" s="22">
        <f>Ratio_Calc_Cost!J38</f>
        <v>-0.5705112046017808</v>
      </c>
    </row>
    <row r="18" spans="1:7" ht="12.75">
      <c r="A18" s="35" t="s">
        <v>30</v>
      </c>
      <c r="G18" s="26">
        <f>Ratio_Calc_Cost!J42</f>
        <v>-32493.461199999976</v>
      </c>
    </row>
    <row r="20" spans="1:7" ht="15.75">
      <c r="A20" s="38" t="s">
        <v>33</v>
      </c>
      <c r="B20" s="37"/>
      <c r="C20" s="37"/>
      <c r="D20" s="37"/>
      <c r="E20" s="37"/>
      <c r="F20" s="37"/>
      <c r="G20" s="37"/>
    </row>
    <row r="21" spans="1:7" ht="12.75">
      <c r="A21" s="35" t="s">
        <v>34</v>
      </c>
      <c r="G21" s="17">
        <f>Ratio_Calc_Cost!J56</f>
        <v>-2.344395523809518</v>
      </c>
    </row>
    <row r="22" spans="1:7" ht="12.75">
      <c r="A22" s="35" t="s">
        <v>45</v>
      </c>
      <c r="G22" s="26">
        <f>Ratio_Calc_Cost!J68</f>
        <v>-14046.461199999976</v>
      </c>
    </row>
    <row r="24" spans="1:7" ht="15.75">
      <c r="A24" s="38" t="s">
        <v>55</v>
      </c>
      <c r="B24" s="37"/>
      <c r="C24" s="37"/>
      <c r="D24" s="37"/>
      <c r="E24" s="37"/>
      <c r="F24" s="37"/>
      <c r="G24" s="37"/>
    </row>
    <row r="25" spans="1:7" ht="12.75">
      <c r="A25" s="35" t="s">
        <v>56</v>
      </c>
      <c r="G25" s="22">
        <f>Ratio_Calc_Cost!J75</f>
        <v>0.06337670885152807</v>
      </c>
    </row>
    <row r="26" spans="1:7" ht="12.75">
      <c r="A26" s="35" t="s">
        <v>59</v>
      </c>
      <c r="G26" s="22">
        <f>Ratio_Calc_Cost!J79</f>
        <v>1.0992272371126688</v>
      </c>
    </row>
    <row r="27" spans="1:7" ht="12.75">
      <c r="A27" s="35" t="s">
        <v>63</v>
      </c>
      <c r="G27" s="22">
        <f>Ratio_Calc_Cost!J83</f>
        <v>0.22264303583782685</v>
      </c>
    </row>
    <row r="28" spans="1:7" ht="12.75">
      <c r="A28" s="35" t="s">
        <v>66</v>
      </c>
      <c r="G28" s="22">
        <f>Ratio_Calc_Cost!J87</f>
        <v>0.001297905663219709</v>
      </c>
    </row>
    <row r="29" spans="1:7" ht="12.75">
      <c r="A29" s="35" t="s">
        <v>72</v>
      </c>
      <c r="G29" s="22">
        <f>Ratio_Calc_Cost!J91</f>
        <v>-0.32316817861371533</v>
      </c>
    </row>
    <row r="30" spans="6:8" ht="12.75">
      <c r="F30" s="5" t="s">
        <v>73</v>
      </c>
      <c r="H30" s="3">
        <f>SUM(G26:G29)</f>
        <v>1</v>
      </c>
    </row>
  </sheetData>
  <printOptions horizontalCentered="1"/>
  <pageMargins left="0.4" right="0.4" top="0.333" bottom="0.333" header="0.5" footer="0.5"/>
  <pageSetup fitToHeight="1" fitToWidth="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92"/>
  <sheetViews>
    <sheetView showGridLines="0" tabSelected="1" zoomScale="90" zoomScaleNormal="90" workbookViewId="0" topLeftCell="A1">
      <selection activeCell="A2" sqref="A2"/>
    </sheetView>
  </sheetViews>
  <sheetFormatPr defaultColWidth="9.7109375" defaultRowHeight="12.75"/>
  <cols>
    <col min="7" max="7" width="13.7109375" style="0" customWidth="1"/>
    <col min="8" max="8" width="11.28125" style="0" customWidth="1"/>
    <col min="9" max="9" width="13.7109375" style="0" customWidth="1"/>
    <col min="10" max="10" width="14.7109375" style="0" customWidth="1"/>
  </cols>
  <sheetData>
    <row r="1" ht="12.75">
      <c r="A1" s="44"/>
    </row>
    <row r="2" ht="19.5">
      <c r="B2" s="6" t="s">
        <v>0</v>
      </c>
    </row>
    <row r="4" spans="1:10" ht="16.5" thickBot="1">
      <c r="A4" s="41"/>
      <c r="B4" s="7"/>
      <c r="C4" s="43" t="s">
        <v>74</v>
      </c>
      <c r="D4" s="7"/>
      <c r="E4" s="7"/>
      <c r="F4" s="7"/>
      <c r="G4" s="8"/>
      <c r="H4" s="8"/>
      <c r="I4" s="8"/>
      <c r="J4" s="8"/>
    </row>
    <row r="5" spans="1:10" ht="20.25" thickBot="1">
      <c r="A5" s="36" t="s">
        <v>2</v>
      </c>
      <c r="B5" s="37"/>
      <c r="C5" s="37"/>
      <c r="D5" s="37"/>
      <c r="E5" s="37"/>
      <c r="F5" s="37"/>
      <c r="G5" s="37"/>
      <c r="H5" s="38" t="s">
        <v>75</v>
      </c>
      <c r="I5" s="37"/>
      <c r="J5" s="37"/>
    </row>
    <row r="6" spans="1:10" ht="16.5" thickBot="1">
      <c r="A6" s="9" t="s">
        <v>4</v>
      </c>
      <c r="G6" s="10" t="s">
        <v>5</v>
      </c>
      <c r="H6" s="11"/>
      <c r="I6" s="10" t="s">
        <v>6</v>
      </c>
      <c r="J6" s="11"/>
    </row>
    <row r="7" spans="1:9" ht="12.75">
      <c r="A7" s="12"/>
      <c r="B7" s="5" t="s">
        <v>7</v>
      </c>
      <c r="G7" s="13">
        <f>'[1]BalSheet'!$G$36</f>
        <v>133212</v>
      </c>
      <c r="H7" s="14"/>
      <c r="I7" s="13">
        <f>'[2]BalSheet'!$G$36</f>
        <v>127260.85</v>
      </c>
    </row>
    <row r="8" spans="1:10" ht="12.75">
      <c r="A8" s="12"/>
      <c r="B8" s="5" t="s">
        <v>8</v>
      </c>
      <c r="G8" s="13">
        <f>'[1]BalSheet'!$N$36</f>
        <v>5015.333333333333</v>
      </c>
      <c r="H8" s="24">
        <f>G7/G8</f>
        <v>26.560946430945105</v>
      </c>
      <c r="I8" s="15">
        <f>'[2]BalSheet'!$N$36</f>
        <v>4470.833333333333</v>
      </c>
      <c r="J8" s="17">
        <f>I7/I8</f>
        <v>28.464682199440823</v>
      </c>
    </row>
    <row r="9" spans="1:10" ht="15.75">
      <c r="A9" s="9" t="s">
        <v>9</v>
      </c>
      <c r="G9" s="2"/>
      <c r="H9" s="16"/>
      <c r="I9" s="18"/>
      <c r="J9" s="12"/>
    </row>
    <row r="10" spans="2:10" ht="12.75">
      <c r="B10" s="5" t="s">
        <v>10</v>
      </c>
      <c r="G10" s="13">
        <f>G7</f>
        <v>133212</v>
      </c>
      <c r="H10" s="16"/>
      <c r="I10" s="15">
        <f>I7</f>
        <v>127260.85</v>
      </c>
      <c r="J10" s="12"/>
    </row>
    <row r="11" spans="2:10" ht="12.75">
      <c r="B11" s="5" t="s">
        <v>11</v>
      </c>
      <c r="G11" s="13">
        <f>G8</f>
        <v>5015.333333333333</v>
      </c>
      <c r="H11" s="19">
        <f>G10-G11</f>
        <v>128196.66666666667</v>
      </c>
      <c r="I11" s="15">
        <f>I8</f>
        <v>4470.833333333333</v>
      </c>
      <c r="J11" s="20">
        <f>I10-I11</f>
        <v>122790.01666666668</v>
      </c>
    </row>
    <row r="12" spans="1:10" ht="20.25" thickBot="1">
      <c r="A12" s="36" t="s">
        <v>12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6.5" thickBot="1">
      <c r="A13" s="9" t="s">
        <v>13</v>
      </c>
      <c r="G13" s="10" t="s">
        <v>5</v>
      </c>
      <c r="H13" s="11"/>
      <c r="I13" s="10" t="s">
        <v>6</v>
      </c>
      <c r="J13" s="11"/>
    </row>
    <row r="14" spans="1:9" ht="12.75">
      <c r="A14" s="12"/>
      <c r="B14" s="5" t="s">
        <v>14</v>
      </c>
      <c r="G14" s="13">
        <f>'[1]BalSheet'!$N$53</f>
        <v>5015.333333333333</v>
      </c>
      <c r="H14" s="14"/>
      <c r="I14" s="15">
        <f>'[2]BalSheet'!$N$53</f>
        <v>4470.833333333333</v>
      </c>
    </row>
    <row r="15" spans="1:10" ht="12.75">
      <c r="A15" s="12"/>
      <c r="B15" s="5" t="s">
        <v>15</v>
      </c>
      <c r="G15" s="13">
        <f>'[1]BalSheet'!$G$58</f>
        <v>3923410.2</v>
      </c>
      <c r="H15" s="21">
        <f>G14/G15</f>
        <v>0.0012783097044844643</v>
      </c>
      <c r="I15" s="15">
        <f>'[2]BalSheet'!$G$58</f>
        <v>3896023.95</v>
      </c>
      <c r="J15" s="22">
        <f>I14/I15</f>
        <v>0.0011475374357833024</v>
      </c>
    </row>
    <row r="16" spans="1:10" ht="15.75">
      <c r="A16" s="9" t="s">
        <v>16</v>
      </c>
      <c r="G16" s="2"/>
      <c r="H16" s="21"/>
      <c r="I16" s="23"/>
      <c r="J16" s="22"/>
    </row>
    <row r="17" spans="1:10" ht="12.75">
      <c r="A17" s="12"/>
      <c r="B17" s="5" t="s">
        <v>17</v>
      </c>
      <c r="G17" s="13">
        <f>'[1]BalSheet'!$N$57</f>
        <v>3918394.8666666667</v>
      </c>
      <c r="H17" s="21"/>
      <c r="I17" s="15">
        <f>'[2]BalSheet'!$N$57</f>
        <v>3891553.1166666667</v>
      </c>
      <c r="J17" s="22"/>
    </row>
    <row r="18" spans="1:10" ht="12.75">
      <c r="A18" s="12"/>
      <c r="B18" s="5" t="s">
        <v>15</v>
      </c>
      <c r="G18" s="13">
        <f>G15</f>
        <v>3923410.2</v>
      </c>
      <c r="H18" s="21">
        <f>G17/G18</f>
        <v>0.9987216902955155</v>
      </c>
      <c r="I18" s="15">
        <f>I15</f>
        <v>3896023.95</v>
      </c>
      <c r="J18" s="22">
        <f>I17/I18</f>
        <v>0.9988524625642167</v>
      </c>
    </row>
    <row r="19" spans="1:10" ht="15.75">
      <c r="A19" s="9" t="s">
        <v>18</v>
      </c>
      <c r="G19" s="1"/>
      <c r="H19" s="21"/>
      <c r="I19" s="23"/>
      <c r="J19" s="22"/>
    </row>
    <row r="20" spans="2:10" ht="12.75">
      <c r="B20" s="5" t="s">
        <v>14</v>
      </c>
      <c r="G20" s="13">
        <f>G14</f>
        <v>5015.333333333333</v>
      </c>
      <c r="H20" s="21"/>
      <c r="I20" s="15">
        <f>I14</f>
        <v>4470.833333333333</v>
      </c>
      <c r="J20" s="22"/>
    </row>
    <row r="21" spans="2:10" ht="12.75">
      <c r="B21" s="5" t="s">
        <v>19</v>
      </c>
      <c r="G21" s="13">
        <f>G17</f>
        <v>3918394.8666666667</v>
      </c>
      <c r="H21" s="24">
        <f>G20/G21</f>
        <v>0.0012799458717134905</v>
      </c>
      <c r="I21" s="15">
        <f>I17</f>
        <v>3891553.1166666667</v>
      </c>
      <c r="J21" s="17">
        <f>I20/I21</f>
        <v>0.0011488557908115751</v>
      </c>
    </row>
    <row r="22" spans="1:10" ht="19.5">
      <c r="A22" s="39" t="s">
        <v>20</v>
      </c>
      <c r="B22" s="37"/>
      <c r="C22" s="37"/>
      <c r="D22" s="37"/>
      <c r="E22" s="37"/>
      <c r="F22" s="37"/>
      <c r="G22" s="37"/>
      <c r="H22" s="37"/>
      <c r="I22" s="37"/>
      <c r="J22" s="37"/>
    </row>
    <row r="23" ht="15.75">
      <c r="A23" s="9" t="s">
        <v>21</v>
      </c>
    </row>
    <row r="24" spans="1:9" ht="15.75">
      <c r="A24" s="25"/>
      <c r="B24" s="5" t="s">
        <v>22</v>
      </c>
      <c r="I24" s="13">
        <f>'[3]IncomeState'!$F$68</f>
        <v>-32493.461199999976</v>
      </c>
    </row>
    <row r="25" spans="1:9" ht="15.75">
      <c r="A25" s="25"/>
      <c r="B25" s="5" t="s">
        <v>23</v>
      </c>
      <c r="I25" s="13">
        <f>'[3]IncomeState'!$F$43+'[3]IncomeState'!$F60</f>
        <v>130.5</v>
      </c>
    </row>
    <row r="26" spans="1:9" ht="15.75">
      <c r="A26" s="25"/>
      <c r="B26" s="5" t="s">
        <v>24</v>
      </c>
      <c r="I26" s="47">
        <v>25000</v>
      </c>
    </row>
    <row r="27" spans="1:10" ht="15.75">
      <c r="A27" s="25"/>
      <c r="B27" s="5" t="s">
        <v>25</v>
      </c>
      <c r="I27" s="13">
        <f>(G15+I15)/2</f>
        <v>3909717.075</v>
      </c>
      <c r="J27" s="22">
        <f>(I24+I25-I26)/I27</f>
        <v>-0.014671895715113854</v>
      </c>
    </row>
    <row r="28" spans="1:9" ht="15.75">
      <c r="A28" s="25"/>
      <c r="I28" s="1"/>
    </row>
    <row r="29" spans="1:9" ht="15.75">
      <c r="A29" s="9" t="s">
        <v>26</v>
      </c>
      <c r="I29" s="1"/>
    </row>
    <row r="30" spans="1:9" ht="15.75">
      <c r="A30" s="25"/>
      <c r="B30" s="5" t="s">
        <v>22</v>
      </c>
      <c r="I30" s="13">
        <f>I24</f>
        <v>-32493.461199999976</v>
      </c>
    </row>
    <row r="31" spans="1:9" ht="15.75">
      <c r="A31" s="25"/>
      <c r="B31" s="5" t="s">
        <v>24</v>
      </c>
      <c r="I31" s="13">
        <f>I26</f>
        <v>25000</v>
      </c>
    </row>
    <row r="32" spans="1:10" ht="15.75">
      <c r="A32" s="25"/>
      <c r="B32" s="5" t="s">
        <v>27</v>
      </c>
      <c r="I32" s="13">
        <f>(G21+I21)/2</f>
        <v>3904973.9916666667</v>
      </c>
      <c r="J32" s="22">
        <f>(I30-I31)/I32</f>
        <v>-0.014723135499158962</v>
      </c>
    </row>
    <row r="33" spans="1:9" ht="15.75">
      <c r="A33" s="25"/>
      <c r="I33" s="1"/>
    </row>
    <row r="34" spans="1:9" ht="15.75">
      <c r="A34" s="9" t="s">
        <v>28</v>
      </c>
      <c r="I34" s="1"/>
    </row>
    <row r="35" spans="1:9" ht="15.75">
      <c r="A35" s="25"/>
      <c r="B35" s="5" t="s">
        <v>22</v>
      </c>
      <c r="I35" s="13">
        <f>I24</f>
        <v>-32493.461199999976</v>
      </c>
    </row>
    <row r="36" spans="1:9" ht="15.75">
      <c r="A36" s="25"/>
      <c r="B36" s="5" t="s">
        <v>23</v>
      </c>
      <c r="I36" s="13">
        <f>I25</f>
        <v>130.5</v>
      </c>
    </row>
    <row r="37" spans="1:9" ht="15.75">
      <c r="A37" s="25"/>
      <c r="B37" s="5" t="s">
        <v>24</v>
      </c>
      <c r="I37" s="13">
        <f>I31</f>
        <v>25000</v>
      </c>
    </row>
    <row r="38" spans="1:10" ht="15.75">
      <c r="A38" s="25"/>
      <c r="B38" s="5" t="s">
        <v>29</v>
      </c>
      <c r="I38" s="13">
        <f>'[3]IncomeState'!$F$31</f>
        <v>100546.5988</v>
      </c>
      <c r="J38" s="22">
        <f>(I35+I36-I37)/I38</f>
        <v>-0.5705112046017808</v>
      </c>
    </row>
    <row r="39" ht="15.75">
      <c r="A39" s="25"/>
    </row>
    <row r="40" ht="15.75">
      <c r="A40" s="9" t="s">
        <v>30</v>
      </c>
    </row>
    <row r="41" spans="1:2" ht="12.75">
      <c r="A41" s="12"/>
      <c r="B41" s="5" t="s">
        <v>31</v>
      </c>
    </row>
    <row r="42" spans="2:10" ht="12.75">
      <c r="B42" s="5" t="s">
        <v>32</v>
      </c>
      <c r="J42" s="26">
        <f>'[3]IncomeState'!$F$76</f>
        <v>-32493.461199999976</v>
      </c>
    </row>
    <row r="44" spans="1:10" ht="19.5">
      <c r="A44" s="36" t="s">
        <v>33</v>
      </c>
      <c r="B44" s="37"/>
      <c r="C44" s="37"/>
      <c r="D44" s="37"/>
      <c r="E44" s="37"/>
      <c r="F44" s="37"/>
      <c r="G44" s="37"/>
      <c r="H44" s="37"/>
      <c r="I44" s="38" t="s">
        <v>75</v>
      </c>
      <c r="J44" s="37"/>
    </row>
    <row r="45" ht="15.75">
      <c r="A45" s="9" t="s">
        <v>34</v>
      </c>
    </row>
    <row r="46" spans="1:9" ht="15.75">
      <c r="A46" s="25"/>
      <c r="B46" s="5" t="s">
        <v>22</v>
      </c>
      <c r="I46" s="13">
        <f>I35</f>
        <v>-32493.461199999976</v>
      </c>
    </row>
    <row r="47" spans="1:9" ht="15.75">
      <c r="A47" s="25"/>
      <c r="B47" s="5" t="s">
        <v>35</v>
      </c>
      <c r="I47" s="47">
        <v>0</v>
      </c>
    </row>
    <row r="48" spans="1:9" ht="15.75">
      <c r="A48" s="25"/>
      <c r="B48" s="5" t="s">
        <v>36</v>
      </c>
      <c r="I48" s="13">
        <f>'[3]IncomeState'!$F$48</f>
        <v>22386</v>
      </c>
    </row>
    <row r="49" spans="1:9" ht="16.5" thickBot="1">
      <c r="A49" s="25"/>
      <c r="B49" s="5" t="s">
        <v>37</v>
      </c>
      <c r="E49" s="27"/>
      <c r="F49" s="7"/>
      <c r="G49" s="7"/>
      <c r="H49" s="28"/>
      <c r="I49" s="13">
        <f>'[3]CashFlow'!$O$129</f>
        <v>261</v>
      </c>
    </row>
    <row r="50" spans="1:9" ht="15.75">
      <c r="A50" s="25"/>
      <c r="B50" s="5" t="s">
        <v>38</v>
      </c>
      <c r="E50" s="29"/>
      <c r="F50" s="30"/>
      <c r="G50" s="30"/>
      <c r="H50" s="31"/>
      <c r="I50" s="40"/>
    </row>
    <row r="51" spans="1:9" ht="15.75">
      <c r="A51" s="25"/>
      <c r="B51" s="5" t="s">
        <v>39</v>
      </c>
      <c r="I51" s="13">
        <f>'[3]IncomeState'!$F$86</f>
        <v>0</v>
      </c>
    </row>
    <row r="52" spans="1:10" ht="15.75">
      <c r="A52" s="25"/>
      <c r="B52" s="5" t="s">
        <v>40</v>
      </c>
      <c r="I52" s="13">
        <f>SUM('[3]CashFlow'!$O$136:O140)</f>
        <v>0</v>
      </c>
      <c r="J52" s="26">
        <f>SUM(I46:I50)-I51-I52</f>
        <v>-9846.461199999976</v>
      </c>
    </row>
    <row r="53" spans="1:10" ht="15.75">
      <c r="A53" s="25"/>
      <c r="B53" s="5" t="s">
        <v>41</v>
      </c>
      <c r="I53" s="40"/>
      <c r="J53" s="4"/>
    </row>
    <row r="54" spans="1:10" ht="15.75">
      <c r="A54" s="25"/>
      <c r="B54" s="5" t="s">
        <v>42</v>
      </c>
      <c r="I54" s="13">
        <f>SUM('[3]CashFlow'!O128:O129)</f>
        <v>4200</v>
      </c>
      <c r="J54" s="4"/>
    </row>
    <row r="55" spans="1:10" ht="15.75">
      <c r="A55" s="25"/>
      <c r="B55" s="5" t="s">
        <v>43</v>
      </c>
      <c r="I55" s="47">
        <v>0</v>
      </c>
      <c r="J55" s="26">
        <f>I54+I55</f>
        <v>4200</v>
      </c>
    </row>
    <row r="56" spans="1:10" ht="15.75">
      <c r="A56" s="25"/>
      <c r="H56" s="9" t="s">
        <v>44</v>
      </c>
      <c r="J56" s="17">
        <f>J52/J55</f>
        <v>-2.344395523809518</v>
      </c>
    </row>
    <row r="57" ht="15.75">
      <c r="A57" s="9" t="s">
        <v>45</v>
      </c>
    </row>
    <row r="58" spans="2:9" ht="12.75">
      <c r="B58" s="5" t="s">
        <v>46</v>
      </c>
      <c r="I58" s="13">
        <f>I24</f>
        <v>-32493.461199999976</v>
      </c>
    </row>
    <row r="59" spans="2:9" ht="12.75">
      <c r="B59" s="5" t="s">
        <v>47</v>
      </c>
      <c r="I59" s="47">
        <v>0</v>
      </c>
    </row>
    <row r="60" spans="2:9" ht="12.75">
      <c r="B60" s="5" t="s">
        <v>36</v>
      </c>
      <c r="I60" s="13">
        <f>I48</f>
        <v>22386</v>
      </c>
    </row>
    <row r="61" spans="2:9" ht="12.75">
      <c r="B61" s="5" t="s">
        <v>39</v>
      </c>
      <c r="I61" s="13">
        <f>I51</f>
        <v>0</v>
      </c>
    </row>
    <row r="62" spans="2:9" ht="12.75">
      <c r="B62" s="5" t="s">
        <v>40</v>
      </c>
      <c r="I62" s="13">
        <f>I52</f>
        <v>0</v>
      </c>
    </row>
    <row r="63" spans="2:9" ht="12.75">
      <c r="B63" s="5" t="s">
        <v>48</v>
      </c>
      <c r="I63" s="13">
        <f>I58+I59+I60-I61-I62</f>
        <v>-10107.461199999976</v>
      </c>
    </row>
    <row r="64" spans="2:9" ht="12.75">
      <c r="B64" s="5" t="s">
        <v>49</v>
      </c>
      <c r="I64" s="47">
        <v>0</v>
      </c>
    </row>
    <row r="65" spans="2:9" ht="12.75">
      <c r="B65" s="5" t="s">
        <v>50</v>
      </c>
      <c r="I65" s="13">
        <f>'[3]CashFlow'!$O$128</f>
        <v>3939</v>
      </c>
    </row>
    <row r="66" spans="2:9" ht="12.75">
      <c r="B66" s="5" t="s">
        <v>51</v>
      </c>
      <c r="I66" s="47">
        <v>0</v>
      </c>
    </row>
    <row r="67" spans="2:9" ht="12.75">
      <c r="B67" s="5" t="s">
        <v>52</v>
      </c>
      <c r="I67" s="47">
        <v>0</v>
      </c>
    </row>
    <row r="68" spans="2:10" ht="12.75">
      <c r="B68" s="5" t="s">
        <v>53</v>
      </c>
      <c r="J68" s="26">
        <f>I63-SUM(I64:I67)</f>
        <v>-14046.461199999976</v>
      </c>
    </row>
    <row r="70" ht="12.75">
      <c r="B70" s="5" t="s">
        <v>54</v>
      </c>
    </row>
    <row r="72" spans="1:10" ht="19.5">
      <c r="A72" s="36" t="s">
        <v>55</v>
      </c>
      <c r="B72" s="37"/>
      <c r="C72" s="37"/>
      <c r="D72" s="37"/>
      <c r="E72" s="37"/>
      <c r="F72" s="37"/>
      <c r="G72" s="37"/>
      <c r="H72" s="37"/>
      <c r="I72" s="37"/>
      <c r="J72" s="37"/>
    </row>
    <row r="73" ht="15.75">
      <c r="A73" s="9" t="s">
        <v>56</v>
      </c>
    </row>
    <row r="74" spans="1:9" ht="15.75">
      <c r="A74" s="25"/>
      <c r="B74" s="5" t="s">
        <v>57</v>
      </c>
      <c r="I74" s="13">
        <f>I38</f>
        <v>100546.5988</v>
      </c>
    </row>
    <row r="75" spans="1:10" ht="15.75">
      <c r="A75" s="25"/>
      <c r="B75" s="5" t="s">
        <v>58</v>
      </c>
      <c r="I75" s="13">
        <f>I27</f>
        <v>3909717.075</v>
      </c>
      <c r="J75" s="46">
        <f>I74/I75</f>
        <v>0.02571710353235726</v>
      </c>
    </row>
    <row r="76" spans="1:10" ht="15.75">
      <c r="A76" s="9" t="s">
        <v>59</v>
      </c>
      <c r="I76" s="1"/>
      <c r="J76" s="22"/>
    </row>
    <row r="77" spans="1:10" ht="15.75">
      <c r="A77" s="25"/>
      <c r="B77" s="5" t="s">
        <v>60</v>
      </c>
      <c r="I77" s="13">
        <f>'[3]IncomeState'!$F$66-I25</f>
        <v>132909.56</v>
      </c>
      <c r="J77" s="22"/>
    </row>
    <row r="78" spans="1:10" ht="15.75">
      <c r="A78" s="25"/>
      <c r="B78" s="5" t="s">
        <v>61</v>
      </c>
      <c r="I78" s="13">
        <f>I48</f>
        <v>22386</v>
      </c>
      <c r="J78" s="22"/>
    </row>
    <row r="79" spans="1:10" ht="15.75">
      <c r="A79" s="25"/>
      <c r="B79" s="5" t="s">
        <v>62</v>
      </c>
      <c r="I79" s="13">
        <f>I74</f>
        <v>100546.5988</v>
      </c>
      <c r="J79" s="22">
        <f>(I77-I78)/I79</f>
        <v>1.0992272371126688</v>
      </c>
    </row>
    <row r="80" spans="1:10" ht="15.75">
      <c r="A80" s="25"/>
      <c r="I80" s="1"/>
      <c r="J80" s="22"/>
    </row>
    <row r="81" spans="1:10" ht="15.75">
      <c r="A81" s="9" t="s">
        <v>63</v>
      </c>
      <c r="I81" s="1"/>
      <c r="J81" s="22"/>
    </row>
    <row r="82" spans="1:10" ht="15.75">
      <c r="A82" s="25"/>
      <c r="B82" s="5" t="s">
        <v>64</v>
      </c>
      <c r="I82" s="13">
        <f>I78</f>
        <v>22386</v>
      </c>
      <c r="J82" s="22"/>
    </row>
    <row r="83" spans="1:10" ht="15.75">
      <c r="A83" s="25"/>
      <c r="B83" s="5" t="s">
        <v>65</v>
      </c>
      <c r="I83" s="13">
        <f>I79</f>
        <v>100546.5988</v>
      </c>
      <c r="J83" s="22">
        <f>I82/I83</f>
        <v>0.22264303583782685</v>
      </c>
    </row>
    <row r="84" spans="1:10" ht="15.75">
      <c r="A84" s="25"/>
      <c r="I84" s="1"/>
      <c r="J84" s="22"/>
    </row>
    <row r="85" spans="1:10" ht="15.75">
      <c r="A85" s="9" t="s">
        <v>66</v>
      </c>
      <c r="I85" s="1"/>
      <c r="J85" s="22"/>
    </row>
    <row r="86" spans="1:10" ht="15.75">
      <c r="A86" s="25"/>
      <c r="B86" s="5" t="s">
        <v>67</v>
      </c>
      <c r="I86" s="13">
        <f>I25</f>
        <v>130.5</v>
      </c>
      <c r="J86" s="22"/>
    </row>
    <row r="87" spans="1:10" ht="15.75">
      <c r="A87" s="25"/>
      <c r="B87" s="5" t="s">
        <v>65</v>
      </c>
      <c r="I87" s="13">
        <f>I83</f>
        <v>100546.5988</v>
      </c>
      <c r="J87" s="22">
        <f>I86/I87</f>
        <v>0.001297905663219709</v>
      </c>
    </row>
    <row r="88" spans="1:10" ht="15.75">
      <c r="A88" s="25"/>
      <c r="I88" s="1"/>
      <c r="J88" s="22"/>
    </row>
    <row r="89" spans="1:10" ht="15.75">
      <c r="A89" s="9" t="s">
        <v>68</v>
      </c>
      <c r="I89" s="1"/>
      <c r="J89" s="22"/>
    </row>
    <row r="90" spans="2:10" ht="12.75">
      <c r="B90" s="5" t="s">
        <v>69</v>
      </c>
      <c r="I90" s="13">
        <f>I24</f>
        <v>-32493.461199999976</v>
      </c>
      <c r="J90" s="22"/>
    </row>
    <row r="91" spans="2:11" ht="12.75">
      <c r="B91" s="5" t="s">
        <v>65</v>
      </c>
      <c r="I91" s="32">
        <f>I87</f>
        <v>100546.5988</v>
      </c>
      <c r="J91" s="33">
        <f>I90/I91</f>
        <v>-0.32316817861371533</v>
      </c>
      <c r="K91" s="34"/>
    </row>
    <row r="92" spans="10:11" ht="12.75">
      <c r="J92" s="3">
        <f>SUM(J79:J91)</f>
        <v>1</v>
      </c>
      <c r="K92" s="5" t="s">
        <v>76</v>
      </c>
    </row>
  </sheetData>
  <printOptions horizontalCentered="1"/>
  <pageMargins left="0.4" right="0.4" top="0.333" bottom="0.333" header="0.5" footer="0.5"/>
  <pageSetup fitToHeight="1" fitToWidth="1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3:H30"/>
  <sheetViews>
    <sheetView showGridLines="0" workbookViewId="0" topLeftCell="A1">
      <selection activeCell="A1" sqref="A1"/>
    </sheetView>
  </sheetViews>
  <sheetFormatPr defaultColWidth="9.7109375" defaultRowHeight="12.75"/>
  <cols>
    <col min="7" max="7" width="18.7109375" style="0" customWidth="1"/>
  </cols>
  <sheetData>
    <row r="3" ht="19.5">
      <c r="A3" s="6" t="s">
        <v>0</v>
      </c>
    </row>
    <row r="5" spans="1:7" ht="15.75">
      <c r="A5" s="38" t="s">
        <v>2</v>
      </c>
      <c r="B5" s="37"/>
      <c r="C5" s="37"/>
      <c r="D5" s="37"/>
      <c r="E5" s="37"/>
      <c r="F5" s="37"/>
      <c r="G5" s="38" t="s">
        <v>75</v>
      </c>
    </row>
    <row r="6" spans="1:7" ht="12.75">
      <c r="A6" s="35" t="s">
        <v>71</v>
      </c>
      <c r="G6" s="17">
        <f>Ratio_Calc_Mrkt!J8</f>
        <v>28.464682199440823</v>
      </c>
    </row>
    <row r="7" spans="1:7" ht="12.75">
      <c r="A7" s="35" t="s">
        <v>9</v>
      </c>
      <c r="G7" s="20">
        <f>Ratio_Calc_Mrkt!J11</f>
        <v>122790.01666666668</v>
      </c>
    </row>
    <row r="9" spans="1:7" ht="15.75">
      <c r="A9" s="38" t="s">
        <v>12</v>
      </c>
      <c r="B9" s="37"/>
      <c r="C9" s="37"/>
      <c r="D9" s="37"/>
      <c r="E9" s="37"/>
      <c r="F9" s="37"/>
      <c r="G9" s="37"/>
    </row>
    <row r="10" spans="1:7" ht="12.75">
      <c r="A10" s="35" t="s">
        <v>13</v>
      </c>
      <c r="G10" s="22">
        <f>Ratio_Calc_Mrkt!J15</f>
        <v>0.0011475374357833024</v>
      </c>
    </row>
    <row r="11" spans="1:7" ht="12.75">
      <c r="A11" s="35" t="s">
        <v>16</v>
      </c>
      <c r="G11" s="22">
        <f>Ratio_Calc_Mrkt!J18</f>
        <v>0.9988524625642167</v>
      </c>
    </row>
    <row r="12" spans="1:7" ht="12.75">
      <c r="A12" s="35" t="s">
        <v>18</v>
      </c>
      <c r="G12" s="17">
        <f>Ratio_Calc_Mrkt!J21</f>
        <v>0.0011488557908115751</v>
      </c>
    </row>
    <row r="14" spans="1:7" ht="15.75">
      <c r="A14" s="38" t="s">
        <v>20</v>
      </c>
      <c r="B14" s="37"/>
      <c r="C14" s="37"/>
      <c r="D14" s="37"/>
      <c r="E14" s="37"/>
      <c r="F14" s="37"/>
      <c r="G14" s="37"/>
    </row>
    <row r="15" spans="1:7" ht="12.75">
      <c r="A15" s="35" t="s">
        <v>21</v>
      </c>
      <c r="G15" s="22">
        <f>Ratio_Calc_Mrkt!J27</f>
        <v>-0.014671895715113854</v>
      </c>
    </row>
    <row r="16" spans="1:7" ht="12.75">
      <c r="A16" s="35" t="s">
        <v>26</v>
      </c>
      <c r="G16" s="22">
        <f>Ratio_Calc_Mrkt!J32</f>
        <v>-0.014723135499158962</v>
      </c>
    </row>
    <row r="17" spans="1:7" ht="12.75">
      <c r="A17" s="35" t="s">
        <v>28</v>
      </c>
      <c r="G17" s="22">
        <f>Ratio_Calc_Mrkt!J38</f>
        <v>-0.5705112046017808</v>
      </c>
    </row>
    <row r="18" spans="1:7" ht="12.75">
      <c r="A18" s="35" t="s">
        <v>30</v>
      </c>
      <c r="G18" s="26">
        <f>Ratio_Calc_Mrkt!J42</f>
        <v>-32493.461199999976</v>
      </c>
    </row>
    <row r="20" spans="1:7" ht="15.75">
      <c r="A20" s="38" t="s">
        <v>33</v>
      </c>
      <c r="B20" s="37"/>
      <c r="C20" s="37"/>
      <c r="D20" s="37"/>
      <c r="E20" s="37"/>
      <c r="F20" s="37"/>
      <c r="G20" s="37"/>
    </row>
    <row r="21" spans="1:7" ht="12.75">
      <c r="A21" s="35" t="s">
        <v>34</v>
      </c>
      <c r="G21" s="17">
        <f>Ratio_Calc_Mrkt!J56</f>
        <v>-2.344395523809518</v>
      </c>
    </row>
    <row r="22" spans="1:7" ht="12.75">
      <c r="A22" s="35" t="s">
        <v>45</v>
      </c>
      <c r="G22" s="26">
        <f>Ratio_Calc_Mrkt!J68</f>
        <v>-14046.461199999976</v>
      </c>
    </row>
    <row r="24" spans="1:7" ht="15.75">
      <c r="A24" s="38" t="s">
        <v>55</v>
      </c>
      <c r="B24" s="37"/>
      <c r="C24" s="37"/>
      <c r="D24" s="37"/>
      <c r="E24" s="37"/>
      <c r="F24" s="37"/>
      <c r="G24" s="37"/>
    </row>
    <row r="25" spans="1:7" ht="12.75">
      <c r="A25" s="35" t="s">
        <v>56</v>
      </c>
      <c r="G25" s="22">
        <f>Ratio_Calc_Mrkt!J75</f>
        <v>0.02571710353235726</v>
      </c>
    </row>
    <row r="26" spans="1:7" ht="12.75">
      <c r="A26" s="35" t="s">
        <v>59</v>
      </c>
      <c r="G26" s="22">
        <f>Ratio_Calc_Mrkt!J79</f>
        <v>1.0992272371126688</v>
      </c>
    </row>
    <row r="27" spans="1:7" ht="12.75">
      <c r="A27" s="35" t="s">
        <v>63</v>
      </c>
      <c r="G27" s="22">
        <f>Ratio_Calc_Mrkt!J83</f>
        <v>0.22264303583782685</v>
      </c>
    </row>
    <row r="28" spans="1:7" ht="12.75">
      <c r="A28" s="35" t="s">
        <v>66</v>
      </c>
      <c r="G28" s="22">
        <f>Ratio_Calc_Mrkt!J87</f>
        <v>0.001297905663219709</v>
      </c>
    </row>
    <row r="29" spans="1:7" ht="12.75">
      <c r="A29" s="35" t="s">
        <v>72</v>
      </c>
      <c r="G29" s="22">
        <f>Ratio_Calc_Mrkt!J91</f>
        <v>-0.32316817861371533</v>
      </c>
    </row>
    <row r="30" spans="6:8" ht="12.75">
      <c r="F30" s="5" t="s">
        <v>73</v>
      </c>
      <c r="H30" s="3">
        <f>SUM(G26:G29)</f>
        <v>1</v>
      </c>
    </row>
  </sheetData>
  <printOptions/>
  <pageMargins left="0.4" right="0.4" top="0.333" bottom="0.33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Ratio Calculations</dc:title>
  <dc:subject/>
  <dc:creator>Duane Griffith</dc:creator>
  <cp:keywords/>
  <dc:description/>
  <cp:lastModifiedBy>Duane Griffith</cp:lastModifiedBy>
  <cp:lastPrinted>1999-06-06T22:50:59Z</cp:lastPrinted>
  <dcterms:created xsi:type="dcterms:W3CDTF">2002-05-22T17:12:39Z</dcterms:created>
  <dcterms:modified xsi:type="dcterms:W3CDTF">2002-05-22T17:12:39Z</dcterms:modified>
  <cp:category/>
  <cp:version/>
  <cp:contentType/>
  <cp:contentStatus/>
</cp:coreProperties>
</file>