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0" windowWidth="9720" windowHeight="6780" tabRatio="641" activeTab="1"/>
  </bookViews>
  <sheets>
    <sheet name="Introduction" sheetId="1" r:id="rId1"/>
    <sheet name="LeasePurch1" sheetId="2" r:id="rId2"/>
    <sheet name="LeasePurch2" sheetId="3" r:id="rId3"/>
    <sheet name="LeasePurch3" sheetId="4" r:id="rId4"/>
    <sheet name="LeasePurch4" sheetId="5" r:id="rId5"/>
    <sheet name="Graphs" sheetId="6" r:id="rId6"/>
    <sheet name="Macros" sheetId="7" r:id="rId7"/>
  </sheets>
  <definedNames>
    <definedName name="_Order1" hidden="1">0</definedName>
    <definedName name="_Order2" hidden="1">0</definedName>
    <definedName name="Print_Area_MI" localSheetId="1">'LeasePurch1'!$A$118:$I$140</definedName>
    <definedName name="PRINT_RESULTS">'Macros'!$B$6</definedName>
  </definedNames>
  <calcPr fullCalcOnLoad="1"/>
</workbook>
</file>

<file path=xl/comments2.xml><?xml version="1.0" encoding="utf-8"?>
<comments xmlns="http://schemas.openxmlformats.org/spreadsheetml/2006/main">
  <authors>
    <author>Duane Griffith</author>
  </authors>
  <commentList>
    <comment ref="E13" authorId="0">
      <text>
        <r>
          <rPr>
            <b/>
            <sz val="8"/>
            <rFont val="Tahoma"/>
            <family val="0"/>
          </rPr>
          <t xml:space="preserve">See table starting in column M, row 5.
Group 1 is for Tractors
Group 2-4 are for implements that lose value at different rates.  Review the table for which group you want to select. </t>
        </r>
      </text>
    </comment>
  </commentList>
</comments>
</file>

<file path=xl/comments3.xml><?xml version="1.0" encoding="utf-8"?>
<comments xmlns="http://schemas.openxmlformats.org/spreadsheetml/2006/main">
  <authors>
    <author>Duane Griffith</author>
  </authors>
  <commentList>
    <comment ref="E13" authorId="0">
      <text>
        <r>
          <rPr>
            <b/>
            <sz val="8"/>
            <rFont val="Tahoma"/>
            <family val="0"/>
          </rPr>
          <t xml:space="preserve">See table starting in column M, row 5.
Group 1 is for Tractors
Group 2-4 are for implements that lose value at different rates.  Review the table for which group you want to select. </t>
        </r>
      </text>
    </comment>
  </commentList>
</comments>
</file>

<file path=xl/comments4.xml><?xml version="1.0" encoding="utf-8"?>
<comments xmlns="http://schemas.openxmlformats.org/spreadsheetml/2006/main">
  <authors>
    <author>Duane Griffith</author>
  </authors>
  <commentList>
    <comment ref="E13" authorId="0">
      <text>
        <r>
          <rPr>
            <b/>
            <sz val="8"/>
            <rFont val="Tahoma"/>
            <family val="0"/>
          </rPr>
          <t xml:space="preserve">See table starting in column M, row 5.
Group 1 is for Tractors
Group 2-4 are for implements that lose value at different rates.  Review the table for which group you want to select. </t>
        </r>
      </text>
    </comment>
  </commentList>
</comments>
</file>

<file path=xl/comments5.xml><?xml version="1.0" encoding="utf-8"?>
<comments xmlns="http://schemas.openxmlformats.org/spreadsheetml/2006/main">
  <authors>
    <author>Duane Griffith</author>
  </authors>
  <commentList>
    <comment ref="E13" authorId="0">
      <text>
        <r>
          <rPr>
            <b/>
            <sz val="8"/>
            <rFont val="Tahoma"/>
            <family val="0"/>
          </rPr>
          <t xml:space="preserve">See table starting in column M, row 5.
Group 1 is for Tractors
Group 2-4 are for implements that lose value at different rates.  Review the table for which group you want to select. </t>
        </r>
      </text>
    </comment>
  </commentList>
</comments>
</file>

<file path=xl/sharedStrings.xml><?xml version="1.0" encoding="utf-8"?>
<sst xmlns="http://schemas.openxmlformats.org/spreadsheetml/2006/main" count="1074" uniqueCount="282">
  <si>
    <t>For more information about this program, contact:</t>
  </si>
  <si>
    <t>Duane Griffith</t>
  </si>
  <si>
    <t>(406) 994-2580</t>
  </si>
  <si>
    <t>210 Linfield Hall</t>
  </si>
  <si>
    <t>Montana State University</t>
  </si>
  <si>
    <t>Bozeman, Mt.   59717</t>
  </si>
  <si>
    <t>Please read the cautions, assumptions and interpretations of results listed</t>
  </si>
  <si>
    <t>below before you run this program.  It is very important that you understand</t>
  </si>
  <si>
    <t>how to use this program before interpreting results.</t>
  </si>
  <si>
    <t>Cautions and Assumptions:</t>
  </si>
  <si>
    <t>1)</t>
  </si>
  <si>
    <t>This program is designed so that you can compare many different</t>
  </si>
  <si>
    <t>possible combinations of lease, purchasing and custom or</t>
  </si>
  <si>
    <t>renting machinery to accomplish a particular task.  However, you</t>
  </si>
  <si>
    <t>must be careful that you are making relavent comparisons.  The</t>
  </si>
  <si>
    <t xml:space="preserve">mistake that this program will not account for is an incorrect </t>
  </si>
  <si>
    <t xml:space="preserve">specification of the number of years for comparison purposes </t>
  </si>
  <si>
    <t xml:space="preserve">when evaluating a lease with a buyout option to a purchase.  The </t>
  </si>
  <si>
    <t xml:space="preserve">number of years specified for analysis must be at least as long </t>
  </si>
  <si>
    <t>as the combined lease term and finance term for the buyout.</t>
  </si>
  <si>
    <t>Example:  Lease for 5 years and finance for 5 years, term</t>
  </si>
  <si>
    <t xml:space="preserve">must be at least 10 years long.  </t>
  </si>
  <si>
    <t>2)</t>
  </si>
  <si>
    <t xml:space="preserve">Year 0 in the analysis is counted as a full year for financial and </t>
  </si>
  <si>
    <t>economic considerations.  This means that a 10 year analysis</t>
  </si>
  <si>
    <t>will end in year 9 listed on the results tables for Purchases,</t>
  </si>
  <si>
    <t>Leases and Custom/Rental.</t>
  </si>
  <si>
    <t>3)</t>
  </si>
  <si>
    <t>If indicated the lease analysis has no buy out option, the program assumes</t>
  </si>
  <si>
    <t>the work must be done, hence consecutive leases of equal costs are executed</t>
  </si>
  <si>
    <t>for the full fifteen year analysis. This allows for comparisons with buyout options.</t>
  </si>
  <si>
    <t>4)</t>
  </si>
  <si>
    <t>If the buyout option is exercised, it occurs at the beginning of the year following</t>
  </si>
  <si>
    <t>the last year in the lease. The basis for depreciation is the buyout value</t>
  </si>
  <si>
    <t>and the buyout value is depreciated for class life of the piece of equipment</t>
  </si>
  <si>
    <t>specified using the strait line method. Salvage value is calculated as</t>
  </si>
  <si>
    <t>a percent of the buyout amount, not purchase price. Full depreciation is taken</t>
  </si>
  <si>
    <t>during the first year of the buyout.</t>
  </si>
  <si>
    <t>5)</t>
  </si>
  <si>
    <t>Annual expenses should include all cash expense (not depreciation) incurred by the leasee.</t>
  </si>
  <si>
    <t>Expenses before the buyout and after the buyout are sepreated to account for</t>
  </si>
  <si>
    <t>leases which may cover some of the variable costs associated with equipment operation.</t>
  </si>
  <si>
    <t>6)</t>
  </si>
  <si>
    <t>For rental analysis, include the annual cost of renting equipment and the</t>
  </si>
  <si>
    <t>annual cash operating expenses incurred by the renter. The program assumes these</t>
  </si>
  <si>
    <t>costs will inflate each year by the inflation factor specified in the input section.</t>
  </si>
  <si>
    <t>The rental analysis uses the same discount factors (tax adjusted) as the lease</t>
  </si>
  <si>
    <t>portion of this template.</t>
  </si>
  <si>
    <t>7)</t>
  </si>
  <si>
    <t>The Rental Portion of this program can be used to compare getting the</t>
  </si>
  <si>
    <t>work done by a "Custom Operator."  You can simply fill in</t>
  </si>
  <si>
    <t>the custom rate charged and leave the operating expense blank.</t>
  </si>
  <si>
    <t xml:space="preserve">Remember to make fair comparisons.  If you are looking at </t>
  </si>
  <si>
    <t>purchasing a combine, you must use only the custom rate</t>
  </si>
  <si>
    <t xml:space="preserve">for the combine when making a comparison, not the rate of cutting </t>
  </si>
  <si>
    <t>and hauling.</t>
  </si>
  <si>
    <t>8)</t>
  </si>
  <si>
    <t>The discount factor specified in the input section is adjusted by the marginal tax</t>
  </si>
  <si>
    <t>rate specified. The assumption is that alterntive investments would generate a tax</t>
  </si>
  <si>
    <t>impact and therefore the discount rate should be adjusted for these implications</t>
  </si>
  <si>
    <t>from alternative investments.</t>
  </si>
  <si>
    <t>9)</t>
  </si>
  <si>
    <t xml:space="preserve">The results of the purchase option can be heavily influenced by the </t>
  </si>
  <si>
    <t xml:space="preserve">residual value calculated for the piece of equipment.  Make sure that you </t>
  </si>
  <si>
    <t>check the residual value calculated and that you are using the number</t>
  </si>
  <si>
    <t xml:space="preserve">of years for the analysis that you actually plan to keep the piece of </t>
  </si>
  <si>
    <t>equipment for the purchase option or the combination lease &amp; buyout</t>
  </si>
  <si>
    <t xml:space="preserve">option.   If you are likely to keep a piece of equipment 15 years, use 15 years, </t>
  </si>
  <si>
    <t>not a shorter period of time.</t>
  </si>
  <si>
    <t>Interpretation of Results:</t>
  </si>
  <si>
    <t>10)</t>
  </si>
  <si>
    <t xml:space="preserve">The results of the program are presented in three tables.  Each option </t>
  </si>
  <si>
    <t>analyzed, 1) Purchase, 2) Lease, 3) Rental/Custom, has a table of</t>
  </si>
  <si>
    <t>results calculated for that option.  In each table, detail is presented</t>
  </si>
  <si>
    <t xml:space="preserve">for the financial and economic implications of that option.  Comparisons </t>
  </si>
  <si>
    <t>of the different options is accomplished using one of two possible outputs</t>
  </si>
  <si>
    <t>from this program.  At the end of each of the three tables for each option are</t>
  </si>
  <si>
    <t>two columns.  The first is labeled " Cummulative Net Present Value."</t>
  </si>
  <si>
    <t xml:space="preserve">The second is labeled "Annual Equivalent."  </t>
  </si>
  <si>
    <t>11)</t>
  </si>
  <si>
    <t>The Net Present Value is the total dollars spent (after taxes) in current</t>
  </si>
  <si>
    <t>dollars.  All future expenses and cash outflows are discounted back to</t>
  </si>
  <si>
    <t xml:space="preserve">the present.  This allows an apples to apples comparison of </t>
  </si>
  <si>
    <t xml:space="preserve">different amounts of money being spent purchase vs lease vs rental etc.  </t>
  </si>
  <si>
    <t>12)</t>
  </si>
  <si>
    <t>The Annual Equivalent calculation is similar but can be used to compare</t>
  </si>
  <si>
    <t>options that do not have the same time frame.  An example, would be a lease</t>
  </si>
  <si>
    <t xml:space="preserve">that you plan for 5 years with a purchase that will cover a 10 year period.  </t>
  </si>
  <si>
    <t>Comparing options with equal lengths of time.</t>
  </si>
  <si>
    <t>13)</t>
  </si>
  <si>
    <t>If your analysis uses the same time period for each options, say 12 years</t>
  </si>
  <si>
    <t>for the Purchase, Lease, and Rental/Custom, you can use the Cummulative</t>
  </si>
  <si>
    <t xml:space="preserve">Net Present Value column.  Follow it down to the year (year 11 -see </t>
  </si>
  <si>
    <t xml:space="preserve">item number 2) above) to get the results for year 12.  The option that </t>
  </si>
  <si>
    <t>costs the least amount of money (in current dollars) is the one with</t>
  </si>
  <si>
    <t>the lowest Net Present Value calculation.</t>
  </si>
  <si>
    <t>Comparing options of Unequal length.</t>
  </si>
  <si>
    <t>14)</t>
  </si>
  <si>
    <t>If your analysis uses differing time periods, you must use the Annual Equivalent</t>
  </si>
  <si>
    <t>column to compare numbers for the options considered.  The annual equivalent</t>
  </si>
  <si>
    <t>converts the Net Present Value for the entire time period to an equivalent amount</t>
  </si>
  <si>
    <t>of money (on an annual basis).  Since the conversion is to annual, different</t>
  </si>
  <si>
    <t xml:space="preserve">times periods can be compared.  The selection criteria is again the option </t>
  </si>
  <si>
    <t>with the lowest "Annual Equivalent."</t>
  </si>
  <si>
    <t xml:space="preserve">Note:  </t>
  </si>
  <si>
    <t xml:space="preserve">Some of your analysis may have more rows (years) than you wanted </t>
  </si>
  <si>
    <t xml:space="preserve">to analyze.  This will be true for a lease that has no buyout option specified.  </t>
  </si>
  <si>
    <t>If you wish to analyze a 5 year lease without a buyout at the end of the lease,</t>
  </si>
  <si>
    <t xml:space="preserve">you will note the entire lease table is filled.  Simple go down row 4 </t>
  </si>
  <si>
    <t>(remember year 0 counts as a full year) and read accross to the end</t>
  </si>
  <si>
    <t>of row 4 to get the Net Present Value and Annual Equivalent for a 5 year lease.</t>
  </si>
  <si>
    <t>This template analyzes three options for accomplishing a task with machinery.  Purchase, Lease, and Rental.</t>
  </si>
  <si>
    <t>REMAINING VALUE OF INVESTMENT</t>
  </si>
  <si>
    <t xml:space="preserve">  Items to be entered are outlined with a double lined box.</t>
  </si>
  <si>
    <t>And text is in Blue</t>
  </si>
  <si>
    <t xml:space="preserve">General Information </t>
  </si>
  <si>
    <t>Beginning</t>
  </si>
  <si>
    <t>Tractor</t>
  </si>
  <si>
    <t>Impl't</t>
  </si>
  <si>
    <t>Item to Purchase</t>
  </si>
  <si>
    <t>Year</t>
  </si>
  <si>
    <t>Group</t>
  </si>
  <si>
    <t>Marginal Tax Rate</t>
  </si>
  <si>
    <t>Discount Rate</t>
  </si>
  <si>
    <t xml:space="preserve">Current market Value of Trade-in  $ </t>
  </si>
  <si>
    <t>This worksheet should only be used to calculate</t>
  </si>
  <si>
    <t>Undepreciatied Value of Trade-in  $</t>
  </si>
  <si>
    <t>Net Present Values for capital items which Do Not</t>
  </si>
  <si>
    <t>Cost of Machine Sold or Traded    $</t>
  </si>
  <si>
    <t>generate a stream of income.  The best alternative is</t>
  </si>
  <si>
    <t>Sell or Trade (1 or 2)</t>
  </si>
  <si>
    <t>the one that has the smallest negative net present value.</t>
  </si>
  <si>
    <t>Machinery Group Number (1-4)</t>
  </si>
  <si>
    <t>Depreciation Class, 3, 5, or 7yr (3 , 5 or 7)</t>
  </si>
  <si>
    <t>Capital Gains Tax Rate (% Gain Taxed)</t>
  </si>
  <si>
    <t>Annual Cash Operating Expenses</t>
  </si>
  <si>
    <t>Expected Annual Inflation Rate</t>
  </si>
  <si>
    <t>PURCHASE INFORMATION</t>
  </si>
  <si>
    <t>Purchase Price</t>
  </si>
  <si>
    <t>($)</t>
  </si>
  <si>
    <t>Amount to Finance</t>
  </si>
  <si>
    <t>Downpayment</t>
  </si>
  <si>
    <t>Interest rate</t>
  </si>
  <si>
    <t>Years to Finance</t>
  </si>
  <si>
    <t>Yrs</t>
  </si>
  <si>
    <t xml:space="preserve">Number of Years for Analysis </t>
  </si>
  <si>
    <t>(lease, purchase and rental/custom)</t>
  </si>
  <si>
    <t>1994 Depreciation for Machinery and Equipment</t>
  </si>
  <si>
    <t>Calculated Payment (Annual Payments Assumed)</t>
  </si>
  <si>
    <t>150% Declining Balance Method</t>
  </si>
  <si>
    <t>3-Year</t>
  </si>
  <si>
    <t>5-Year</t>
  </si>
  <si>
    <t>7-year</t>
  </si>
  <si>
    <t>Amount Expensed</t>
  </si>
  <si>
    <t>Investment Credit Taken</t>
  </si>
  <si>
    <t>Investment Credit Applicable</t>
  </si>
  <si>
    <t>Depreciable Basis</t>
  </si>
  <si>
    <t>Estimated salvage Value</t>
  </si>
  <si>
    <t>Tax Adjusted Discount Rate</t>
  </si>
  <si>
    <t>PURCHASE</t>
  </si>
  <si>
    <t>Depreciation</t>
  </si>
  <si>
    <t>Tax Adjusted</t>
  </si>
  <si>
    <t>and</t>
  </si>
  <si>
    <t>Annual</t>
  </si>
  <si>
    <t>ITC</t>
  </si>
  <si>
    <t xml:space="preserve"> </t>
  </si>
  <si>
    <t>Net</t>
  </si>
  <si>
    <t xml:space="preserve">Discount </t>
  </si>
  <si>
    <t>Cummulative</t>
  </si>
  <si>
    <t>The depreciation schedules shown above can be</t>
  </si>
  <si>
    <t xml:space="preserve">and </t>
  </si>
  <si>
    <t>Interest</t>
  </si>
  <si>
    <t>First Year</t>
  </si>
  <si>
    <t>Cash Operating</t>
  </si>
  <si>
    <t>&amp;</t>
  </si>
  <si>
    <t>Tax</t>
  </si>
  <si>
    <t>After Tax</t>
  </si>
  <si>
    <t>Factor</t>
  </si>
  <si>
    <t>Present</t>
  </si>
  <si>
    <t xml:space="preserve">Net Present </t>
  </si>
  <si>
    <t>changed at any time to update this program to reflect</t>
  </si>
  <si>
    <t>Principal</t>
  </si>
  <si>
    <t>Payment</t>
  </si>
  <si>
    <t>Expensing</t>
  </si>
  <si>
    <t>Expense</t>
  </si>
  <si>
    <t>Residual</t>
  </si>
  <si>
    <t>Credit</t>
  </si>
  <si>
    <t>Cash Outflow</t>
  </si>
  <si>
    <t>Value</t>
  </si>
  <si>
    <t>Equivalent</t>
  </si>
  <si>
    <t>changes in tax laws or depreciation methods.</t>
  </si>
  <si>
    <t>If you change the table, you MUST leave the shaded</t>
  </si>
  <si>
    <t>line with 0, 3, 5, and 7 indicating the class</t>
  </si>
  <si>
    <t>life of depreciation or replace it with something similar.</t>
  </si>
  <si>
    <t>If the years (class life) do not change, simply</t>
  </si>
  <si>
    <t xml:space="preserve">enter the new depreciation rates under the </t>
  </si>
  <si>
    <t xml:space="preserve">appropriate class life. </t>
  </si>
  <si>
    <t>Total Depreciation Taken</t>
  </si>
  <si>
    <t>Net Present Value (After Tax)</t>
  </si>
  <si>
    <t>Lease:</t>
  </si>
  <si>
    <t>Item for Lease</t>
  </si>
  <si>
    <t>Purchase or List Price of Lease Item</t>
  </si>
  <si>
    <t>Lease Terms: Residual Value</t>
  </si>
  <si>
    <t xml:space="preserve">   Enter as a Decimal</t>
  </si>
  <si>
    <t xml:space="preserve">             Interest Rate</t>
  </si>
  <si>
    <t xml:space="preserve">             Term in Years</t>
  </si>
  <si>
    <t xml:space="preserve">   Whole Years Only</t>
  </si>
  <si>
    <t xml:space="preserve">             No Buyout = 1     Buyout = 2</t>
  </si>
  <si>
    <t>Discount Factor to be Used</t>
  </si>
  <si>
    <t>Annual Cash Expense Befor Buyout</t>
  </si>
  <si>
    <t xml:space="preserve">   Enter in Current Dollars</t>
  </si>
  <si>
    <t>Annual Cash Expense After Buyout</t>
  </si>
  <si>
    <t>Salvage as a % of Buyout</t>
  </si>
  <si>
    <t>Calculated Annual Lease Payment $</t>
  </si>
  <si>
    <t>Calculated Buyout Amount</t>
  </si>
  <si>
    <t>Percent of Buyout Amount Financed</t>
  </si>
  <si>
    <t>Term of Loan in Years After Buyout</t>
  </si>
  <si>
    <t>Calculated Depreciable Basis After Buyout</t>
  </si>
  <si>
    <t>Net Present Value of the Lease</t>
  </si>
  <si>
    <t>Tax Savings</t>
  </si>
  <si>
    <t xml:space="preserve">Present </t>
  </si>
  <si>
    <t>From Depr.</t>
  </si>
  <si>
    <t>Value of</t>
  </si>
  <si>
    <t>Loan</t>
  </si>
  <si>
    <t xml:space="preserve">Value of </t>
  </si>
  <si>
    <t>Cash</t>
  </si>
  <si>
    <t>Annual Cash</t>
  </si>
  <si>
    <t>Principle</t>
  </si>
  <si>
    <t xml:space="preserve">Cumulative </t>
  </si>
  <si>
    <t>Analysis</t>
  </si>
  <si>
    <t>Repayment</t>
  </si>
  <si>
    <t>Cash Lease</t>
  </si>
  <si>
    <t>From Lease</t>
  </si>
  <si>
    <t>Lease</t>
  </si>
  <si>
    <t>Operating</t>
  </si>
  <si>
    <t>Operating &amp;</t>
  </si>
  <si>
    <t>Buyout</t>
  </si>
  <si>
    <t>&amp; Interest</t>
  </si>
  <si>
    <t>Net Present</t>
  </si>
  <si>
    <t>Outflows</t>
  </si>
  <si>
    <t>Lease Payment</t>
  </si>
  <si>
    <t>Payments</t>
  </si>
  <si>
    <t>Oper. &amp; Int.</t>
  </si>
  <si>
    <t>Amount</t>
  </si>
  <si>
    <t xml:space="preserve">                Net Present Value Equals:</t>
  </si>
  <si>
    <t>PV of After Tax Lease Payments</t>
  </si>
  <si>
    <t>Plus PV of Cash Buyout Amount</t>
  </si>
  <si>
    <t>Plus PV of Annual Cash Operating Outflows</t>
  </si>
  <si>
    <t>Plus PV of Principle and Interest Payments</t>
  </si>
  <si>
    <t>Minus PV of Tax Savings From Dep. &amp; Cash Operating</t>
  </si>
  <si>
    <t>Minus PV of Income From Salvage Value</t>
  </si>
  <si>
    <t/>
  </si>
  <si>
    <t>Net Present Value of Lease</t>
  </si>
  <si>
    <t>Rental/Custom ANALYSIS:</t>
  </si>
  <si>
    <t xml:space="preserve">Include annual rental fee and </t>
  </si>
  <si>
    <t xml:space="preserve">Operating costs incurred by renter </t>
  </si>
  <si>
    <t>in Current Dollars.</t>
  </si>
  <si>
    <t>Rental</t>
  </si>
  <si>
    <t xml:space="preserve">Cash </t>
  </si>
  <si>
    <t>From Rents</t>
  </si>
  <si>
    <t>Analysis Year</t>
  </si>
  <si>
    <t>Operating Exp.</t>
  </si>
  <si>
    <t>Paid</t>
  </si>
  <si>
    <t>Print Macro:</t>
  </si>
  <si>
    <t>Graph-LeasePurchase #1</t>
  </si>
  <si>
    <t>Graph-LeasePurchase #2</t>
  </si>
  <si>
    <t>Graph-LeasePurchase #3</t>
  </si>
  <si>
    <t>Graph-LeasePurchase #4</t>
  </si>
  <si>
    <t>Tractor 85 hp</t>
  </si>
  <si>
    <t>Tractor 105 hp</t>
  </si>
  <si>
    <t>Pulled Swather</t>
  </si>
  <si>
    <t>General Information Used for Lease and Purchase as necessary</t>
  </si>
  <si>
    <t>Inflation</t>
  </si>
  <si>
    <t xml:space="preserve">Inflated </t>
  </si>
  <si>
    <t xml:space="preserve">After </t>
  </si>
  <si>
    <t>Before</t>
  </si>
  <si>
    <t>Adjustment</t>
  </si>
  <si>
    <t>CashFlow</t>
  </si>
  <si>
    <t>Cash_Flow</t>
  </si>
  <si>
    <t>and Buyout</t>
  </si>
  <si>
    <t>griffith@montana.edu</t>
  </si>
  <si>
    <t>Combine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</si>
</sst>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dd\-mmm\-yy_)"/>
    <numFmt numFmtId="167" formatCode="0.0000%"/>
    <numFmt numFmtId="168" formatCode="0.00000_)"/>
    <numFmt numFmtId="169" formatCode="0.00_)"/>
    <numFmt numFmtId="170" formatCode="#,##0.000"/>
    <numFmt numFmtId="171" formatCode="#,##0.0"/>
    <numFmt numFmtId="172" formatCode="&quot;$&quot;#,##0.0_);\(&quot;$&quot;#,##0.0\)"/>
  </numFmts>
  <fonts count="25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color indexed="12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color indexed="12"/>
      <name val="Helv"/>
      <family val="0"/>
    </font>
    <font>
      <b/>
      <sz val="14"/>
      <name val="Helv"/>
      <family val="0"/>
    </font>
    <font>
      <sz val="10"/>
      <color indexed="8"/>
      <name val="Helv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0"/>
    </font>
    <font>
      <b/>
      <sz val="11.5"/>
      <name val="Times New Roman"/>
      <family val="1"/>
    </font>
    <font>
      <b/>
      <sz val="8"/>
      <name val="Tahoma"/>
      <family val="0"/>
    </font>
    <font>
      <b/>
      <sz val="16"/>
      <name val="Helv"/>
      <family val="0"/>
    </font>
    <font>
      <b/>
      <sz val="8.75"/>
      <name val="Times New Roman"/>
      <family val="1"/>
    </font>
    <font>
      <sz val="11.25"/>
      <name val="Times New Roman"/>
      <family val="0"/>
    </font>
    <font>
      <sz val="8.75"/>
      <name val="Times New Roman"/>
      <family val="1"/>
    </font>
    <font>
      <sz val="8"/>
      <name val="Times New Roman"/>
      <family val="1"/>
    </font>
    <font>
      <sz val="8.25"/>
      <name val="Times New Roman"/>
      <family val="1"/>
    </font>
    <font>
      <b/>
      <sz val="11"/>
      <name val="Helv"/>
      <family val="0"/>
    </font>
    <font>
      <u val="single"/>
      <sz val="10"/>
      <color indexed="12"/>
      <name val="Helv"/>
      <family val="0"/>
    </font>
    <font>
      <b/>
      <sz val="8"/>
      <name val="Helv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57"/>
        <bgColor indexed="64"/>
      </patternFill>
    </fill>
    <fill>
      <patternFill patternType="lightGray">
        <fgColor indexed="8"/>
        <bgColor indexed="10"/>
      </patternFill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Alignment="1">
      <alignment horizontal="fill"/>
    </xf>
    <xf numFmtId="164" fontId="0" fillId="0" borderId="1" xfId="0" applyNumberForma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 horizontal="left"/>
      <protection/>
    </xf>
    <xf numFmtId="164" fontId="0" fillId="0" borderId="4" xfId="0" applyNumberFormat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 horizontal="right"/>
      <protection/>
    </xf>
    <xf numFmtId="164" fontId="6" fillId="0" borderId="5" xfId="0" applyNumberFormat="1" applyFont="1" applyBorder="1" applyAlignment="1" applyProtection="1">
      <alignment horizontal="left"/>
      <protection/>
    </xf>
    <xf numFmtId="164" fontId="0" fillId="0" borderId="5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 horizontal="center"/>
      <protection/>
    </xf>
    <xf numFmtId="164" fontId="6" fillId="2" borderId="0" xfId="0" applyNumberFormat="1" applyFont="1" applyFill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7" fontId="8" fillId="0" borderId="6" xfId="0" applyNumberFormat="1" applyFont="1" applyBorder="1" applyAlignment="1" applyProtection="1">
      <alignment/>
      <protection/>
    </xf>
    <xf numFmtId="39" fontId="0" fillId="0" borderId="2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7" fontId="7" fillId="0" borderId="0" xfId="0" applyNumberFormat="1" applyFont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7" fontId="0" fillId="0" borderId="2" xfId="0" applyNumberFormat="1" applyBorder="1" applyAlignment="1" applyProtection="1">
      <alignment/>
      <protection/>
    </xf>
    <xf numFmtId="169" fontId="0" fillId="0" borderId="7" xfId="0" applyNumberFormat="1" applyBorder="1" applyAlignment="1" applyProtection="1">
      <alignment/>
      <protection/>
    </xf>
    <xf numFmtId="7" fontId="8" fillId="0" borderId="8" xfId="0" applyNumberFormat="1" applyFont="1" applyBorder="1" applyAlignment="1" applyProtection="1">
      <alignment/>
      <protection locked="0"/>
    </xf>
    <xf numFmtId="9" fontId="8" fillId="0" borderId="9" xfId="0" applyNumberFormat="1" applyFont="1" applyBorder="1" applyAlignment="1" applyProtection="1">
      <alignment/>
      <protection locked="0"/>
    </xf>
    <xf numFmtId="10" fontId="8" fillId="0" borderId="8" xfId="0" applyNumberFormat="1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/>
      <protection locked="0"/>
    </xf>
    <xf numFmtId="164" fontId="8" fillId="0" borderId="9" xfId="0" applyNumberFormat="1" applyFont="1" applyBorder="1" applyAlignment="1" applyProtection="1">
      <alignment/>
      <protection locked="0"/>
    </xf>
    <xf numFmtId="7" fontId="8" fillId="0" borderId="9" xfId="0" applyNumberFormat="1" applyFont="1" applyBorder="1" applyAlignment="1" applyProtection="1">
      <alignment/>
      <protection locked="0"/>
    </xf>
    <xf numFmtId="10" fontId="8" fillId="0" borderId="10" xfId="0" applyNumberFormat="1" applyFont="1" applyBorder="1" applyAlignment="1" applyProtection="1">
      <alignment/>
      <protection locked="0"/>
    </xf>
    <xf numFmtId="7" fontId="8" fillId="0" borderId="10" xfId="0" applyNumberFormat="1" applyFont="1" applyBorder="1" applyAlignment="1" applyProtection="1">
      <alignment/>
      <protection locked="0"/>
    </xf>
    <xf numFmtId="10" fontId="8" fillId="0" borderId="9" xfId="0" applyNumberFormat="1" applyFont="1" applyBorder="1" applyAlignment="1" applyProtection="1">
      <alignment/>
      <protection locked="0"/>
    </xf>
    <xf numFmtId="7" fontId="8" fillId="0" borderId="1" xfId="0" applyNumberFormat="1" applyFont="1" applyBorder="1" applyAlignment="1" applyProtection="1">
      <alignment/>
      <protection locked="0"/>
    </xf>
    <xf numFmtId="39" fontId="0" fillId="3" borderId="11" xfId="0" applyNumberFormat="1" applyFill="1" applyBorder="1" applyAlignment="1" applyProtection="1">
      <alignment/>
      <protection/>
    </xf>
    <xf numFmtId="39" fontId="0" fillId="3" borderId="12" xfId="0" applyNumberFormat="1" applyFill="1" applyBorder="1" applyAlignment="1" applyProtection="1">
      <alignment/>
      <protection/>
    </xf>
    <xf numFmtId="164" fontId="0" fillId="3" borderId="12" xfId="0" applyNumberFormat="1" applyFill="1" applyBorder="1" applyAlignment="1" applyProtection="1">
      <alignment/>
      <protection/>
    </xf>
    <xf numFmtId="164" fontId="0" fillId="3" borderId="13" xfId="0" applyNumberForma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169" fontId="0" fillId="0" borderId="14" xfId="0" applyNumberFormat="1" applyBorder="1" applyAlignment="1" applyProtection="1">
      <alignment/>
      <protection/>
    </xf>
    <xf numFmtId="7" fontId="0" fillId="0" borderId="14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 horizontal="center"/>
      <protection/>
    </xf>
    <xf numFmtId="43" fontId="0" fillId="0" borderId="7" xfId="0" applyNumberFormat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14" xfId="0" applyNumberFormat="1" applyBorder="1" applyAlignment="1" applyProtection="1">
      <alignment/>
      <protection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8" xfId="0" applyNumberFormat="1" applyFont="1" applyBorder="1" applyAlignment="1" applyProtection="1">
      <alignment horizontal="center"/>
      <protection locked="0"/>
    </xf>
    <xf numFmtId="7" fontId="8" fillId="0" borderId="15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43" fontId="0" fillId="0" borderId="16" xfId="0" applyNumberFormat="1" applyBorder="1" applyAlignment="1" applyProtection="1">
      <alignment/>
      <protection/>
    </xf>
    <xf numFmtId="43" fontId="0" fillId="0" borderId="17" xfId="0" applyNumberFormat="1" applyBorder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0" fontId="10" fillId="0" borderId="0" xfId="0" applyNumberFormat="1" applyFont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164" fontId="16" fillId="0" borderId="0" xfId="0" applyFont="1" applyAlignment="1">
      <alignment/>
    </xf>
    <xf numFmtId="164" fontId="7" fillId="0" borderId="0" xfId="0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left"/>
      <protection/>
    </xf>
    <xf numFmtId="7" fontId="22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0" fillId="3" borderId="12" xfId="0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4" fontId="23" fillId="0" borderId="0" xfId="19" applyAlignment="1">
      <alignment/>
    </xf>
    <xf numFmtId="167" fontId="8" fillId="0" borderId="6" xfId="0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3" borderId="12" xfId="0" applyNumberFormat="1" applyFill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2" xfId="0" applyNumberFormat="1" applyBorder="1" applyAlignment="1" applyProtection="1">
      <alignment horizontal="center"/>
      <protection/>
    </xf>
    <xf numFmtId="168" fontId="0" fillId="0" borderId="2" xfId="0" applyNumberForma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164" fontId="0" fillId="0" borderId="18" xfId="0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fill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Annual Equivalents For Each Year of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6325"/>
          <c:w val="0.955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v>Purchase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LeasePurch1!$L$41:$L$56</c:f>
              <c:numCache>
                <c:ptCount val="16"/>
                <c:pt idx="2">
                  <c:v>2226752.16584459</c:v>
                </c:pt>
                <c:pt idx="3">
                  <c:v>2022090.214507749</c:v>
                </c:pt>
                <c:pt idx="4">
                  <c:v>1908541.170577383</c:v>
                </c:pt>
                <c:pt idx="5">
                  <c:v>1850055.1471919145</c:v>
                </c:pt>
                <c:pt idx="6">
                  <c:v>1823117.7028473434</c:v>
                </c:pt>
                <c:pt idx="7">
                  <c:v>1809057.2741982748</c:v>
                </c:pt>
                <c:pt idx="8">
                  <c:v>1803656.9343214296</c:v>
                </c:pt>
                <c:pt idx="9">
                  <c:v>1746685.392652919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Lease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LeasePurch1!$R$89:$R$104</c:f>
              <c:numCache>
                <c:ptCount val="16"/>
                <c:pt idx="2">
                  <c:v>1315115.1836976719</c:v>
                </c:pt>
                <c:pt idx="3">
                  <c:v>1323793.7547846374</c:v>
                </c:pt>
                <c:pt idx="4">
                  <c:v>1332489.5055387635</c:v>
                </c:pt>
                <c:pt idx="5">
                  <c:v>1463017.5222359938</c:v>
                </c:pt>
                <c:pt idx="6">
                  <c:v>1505305.5368501586</c:v>
                </c:pt>
                <c:pt idx="7">
                  <c:v>1544688.7376107655</c:v>
                </c:pt>
                <c:pt idx="8">
                  <c:v>1581509.483563797</c:v>
                </c:pt>
                <c:pt idx="9">
                  <c:v>1616495.087924102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Custom/Rental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LeasePurch1!$J$124:$J$139</c:f>
              <c:numCache>
                <c:ptCount val="1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5784816"/>
        <c:axId val="7845617"/>
      </c:bar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Years in Analysis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784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75"/>
          <c:y val="0.912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Annual Equivalents For Each Year of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59"/>
          <c:w val="0.95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v>Purchase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LeasePurch2!$L$41:$L$56</c:f>
              <c:numCache>
                <c:ptCount val="16"/>
                <c:pt idx="2">
                  <c:v>3685.2241742105343</c:v>
                </c:pt>
                <c:pt idx="3">
                  <c:v>3797.9122886174055</c:v>
                </c:pt>
                <c:pt idx="4">
                  <c:v>3887.4643569917716</c:v>
                </c:pt>
                <c:pt idx="5">
                  <c:v>4017.0080591857313</c:v>
                </c:pt>
                <c:pt idx="6">
                  <c:v>3668.355357087971</c:v>
                </c:pt>
                <c:pt idx="7">
                  <c:v>3412.5751042634593</c:v>
                </c:pt>
                <c:pt idx="8">
                  <c:v>3218.7556527152624</c:v>
                </c:pt>
                <c:pt idx="9">
                  <c:v>3068.3479929578043</c:v>
                </c:pt>
                <c:pt idx="10">
                  <c:v>2949.5463390764303</c:v>
                </c:pt>
                <c:pt idx="11">
                  <c:v>2854.478424220984</c:v>
                </c:pt>
                <c:pt idx="12">
                  <c:v>2777.6925855737063</c:v>
                </c:pt>
                <c:pt idx="13">
                  <c:v>2715.293244085659</c:v>
                </c:pt>
                <c:pt idx="14">
                  <c:v>2587.955212713229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Lease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LeasePurch2!$R$89:$R$104</c:f>
              <c:numCache>
                <c:ptCount val="16"/>
                <c:pt idx="2">
                  <c:v>3436.4208945308155</c:v>
                </c:pt>
                <c:pt idx="3">
                  <c:v>3465.3856182482405</c:v>
                </c:pt>
                <c:pt idx="4">
                  <c:v>3494.370028347127</c:v>
                </c:pt>
                <c:pt idx="5">
                  <c:v>3514.804298871018</c:v>
                </c:pt>
                <c:pt idx="6">
                  <c:v>3378.417199619546</c:v>
                </c:pt>
                <c:pt idx="7">
                  <c:v>3294.5657851426786</c:v>
                </c:pt>
                <c:pt idx="8">
                  <c:v>3238.9855354629367</c:v>
                </c:pt>
                <c:pt idx="9">
                  <c:v>3202.184443860563</c:v>
                </c:pt>
                <c:pt idx="10">
                  <c:v>3099.9848897884353</c:v>
                </c:pt>
                <c:pt idx="11">
                  <c:v>3026.0822599118574</c:v>
                </c:pt>
                <c:pt idx="12">
                  <c:v>2968.2325485219144</c:v>
                </c:pt>
                <c:pt idx="13">
                  <c:v>2923.0264882668407</c:v>
                </c:pt>
                <c:pt idx="14">
                  <c:v>2857.7161005280545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Custom/Rental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LeasePurch1!$J$124:$J$139</c:f>
              <c:numCache>
                <c:ptCount val="1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501690"/>
        <c:axId val="31515211"/>
      </c:bar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Years in Analysis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01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32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Annual Equivalents For Each Year of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63"/>
          <c:w val="0.956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v>Purchase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LeasePurch1!$L$41:$L$56</c:f>
              <c:numCache>
                <c:ptCount val="16"/>
                <c:pt idx="2">
                  <c:v>2226752.16584459</c:v>
                </c:pt>
                <c:pt idx="3">
                  <c:v>2022090.214507749</c:v>
                </c:pt>
                <c:pt idx="4">
                  <c:v>1908541.170577383</c:v>
                </c:pt>
                <c:pt idx="5">
                  <c:v>1850055.1471919145</c:v>
                </c:pt>
                <c:pt idx="6">
                  <c:v>1823117.7028473434</c:v>
                </c:pt>
                <c:pt idx="7">
                  <c:v>1809057.2741982748</c:v>
                </c:pt>
                <c:pt idx="8">
                  <c:v>1803656.9343214296</c:v>
                </c:pt>
                <c:pt idx="9">
                  <c:v>1746685.392652919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Lease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LeasePurch1!$R$89:$R$104</c:f>
              <c:numCache>
                <c:ptCount val="16"/>
                <c:pt idx="2">
                  <c:v>1315115.1836976719</c:v>
                </c:pt>
                <c:pt idx="3">
                  <c:v>1323793.7547846374</c:v>
                </c:pt>
                <c:pt idx="4">
                  <c:v>1332489.5055387635</c:v>
                </c:pt>
                <c:pt idx="5">
                  <c:v>1463017.5222359938</c:v>
                </c:pt>
                <c:pt idx="6">
                  <c:v>1505305.5368501586</c:v>
                </c:pt>
                <c:pt idx="7">
                  <c:v>1544688.7376107655</c:v>
                </c:pt>
                <c:pt idx="8">
                  <c:v>1581509.483563797</c:v>
                </c:pt>
                <c:pt idx="9">
                  <c:v>1616495.087924102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Custom/Rental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LeasePurch1!$J$124:$J$139</c:f>
              <c:numCache>
                <c:ptCount val="1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Years in Analysis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5201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05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Annual Equivalents For Each Year of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8"/>
          <c:w val="0.955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Purchase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LeasePurch1!$L$41:$L$56</c:f>
              <c:numCache>
                <c:ptCount val="16"/>
                <c:pt idx="2">
                  <c:v>2226752.16584459</c:v>
                </c:pt>
                <c:pt idx="3">
                  <c:v>2022090.214507749</c:v>
                </c:pt>
                <c:pt idx="4">
                  <c:v>1908541.170577383</c:v>
                </c:pt>
                <c:pt idx="5">
                  <c:v>1850055.1471919145</c:v>
                </c:pt>
                <c:pt idx="6">
                  <c:v>1823117.7028473434</c:v>
                </c:pt>
                <c:pt idx="7">
                  <c:v>1809057.2741982748</c:v>
                </c:pt>
                <c:pt idx="8">
                  <c:v>1803656.9343214296</c:v>
                </c:pt>
                <c:pt idx="9">
                  <c:v>1746685.392652919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Lease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LeasePurch1!$R$89:$R$104</c:f>
              <c:numCache>
                <c:ptCount val="16"/>
                <c:pt idx="2">
                  <c:v>1315115.1836976719</c:v>
                </c:pt>
                <c:pt idx="3">
                  <c:v>1323793.7547846374</c:v>
                </c:pt>
                <c:pt idx="4">
                  <c:v>1332489.5055387635</c:v>
                </c:pt>
                <c:pt idx="5">
                  <c:v>1463017.5222359938</c:v>
                </c:pt>
                <c:pt idx="6">
                  <c:v>1505305.5368501586</c:v>
                </c:pt>
                <c:pt idx="7">
                  <c:v>1544688.7376107655</c:v>
                </c:pt>
                <c:pt idx="8">
                  <c:v>1581509.483563797</c:v>
                </c:pt>
                <c:pt idx="9">
                  <c:v>1616495.087924102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Custom/Rental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LeasePurch1!$J$124:$J$139</c:f>
              <c:numCache>
                <c:ptCount val="1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Years in Analysis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35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5"/>
          <c:y val="0.9207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7</xdr:col>
      <xdr:colOff>285750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628650" y="409575"/>
        <a:ext cx="3924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38100</xdr:rowOff>
    </xdr:from>
    <xdr:to>
      <xdr:col>7</xdr:col>
      <xdr:colOff>304800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638175" y="3448050"/>
        <a:ext cx="39338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276225</xdr:colOff>
      <xdr:row>18</xdr:row>
      <xdr:rowOff>114300</xdr:rowOff>
    </xdr:to>
    <xdr:graphicFrame>
      <xdr:nvGraphicFramePr>
        <xdr:cNvPr id="3" name="Chart 3"/>
        <xdr:cNvGraphicFramePr/>
      </xdr:nvGraphicFramePr>
      <xdr:xfrm>
        <a:off x="4876800" y="409575"/>
        <a:ext cx="39338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247650</xdr:colOff>
      <xdr:row>38</xdr:row>
      <xdr:rowOff>57150</xdr:rowOff>
    </xdr:to>
    <xdr:graphicFrame>
      <xdr:nvGraphicFramePr>
        <xdr:cNvPr id="4" name="Chart 4"/>
        <xdr:cNvGraphicFramePr/>
      </xdr:nvGraphicFramePr>
      <xdr:xfrm>
        <a:off x="4876800" y="3409950"/>
        <a:ext cx="39052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iffith@montana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1"/>
  <sheetViews>
    <sheetView showGridLines="0" workbookViewId="0" topLeftCell="A1">
      <selection activeCell="H10" sqref="H10"/>
    </sheetView>
  </sheetViews>
  <sheetFormatPr defaultColWidth="9.140625" defaultRowHeight="12.75"/>
  <sheetData>
    <row r="1" ht="12.75">
      <c r="C1" t="s">
        <v>0</v>
      </c>
    </row>
    <row r="2" spans="3:5" ht="12.75">
      <c r="C2" t="s">
        <v>1</v>
      </c>
      <c r="E2" t="s">
        <v>2</v>
      </c>
    </row>
    <row r="3" spans="3:5" ht="12.75">
      <c r="C3" t="s">
        <v>3</v>
      </c>
      <c r="E3" s="88" t="s">
        <v>280</v>
      </c>
    </row>
    <row r="4" ht="12.75">
      <c r="C4" t="s">
        <v>4</v>
      </c>
    </row>
    <row r="5" ht="12.75">
      <c r="C5" t="s">
        <v>5</v>
      </c>
    </row>
    <row r="7" spans="1:7" ht="12.75">
      <c r="A7" s="59" t="s">
        <v>6</v>
      </c>
      <c r="B7" s="59"/>
      <c r="C7" s="59"/>
      <c r="D7" s="59"/>
      <c r="E7" s="59"/>
      <c r="F7" s="59"/>
      <c r="G7" s="58"/>
    </row>
    <row r="8" spans="1:7" ht="12.75">
      <c r="A8" s="59" t="s">
        <v>7</v>
      </c>
      <c r="B8" s="59"/>
      <c r="C8" s="59"/>
      <c r="D8" s="59"/>
      <c r="E8" s="59"/>
      <c r="F8" s="59"/>
      <c r="G8" s="58"/>
    </row>
    <row r="9" spans="1:7" ht="12.75">
      <c r="A9" s="59" t="s">
        <v>8</v>
      </c>
      <c r="B9" s="59"/>
      <c r="C9" s="59"/>
      <c r="D9" s="59"/>
      <c r="E9" s="59"/>
      <c r="F9" s="59"/>
      <c r="G9" s="58"/>
    </row>
    <row r="11" ht="12.75">
      <c r="A11" s="58" t="s">
        <v>9</v>
      </c>
    </row>
    <row r="12" spans="1:2" ht="12.75">
      <c r="A12" s="11" t="s">
        <v>10</v>
      </c>
      <c r="B12" t="s">
        <v>11</v>
      </c>
    </row>
    <row r="13" spans="1:2" ht="12.75">
      <c r="A13" s="11"/>
      <c r="B13" t="s">
        <v>12</v>
      </c>
    </row>
    <row r="14" spans="1:2" ht="12.75">
      <c r="A14" s="11"/>
      <c r="B14" t="s">
        <v>13</v>
      </c>
    </row>
    <row r="15" spans="1:2" ht="12.75">
      <c r="A15" s="11"/>
      <c r="B15" t="s">
        <v>14</v>
      </c>
    </row>
    <row r="16" spans="1:2" ht="12.75">
      <c r="A16" s="11"/>
      <c r="B16" t="s">
        <v>15</v>
      </c>
    </row>
    <row r="17" spans="1:2" ht="12.75">
      <c r="A17" s="11"/>
      <c r="B17" t="s">
        <v>16</v>
      </c>
    </row>
    <row r="18" spans="1:2" ht="12.75">
      <c r="A18" s="11"/>
      <c r="B18" t="s">
        <v>17</v>
      </c>
    </row>
    <row r="19" spans="1:2" ht="12.75">
      <c r="A19" s="11"/>
      <c r="B19" t="s">
        <v>18</v>
      </c>
    </row>
    <row r="20" spans="1:2" ht="12.75">
      <c r="A20" s="11"/>
      <c r="B20" t="s">
        <v>19</v>
      </c>
    </row>
    <row r="21" spans="1:3" ht="12.75">
      <c r="A21" s="11"/>
      <c r="C21" t="s">
        <v>20</v>
      </c>
    </row>
    <row r="22" spans="1:3" ht="12.75">
      <c r="A22" s="11"/>
      <c r="C22" t="s">
        <v>21</v>
      </c>
    </row>
    <row r="23" ht="12.75">
      <c r="A23" s="11"/>
    </row>
    <row r="24" spans="1:2" ht="12.75">
      <c r="A24" s="11" t="s">
        <v>22</v>
      </c>
      <c r="B24" t="s">
        <v>23</v>
      </c>
    </row>
    <row r="25" spans="1:2" ht="12.75">
      <c r="A25" s="11"/>
      <c r="B25" t="s">
        <v>24</v>
      </c>
    </row>
    <row r="26" spans="1:2" ht="12.75">
      <c r="A26" s="11"/>
      <c r="B26" t="s">
        <v>25</v>
      </c>
    </row>
    <row r="27" spans="1:2" ht="12.75">
      <c r="A27" s="11"/>
      <c r="B27" t="s">
        <v>26</v>
      </c>
    </row>
    <row r="28" ht="12.75">
      <c r="A28" s="11"/>
    </row>
    <row r="29" spans="1:2" ht="12.75">
      <c r="A29" s="11" t="s">
        <v>27</v>
      </c>
      <c r="B29" t="s">
        <v>28</v>
      </c>
    </row>
    <row r="30" spans="1:2" ht="12.75">
      <c r="A30" s="11"/>
      <c r="B30" t="s">
        <v>29</v>
      </c>
    </row>
    <row r="31" spans="1:2" ht="12.75">
      <c r="A31" s="11"/>
      <c r="B31" t="s">
        <v>30</v>
      </c>
    </row>
    <row r="32" ht="12.75">
      <c r="A32" s="11"/>
    </row>
    <row r="33" spans="1:2" ht="12.75">
      <c r="A33" s="11" t="s">
        <v>31</v>
      </c>
      <c r="B33" t="s">
        <v>32</v>
      </c>
    </row>
    <row r="34" spans="1:2" ht="12.75">
      <c r="A34" s="11"/>
      <c r="B34" t="s">
        <v>33</v>
      </c>
    </row>
    <row r="35" spans="1:2" ht="12.75">
      <c r="A35" s="11"/>
      <c r="B35" t="s">
        <v>34</v>
      </c>
    </row>
    <row r="36" spans="1:2" ht="12.75">
      <c r="A36" s="11"/>
      <c r="B36" t="s">
        <v>35</v>
      </c>
    </row>
    <row r="37" spans="1:2" ht="12.75">
      <c r="A37" s="11"/>
      <c r="B37" t="s">
        <v>36</v>
      </c>
    </row>
    <row r="38" spans="1:2" ht="12.75">
      <c r="A38" s="11"/>
      <c r="B38" t="s">
        <v>37</v>
      </c>
    </row>
    <row r="39" ht="12.75">
      <c r="A39" s="11"/>
    </row>
    <row r="40" spans="1:2" ht="12.75">
      <c r="A40" s="11" t="s">
        <v>38</v>
      </c>
      <c r="B40" t="s">
        <v>39</v>
      </c>
    </row>
    <row r="41" spans="1:2" ht="12.75">
      <c r="A41" s="11"/>
      <c r="B41" t="s">
        <v>40</v>
      </c>
    </row>
    <row r="42" spans="1:2" ht="12.75">
      <c r="A42" s="11"/>
      <c r="B42" t="s">
        <v>41</v>
      </c>
    </row>
    <row r="43" ht="12.75">
      <c r="A43" s="11"/>
    </row>
    <row r="44" spans="1:2" ht="12.75">
      <c r="A44" s="11" t="s">
        <v>42</v>
      </c>
      <c r="B44" t="s">
        <v>43</v>
      </c>
    </row>
    <row r="45" spans="1:2" ht="12.75">
      <c r="A45" s="11"/>
      <c r="B45" t="s">
        <v>44</v>
      </c>
    </row>
    <row r="46" spans="1:2" ht="12.75">
      <c r="A46" s="11"/>
      <c r="B46" t="s">
        <v>45</v>
      </c>
    </row>
    <row r="47" spans="1:2" ht="12.75">
      <c r="A47" s="11"/>
      <c r="B47" t="s">
        <v>46</v>
      </c>
    </row>
    <row r="48" spans="1:2" ht="12.75">
      <c r="A48" s="11"/>
      <c r="B48" t="s">
        <v>47</v>
      </c>
    </row>
    <row r="49" ht="12.75">
      <c r="A49" s="11"/>
    </row>
    <row r="50" spans="1:2" ht="12.75">
      <c r="A50" s="11" t="s">
        <v>48</v>
      </c>
      <c r="B50" t="s">
        <v>49</v>
      </c>
    </row>
    <row r="51" spans="1:2" ht="12.75">
      <c r="A51" s="11"/>
      <c r="B51" t="s">
        <v>50</v>
      </c>
    </row>
    <row r="52" spans="1:2" ht="12.75">
      <c r="A52" s="11"/>
      <c r="B52" t="s">
        <v>51</v>
      </c>
    </row>
    <row r="53" spans="1:2" ht="12.75">
      <c r="A53" s="11"/>
      <c r="B53" t="s">
        <v>52</v>
      </c>
    </row>
    <row r="54" spans="1:2" ht="12.75">
      <c r="A54" s="11"/>
      <c r="B54" t="s">
        <v>53</v>
      </c>
    </row>
    <row r="55" spans="1:2" ht="12.75">
      <c r="A55" s="11"/>
      <c r="B55" t="s">
        <v>54</v>
      </c>
    </row>
    <row r="56" spans="1:2" ht="12.75">
      <c r="A56" s="11"/>
      <c r="B56" t="s">
        <v>55</v>
      </c>
    </row>
    <row r="57" ht="12.75">
      <c r="A57" s="11"/>
    </row>
    <row r="58" spans="1:2" ht="12.75">
      <c r="A58" s="11" t="s">
        <v>56</v>
      </c>
      <c r="B58" t="s">
        <v>57</v>
      </c>
    </row>
    <row r="59" spans="1:2" ht="12.75">
      <c r="A59" s="11"/>
      <c r="B59" t="s">
        <v>58</v>
      </c>
    </row>
    <row r="60" spans="1:2" ht="12.75">
      <c r="A60" s="11"/>
      <c r="B60" t="s">
        <v>59</v>
      </c>
    </row>
    <row r="61" spans="1:2" ht="12.75">
      <c r="A61" s="11"/>
      <c r="B61" t="s">
        <v>60</v>
      </c>
    </row>
    <row r="62" ht="12.75">
      <c r="A62" s="11"/>
    </row>
    <row r="63" spans="1:2" ht="12.75">
      <c r="A63" s="11" t="s">
        <v>61</v>
      </c>
      <c r="B63" t="s">
        <v>62</v>
      </c>
    </row>
    <row r="64" spans="1:2" ht="12.75">
      <c r="A64" s="11"/>
      <c r="B64" t="s">
        <v>63</v>
      </c>
    </row>
    <row r="65" spans="1:2" ht="12.75">
      <c r="A65" s="11"/>
      <c r="B65" t="s">
        <v>64</v>
      </c>
    </row>
    <row r="66" spans="1:2" ht="12.75">
      <c r="A66" s="11"/>
      <c r="B66" t="s">
        <v>65</v>
      </c>
    </row>
    <row r="67" spans="1:2" ht="12.75">
      <c r="A67" s="11"/>
      <c r="B67" t="s">
        <v>66</v>
      </c>
    </row>
    <row r="68" spans="1:2" ht="12.75">
      <c r="A68" s="11"/>
      <c r="B68" t="s">
        <v>67</v>
      </c>
    </row>
    <row r="69" spans="1:2" ht="12.75">
      <c r="A69" s="11"/>
      <c r="B69" t="s">
        <v>68</v>
      </c>
    </row>
    <row r="71" ht="12.75">
      <c r="A71" s="58" t="s">
        <v>69</v>
      </c>
    </row>
    <row r="73" spans="1:2" ht="12.75">
      <c r="A73" s="11" t="s">
        <v>70</v>
      </c>
      <c r="B73" t="s">
        <v>71</v>
      </c>
    </row>
    <row r="74" spans="1:2" ht="12.75">
      <c r="A74" s="11"/>
      <c r="B74" t="s">
        <v>72</v>
      </c>
    </row>
    <row r="75" spans="1:2" ht="12.75">
      <c r="A75" s="11"/>
      <c r="B75" t="s">
        <v>73</v>
      </c>
    </row>
    <row r="76" spans="1:2" ht="12.75">
      <c r="A76" s="11"/>
      <c r="B76" t="s">
        <v>74</v>
      </c>
    </row>
    <row r="77" spans="1:2" ht="12.75">
      <c r="A77" s="11"/>
      <c r="B77" t="s">
        <v>75</v>
      </c>
    </row>
    <row r="78" spans="1:2" ht="12.75">
      <c r="A78" s="11"/>
      <c r="B78" t="s">
        <v>76</v>
      </c>
    </row>
    <row r="79" spans="1:2" ht="12.75">
      <c r="A79" s="11"/>
      <c r="B79" t="s">
        <v>77</v>
      </c>
    </row>
    <row r="80" spans="1:2" ht="12.75">
      <c r="A80" s="11"/>
      <c r="B80" t="s">
        <v>78</v>
      </c>
    </row>
    <row r="81" ht="12.75">
      <c r="A81" s="11"/>
    </row>
    <row r="82" spans="1:2" ht="12.75">
      <c r="A82" s="11" t="s">
        <v>79</v>
      </c>
      <c r="B82" t="s">
        <v>80</v>
      </c>
    </row>
    <row r="83" spans="1:2" ht="12.75">
      <c r="A83" s="11"/>
      <c r="B83" t="s">
        <v>81</v>
      </c>
    </row>
    <row r="84" spans="1:2" ht="12.75">
      <c r="A84" s="11"/>
      <c r="B84" t="s">
        <v>82</v>
      </c>
    </row>
    <row r="85" spans="1:2" ht="12.75">
      <c r="A85" s="11"/>
      <c r="B85" t="s">
        <v>83</v>
      </c>
    </row>
    <row r="86" ht="12.75">
      <c r="A86" s="11"/>
    </row>
    <row r="87" spans="1:2" ht="12.75">
      <c r="A87" s="11" t="s">
        <v>84</v>
      </c>
      <c r="B87" t="s">
        <v>85</v>
      </c>
    </row>
    <row r="88" spans="1:2" ht="12.75">
      <c r="A88" s="11"/>
      <c r="B88" t="s">
        <v>86</v>
      </c>
    </row>
    <row r="89" spans="1:2" ht="12.75">
      <c r="A89" s="11"/>
      <c r="B89" t="s">
        <v>87</v>
      </c>
    </row>
    <row r="90" ht="12.75">
      <c r="A90" s="11"/>
    </row>
    <row r="91" spans="1:2" ht="12.75">
      <c r="A91" s="11"/>
      <c r="B91" s="58" t="s">
        <v>88</v>
      </c>
    </row>
    <row r="92" spans="1:2" ht="12.75">
      <c r="A92" s="11" t="s">
        <v>89</v>
      </c>
      <c r="B92" t="s">
        <v>90</v>
      </c>
    </row>
    <row r="93" spans="1:2" ht="12.75">
      <c r="A93" s="11"/>
      <c r="B93" t="s">
        <v>91</v>
      </c>
    </row>
    <row r="94" spans="1:2" ht="12.75">
      <c r="A94" s="11"/>
      <c r="B94" t="s">
        <v>92</v>
      </c>
    </row>
    <row r="95" spans="1:2" ht="12.75">
      <c r="A95" s="11"/>
      <c r="B95" t="s">
        <v>93</v>
      </c>
    </row>
    <row r="96" spans="1:2" ht="12.75">
      <c r="A96" s="11"/>
      <c r="B96" t="s">
        <v>94</v>
      </c>
    </row>
    <row r="97" spans="1:2" ht="12.75">
      <c r="A97" s="11"/>
      <c r="B97" t="s">
        <v>95</v>
      </c>
    </row>
    <row r="98" ht="12.75">
      <c r="A98" s="11"/>
    </row>
    <row r="99" spans="1:2" ht="12.75">
      <c r="A99" s="11"/>
      <c r="B99" s="58" t="s">
        <v>96</v>
      </c>
    </row>
    <row r="100" spans="1:2" ht="12.75">
      <c r="A100" s="11" t="s">
        <v>97</v>
      </c>
      <c r="B100" t="s">
        <v>98</v>
      </c>
    </row>
    <row r="101" spans="1:2" ht="12.75">
      <c r="A101" s="11"/>
      <c r="B101" t="s">
        <v>99</v>
      </c>
    </row>
    <row r="102" spans="1:2" ht="12.75">
      <c r="A102" s="11"/>
      <c r="B102" t="s">
        <v>100</v>
      </c>
    </row>
    <row r="103" spans="1:2" ht="12.75">
      <c r="A103" s="11"/>
      <c r="B103" t="s">
        <v>101</v>
      </c>
    </row>
    <row r="104" spans="1:2" ht="12.75">
      <c r="A104" s="11"/>
      <c r="B104" t="s">
        <v>102</v>
      </c>
    </row>
    <row r="105" spans="1:2" ht="12.75">
      <c r="A105" s="11"/>
      <c r="B105" t="s">
        <v>103</v>
      </c>
    </row>
    <row r="106" spans="1:3" ht="12.75">
      <c r="A106" s="11"/>
      <c r="B106" s="58" t="s">
        <v>104</v>
      </c>
      <c r="C106" t="s">
        <v>105</v>
      </c>
    </row>
    <row r="107" spans="1:2" ht="12.75">
      <c r="A107" s="11"/>
      <c r="B107" t="s">
        <v>106</v>
      </c>
    </row>
    <row r="108" spans="1:2" ht="12.75">
      <c r="A108" s="11"/>
      <c r="B108" t="s">
        <v>107</v>
      </c>
    </row>
    <row r="109" spans="1:2" ht="12.75">
      <c r="A109" s="11"/>
      <c r="B109" t="s">
        <v>108</v>
      </c>
    </row>
    <row r="110" spans="1:2" ht="12.75">
      <c r="A110" s="11"/>
      <c r="B110" t="s">
        <v>109</v>
      </c>
    </row>
    <row r="111" spans="1:2" ht="12.75">
      <c r="A111" s="11"/>
      <c r="B111" t="s">
        <v>110</v>
      </c>
    </row>
  </sheetData>
  <sheetProtection sheet="1" objects="1" scenarios="1"/>
  <hyperlinks>
    <hyperlink ref="E3" r:id="rId1" display="griffith@montana.edu"/>
  </hyperlinks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AH180"/>
  <sheetViews>
    <sheetView showGridLines="0" tabSelected="1" zoomScale="80" zoomScaleNormal="80" workbookViewId="0" topLeftCell="A1">
      <selection activeCell="G15" sqref="G15"/>
    </sheetView>
  </sheetViews>
  <sheetFormatPr defaultColWidth="9.7109375" defaultRowHeight="12.75"/>
  <cols>
    <col min="2" max="2" width="14.57421875" style="0" customWidth="1"/>
    <col min="3" max="4" width="14.7109375" style="0" customWidth="1"/>
    <col min="5" max="5" width="18.7109375" style="0" customWidth="1"/>
    <col min="6" max="6" width="12.7109375" style="0" customWidth="1"/>
    <col min="7" max="7" width="15.7109375" style="0" customWidth="1"/>
    <col min="8" max="8" width="19.28125" style="0" customWidth="1"/>
    <col min="9" max="9" width="14.7109375" style="0" customWidth="1"/>
    <col min="10" max="10" width="13.421875" style="0" customWidth="1"/>
    <col min="11" max="11" width="15.57421875" style="0" customWidth="1"/>
    <col min="12" max="13" width="13.7109375" style="0" customWidth="1"/>
    <col min="14" max="14" width="11.57421875" style="0" customWidth="1"/>
    <col min="15" max="18" width="13.140625" style="0" customWidth="1"/>
    <col min="26" max="28" width="11.28125" style="0" customWidth="1"/>
  </cols>
  <sheetData>
    <row r="1" spans="1:34" ht="12.75">
      <c r="A1" s="62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 t="s">
        <v>112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14.25" thickBot="1" thickTop="1">
      <c r="A3" s="63"/>
      <c r="B3" s="14"/>
      <c r="C3" s="62" t="s">
        <v>113</v>
      </c>
      <c r="D3" s="63"/>
      <c r="E3" s="63"/>
      <c r="F3" s="75" t="s">
        <v>114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16.5" thickTop="1">
      <c r="A4" s="79"/>
      <c r="B4" s="73"/>
      <c r="C4" s="7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6.5" thickBot="1">
      <c r="A5" s="80" t="s">
        <v>271</v>
      </c>
      <c r="B5" s="72"/>
      <c r="C5" s="16"/>
      <c r="D5" s="16"/>
      <c r="E5" s="16"/>
      <c r="F5" s="63"/>
      <c r="G5" s="63"/>
      <c r="H5" s="63"/>
      <c r="I5" s="63"/>
      <c r="J5" s="63"/>
      <c r="K5" s="63"/>
      <c r="L5" s="63"/>
      <c r="M5" s="66" t="s">
        <v>116</v>
      </c>
      <c r="N5" s="64" t="s">
        <v>117</v>
      </c>
      <c r="O5" s="64" t="s">
        <v>118</v>
      </c>
      <c r="P5" s="64" t="s">
        <v>118</v>
      </c>
      <c r="Q5" s="64" t="s">
        <v>118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13.5" thickTop="1">
      <c r="A6" s="63"/>
      <c r="B6" s="17" t="s">
        <v>119</v>
      </c>
      <c r="C6" s="63"/>
      <c r="D6" s="63"/>
      <c r="E6" s="60" t="s">
        <v>281</v>
      </c>
      <c r="F6" s="63"/>
      <c r="G6" s="63"/>
      <c r="H6" s="63"/>
      <c r="I6" s="63"/>
      <c r="J6" s="63"/>
      <c r="K6" s="63"/>
      <c r="L6" s="63"/>
      <c r="M6" s="66" t="s">
        <v>120</v>
      </c>
      <c r="N6" s="64" t="s">
        <v>121</v>
      </c>
      <c r="O6" s="64" t="s">
        <v>121</v>
      </c>
      <c r="P6" s="64" t="s">
        <v>121</v>
      </c>
      <c r="Q6" s="64" t="s">
        <v>121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12.75">
      <c r="A7" s="63"/>
      <c r="B7" s="17" t="s">
        <v>122</v>
      </c>
      <c r="C7" s="63"/>
      <c r="D7" s="63"/>
      <c r="E7" s="42">
        <v>0.25</v>
      </c>
      <c r="F7" s="63"/>
      <c r="G7" s="63"/>
      <c r="H7" s="63"/>
      <c r="I7" s="63"/>
      <c r="J7" s="63"/>
      <c r="K7" s="63"/>
      <c r="L7" s="63"/>
      <c r="M7" s="63"/>
      <c r="N7" s="63">
        <v>1</v>
      </c>
      <c r="O7" s="63">
        <v>2</v>
      </c>
      <c r="P7" s="63">
        <v>3</v>
      </c>
      <c r="Q7" s="63">
        <v>4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ht="12.75">
      <c r="A8" s="63"/>
      <c r="B8" s="17" t="s">
        <v>123</v>
      </c>
      <c r="C8" s="63"/>
      <c r="D8" s="63"/>
      <c r="E8" s="42">
        <v>0.035</v>
      </c>
      <c r="F8" s="63"/>
      <c r="G8" s="63"/>
      <c r="H8" s="63"/>
      <c r="I8" s="63"/>
      <c r="J8" s="63"/>
      <c r="K8" s="63"/>
      <c r="L8" s="63"/>
      <c r="M8" s="1">
        <v>1</v>
      </c>
      <c r="N8" s="2">
        <v>1</v>
      </c>
      <c r="O8" s="2">
        <v>1</v>
      </c>
      <c r="P8" s="2">
        <v>1</v>
      </c>
      <c r="Q8" s="2">
        <v>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12.75">
      <c r="A9" s="63"/>
      <c r="B9" s="17" t="s">
        <v>124</v>
      </c>
      <c r="C9" s="63"/>
      <c r="D9" s="63"/>
      <c r="E9" s="43">
        <v>0</v>
      </c>
      <c r="F9" s="63"/>
      <c r="G9" s="62" t="s">
        <v>125</v>
      </c>
      <c r="H9" s="63"/>
      <c r="I9" s="63"/>
      <c r="J9" s="63"/>
      <c r="K9" s="63"/>
      <c r="L9" s="63"/>
      <c r="M9" s="1">
        <v>2</v>
      </c>
      <c r="N9" s="2">
        <v>0.625</v>
      </c>
      <c r="O9" s="2">
        <v>0.566</v>
      </c>
      <c r="P9" s="2">
        <v>0.531</v>
      </c>
      <c r="Q9" s="2">
        <v>0.496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 ht="12.75">
      <c r="A10" s="63"/>
      <c r="B10" s="17" t="s">
        <v>126</v>
      </c>
      <c r="C10" s="63"/>
      <c r="D10" s="63"/>
      <c r="E10" s="43">
        <v>0</v>
      </c>
      <c r="F10" s="63"/>
      <c r="G10" s="62" t="s">
        <v>127</v>
      </c>
      <c r="H10" s="63"/>
      <c r="I10" s="63"/>
      <c r="J10" s="63"/>
      <c r="K10" s="63"/>
      <c r="L10" s="63"/>
      <c r="M10" s="1">
        <v>3</v>
      </c>
      <c r="N10" s="2">
        <v>0.575</v>
      </c>
      <c r="O10" s="2">
        <v>0.501</v>
      </c>
      <c r="P10" s="2">
        <v>0.47</v>
      </c>
      <c r="Q10" s="2">
        <v>0.439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ht="12.75">
      <c r="A11" s="63"/>
      <c r="B11" s="17" t="s">
        <v>128</v>
      </c>
      <c r="C11" s="63"/>
      <c r="D11" s="63"/>
      <c r="E11" s="43">
        <v>0</v>
      </c>
      <c r="F11" s="63"/>
      <c r="G11" s="62" t="s">
        <v>129</v>
      </c>
      <c r="H11" s="63"/>
      <c r="I11" s="63"/>
      <c r="J11" s="63"/>
      <c r="K11" s="63"/>
      <c r="L11" s="63"/>
      <c r="M11" s="1">
        <v>4</v>
      </c>
      <c r="N11" s="2">
        <v>0.528</v>
      </c>
      <c r="O11" s="2">
        <v>0.444</v>
      </c>
      <c r="P11" s="2">
        <v>0.416</v>
      </c>
      <c r="Q11" s="2">
        <v>0.388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ht="12.75">
      <c r="A12" s="63"/>
      <c r="B12" s="17" t="s">
        <v>130</v>
      </c>
      <c r="C12" s="63"/>
      <c r="D12" s="63"/>
      <c r="E12" s="39">
        <v>1</v>
      </c>
      <c r="F12" s="63"/>
      <c r="G12" s="62" t="s">
        <v>131</v>
      </c>
      <c r="H12" s="63"/>
      <c r="I12" s="63"/>
      <c r="J12" s="63"/>
      <c r="K12" s="63"/>
      <c r="L12" s="63"/>
      <c r="M12" s="1">
        <v>5</v>
      </c>
      <c r="N12" s="2">
        <v>0.487</v>
      </c>
      <c r="O12" s="2">
        <v>0.393</v>
      </c>
      <c r="P12" s="2">
        <v>0.368</v>
      </c>
      <c r="Q12" s="2">
        <v>0.344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ht="12.75">
      <c r="A13" s="63"/>
      <c r="B13" s="17" t="s">
        <v>132</v>
      </c>
      <c r="C13" s="63"/>
      <c r="D13" s="63"/>
      <c r="E13" s="39">
        <v>1</v>
      </c>
      <c r="F13" s="63"/>
      <c r="G13" s="3">
        <f ca="1">NOW()</f>
        <v>38348.4459875</v>
      </c>
      <c r="H13" s="63"/>
      <c r="I13" s="63"/>
      <c r="J13" s="63"/>
      <c r="K13" s="63"/>
      <c r="L13" s="63"/>
      <c r="M13" s="1">
        <v>6</v>
      </c>
      <c r="N13" s="2">
        <v>0.448</v>
      </c>
      <c r="O13" s="2">
        <v>0.347</v>
      </c>
      <c r="P13" s="2">
        <v>0.326</v>
      </c>
      <c r="Q13" s="2">
        <v>0.304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12.75">
      <c r="A14" s="63"/>
      <c r="B14" s="17" t="s">
        <v>133</v>
      </c>
      <c r="C14" s="63"/>
      <c r="D14" s="63"/>
      <c r="E14" s="39">
        <v>5</v>
      </c>
      <c r="F14" s="63"/>
      <c r="G14" s="63"/>
      <c r="H14" s="63"/>
      <c r="I14" s="63"/>
      <c r="J14" s="63"/>
      <c r="K14" s="63"/>
      <c r="L14" s="63"/>
      <c r="M14" s="1">
        <v>7</v>
      </c>
      <c r="N14" s="2">
        <v>0.412</v>
      </c>
      <c r="O14" s="2">
        <v>0.307</v>
      </c>
      <c r="P14" s="2">
        <v>0.288</v>
      </c>
      <c r="Q14" s="2">
        <v>0.269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ht="12.75">
      <c r="A15" s="63"/>
      <c r="B15" s="17" t="s">
        <v>134</v>
      </c>
      <c r="C15" s="63"/>
      <c r="D15" s="63"/>
      <c r="E15" s="42">
        <v>0</v>
      </c>
      <c r="F15" s="63"/>
      <c r="G15" s="63"/>
      <c r="H15" s="63"/>
      <c r="I15" s="63"/>
      <c r="J15" s="63"/>
      <c r="K15" s="63"/>
      <c r="L15" s="63"/>
      <c r="M15" s="1">
        <v>8</v>
      </c>
      <c r="N15" s="2">
        <v>0.379</v>
      </c>
      <c r="O15" s="2">
        <v>0.272</v>
      </c>
      <c r="P15" s="2">
        <v>0.255</v>
      </c>
      <c r="Q15" s="2">
        <v>0.238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12.75">
      <c r="A16" s="63"/>
      <c r="B16" s="17" t="s">
        <v>135</v>
      </c>
      <c r="C16" s="63"/>
      <c r="D16" s="63"/>
      <c r="E16" s="43">
        <v>1731840</v>
      </c>
      <c r="F16" s="63"/>
      <c r="G16" s="63"/>
      <c r="H16" s="63"/>
      <c r="I16" s="63"/>
      <c r="J16" s="63"/>
      <c r="K16" s="63"/>
      <c r="L16" s="63"/>
      <c r="M16" s="1">
        <v>9</v>
      </c>
      <c r="N16" s="2">
        <v>0.348</v>
      </c>
      <c r="O16" s="2">
        <v>0.241</v>
      </c>
      <c r="P16" s="2">
        <v>0.226</v>
      </c>
      <c r="Q16" s="2">
        <v>0.211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ht="13.5" thickBot="1">
      <c r="A17" s="63"/>
      <c r="B17" s="18" t="s">
        <v>136</v>
      </c>
      <c r="C17" s="16"/>
      <c r="D17" s="16"/>
      <c r="E17" s="44">
        <v>0.025</v>
      </c>
      <c r="F17" s="63"/>
      <c r="G17" s="63"/>
      <c r="H17" s="63"/>
      <c r="I17" s="63"/>
      <c r="J17" s="63"/>
      <c r="K17" s="63"/>
      <c r="L17" s="63"/>
      <c r="M17" s="1">
        <v>10</v>
      </c>
      <c r="N17" s="2">
        <v>0.3211</v>
      </c>
      <c r="O17" s="2">
        <v>0.213</v>
      </c>
      <c r="P17" s="2">
        <v>0.2</v>
      </c>
      <c r="Q17" s="2">
        <v>0.186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14.25" thickBot="1" thickTop="1">
      <c r="A18" s="63"/>
      <c r="B18" s="15" t="s">
        <v>137</v>
      </c>
      <c r="C18" s="16"/>
      <c r="D18" s="16"/>
      <c r="E18" s="16"/>
      <c r="F18" s="63"/>
      <c r="G18" s="63"/>
      <c r="H18" s="63"/>
      <c r="I18" s="63"/>
      <c r="J18" s="63"/>
      <c r="K18" s="63"/>
      <c r="L18" s="63"/>
      <c r="M18" s="1">
        <v>11</v>
      </c>
      <c r="N18" s="2">
        <v>0.294</v>
      </c>
      <c r="O18" s="2">
        <v>0.189</v>
      </c>
      <c r="P18" s="2">
        <v>0.177</v>
      </c>
      <c r="Q18" s="2">
        <v>0.165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ht="13.5" thickTop="1">
      <c r="A19" s="63"/>
      <c r="B19" s="17" t="s">
        <v>138</v>
      </c>
      <c r="C19" s="63"/>
      <c r="D19" s="64" t="s">
        <v>139</v>
      </c>
      <c r="E19" s="36">
        <v>2735000</v>
      </c>
      <c r="F19" s="63"/>
      <c r="G19" s="63"/>
      <c r="H19" s="63"/>
      <c r="I19" s="63"/>
      <c r="J19" s="63"/>
      <c r="K19" s="63"/>
      <c r="L19" s="63"/>
      <c r="M19" s="1">
        <v>12</v>
      </c>
      <c r="N19" s="2">
        <v>0.27</v>
      </c>
      <c r="O19" s="2">
        <v>0.167</v>
      </c>
      <c r="P19" s="2">
        <v>0.156</v>
      </c>
      <c r="Q19" s="2">
        <v>0.146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ht="13.5" thickBot="1">
      <c r="A20" s="63"/>
      <c r="B20" s="18" t="s">
        <v>140</v>
      </c>
      <c r="C20" s="16"/>
      <c r="D20" s="19" t="s">
        <v>139</v>
      </c>
      <c r="E20" s="41">
        <v>0</v>
      </c>
      <c r="F20" s="63"/>
      <c r="G20" s="63"/>
      <c r="H20" s="63"/>
      <c r="I20" s="63"/>
      <c r="J20" s="63"/>
      <c r="K20" s="63"/>
      <c r="L20" s="63"/>
      <c r="M20" s="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ht="14.25" thickBot="1" thickTop="1">
      <c r="A21" s="63"/>
      <c r="B21" s="20" t="s">
        <v>141</v>
      </c>
      <c r="C21" s="21"/>
      <c r="D21" s="21"/>
      <c r="E21" s="6">
        <f>E19-E20</f>
        <v>2735000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ht="13.5" thickTop="1">
      <c r="A22" s="63"/>
      <c r="B22" s="17" t="s">
        <v>142</v>
      </c>
      <c r="C22" s="63"/>
      <c r="D22" s="63"/>
      <c r="E22" s="38">
        <v>0.1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ht="12.75">
      <c r="A23" s="63"/>
      <c r="B23" s="17" t="s">
        <v>143</v>
      </c>
      <c r="C23" s="63"/>
      <c r="D23" s="64" t="s">
        <v>144</v>
      </c>
      <c r="E23" s="39">
        <v>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ht="13.5" thickBot="1">
      <c r="A24" s="63"/>
      <c r="B24" s="18" t="s">
        <v>145</v>
      </c>
      <c r="C24" s="16"/>
      <c r="D24" s="19" t="s">
        <v>144</v>
      </c>
      <c r="E24" s="40">
        <v>10</v>
      </c>
      <c r="F24" s="63" t="s">
        <v>146</v>
      </c>
      <c r="G24" s="63"/>
      <c r="H24" s="63"/>
      <c r="I24" s="63"/>
      <c r="J24" s="63"/>
      <c r="K24" s="63"/>
      <c r="L24" s="63"/>
      <c r="M24" s="62" t="s">
        <v>147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4.25" thickBot="1" thickTop="1">
      <c r="A25" s="63"/>
      <c r="B25" s="62" t="s">
        <v>148</v>
      </c>
      <c r="C25" s="63"/>
      <c r="D25" s="63"/>
      <c r="E25" s="6">
        <f>PMT(E22,E23,-E20)</f>
        <v>0</v>
      </c>
      <c r="F25" s="63"/>
      <c r="G25" s="63"/>
      <c r="H25" s="63"/>
      <c r="I25" s="63"/>
      <c r="J25" s="65"/>
      <c r="K25" s="63"/>
      <c r="L25" s="63"/>
      <c r="M25" s="16"/>
      <c r="N25" s="22" t="s">
        <v>149</v>
      </c>
      <c r="O25" s="16"/>
      <c r="P25" s="16"/>
      <c r="Q25" s="16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ht="13.5" thickBot="1">
      <c r="A26" s="63"/>
      <c r="B26" s="63"/>
      <c r="C26" s="63"/>
      <c r="D26" s="63"/>
      <c r="E26" s="63"/>
      <c r="F26" s="63"/>
      <c r="G26" s="63"/>
      <c r="H26" s="63"/>
      <c r="I26" s="63"/>
      <c r="J26" s="65"/>
      <c r="K26" s="63"/>
      <c r="L26" s="63"/>
      <c r="M26" s="23" t="s">
        <v>120</v>
      </c>
      <c r="N26" s="23" t="s">
        <v>150</v>
      </c>
      <c r="O26" s="23" t="s">
        <v>151</v>
      </c>
      <c r="P26" s="23" t="s">
        <v>152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ht="13.5" thickTop="1">
      <c r="A27" s="63"/>
      <c r="B27" s="62" t="s">
        <v>153</v>
      </c>
      <c r="C27" s="63"/>
      <c r="D27" s="64" t="s">
        <v>139</v>
      </c>
      <c r="E27" s="36">
        <v>0</v>
      </c>
      <c r="F27" s="63"/>
      <c r="G27" s="63"/>
      <c r="H27" s="63"/>
      <c r="I27" s="63"/>
      <c r="J27" s="65"/>
      <c r="K27" s="63"/>
      <c r="L27" s="63"/>
      <c r="M27" s="24">
        <v>0</v>
      </c>
      <c r="N27" s="24">
        <v>3</v>
      </c>
      <c r="O27" s="24">
        <v>5</v>
      </c>
      <c r="P27" s="24">
        <v>7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ht="13.5" thickBot="1">
      <c r="A28" s="63"/>
      <c r="B28" s="62" t="s">
        <v>154</v>
      </c>
      <c r="C28" s="63"/>
      <c r="D28" s="63"/>
      <c r="E28" s="37">
        <v>0</v>
      </c>
      <c r="F28" s="63"/>
      <c r="G28" s="63"/>
      <c r="H28" s="63"/>
      <c r="I28" s="63"/>
      <c r="J28" s="65"/>
      <c r="K28" s="63"/>
      <c r="L28" s="63"/>
      <c r="M28" s="1">
        <v>1</v>
      </c>
      <c r="N28" s="77">
        <v>0.25</v>
      </c>
      <c r="O28" s="77">
        <v>0.15</v>
      </c>
      <c r="P28" s="77">
        <v>0.1071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ht="13.5" thickTop="1">
      <c r="A29" s="63"/>
      <c r="B29" s="62" t="s">
        <v>155</v>
      </c>
      <c r="C29" s="63"/>
      <c r="D29" s="63"/>
      <c r="E29" s="6">
        <f>IF(E12=1,(E19-E27)*E28,IF(E12=2,(E20+E21+E10-E27)*E28,0))</f>
        <v>0</v>
      </c>
      <c r="F29" s="63"/>
      <c r="G29" s="63"/>
      <c r="H29" s="63"/>
      <c r="I29" s="63"/>
      <c r="J29" s="65"/>
      <c r="K29" s="63"/>
      <c r="L29" s="63"/>
      <c r="M29" s="1">
        <v>2</v>
      </c>
      <c r="N29" s="77">
        <v>0.375</v>
      </c>
      <c r="O29" s="77">
        <v>0.255</v>
      </c>
      <c r="P29" s="77">
        <v>0.1913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ht="12.75">
      <c r="A30" s="63"/>
      <c r="B30" s="62" t="s">
        <v>156</v>
      </c>
      <c r="C30" s="63"/>
      <c r="D30" s="63"/>
      <c r="E30" s="6">
        <f>IF(E12=1,E19-E29/2-E27,IF(E12=2,E20+E21+E10-E29/2-E27,0))</f>
        <v>2735000</v>
      </c>
      <c r="F30" s="63"/>
      <c r="G30" s="63"/>
      <c r="H30" s="63"/>
      <c r="I30" s="63"/>
      <c r="J30" s="65"/>
      <c r="K30" s="63"/>
      <c r="L30" s="63"/>
      <c r="M30" s="1">
        <v>3</v>
      </c>
      <c r="N30" s="77">
        <v>0.25</v>
      </c>
      <c r="O30" s="77">
        <v>0.1785</v>
      </c>
      <c r="P30" s="77">
        <v>0.1503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 ht="12.75">
      <c r="A31" s="63"/>
      <c r="B31" s="62" t="s">
        <v>157</v>
      </c>
      <c r="C31" s="63"/>
      <c r="D31" s="63"/>
      <c r="E31" s="6">
        <f>Y33</f>
        <v>807875.6471651114</v>
      </c>
      <c r="F31" s="63"/>
      <c r="G31" s="63"/>
      <c r="H31" s="63"/>
      <c r="I31" s="63"/>
      <c r="J31" s="63"/>
      <c r="K31" s="63"/>
      <c r="L31" s="63"/>
      <c r="M31" s="1">
        <v>4</v>
      </c>
      <c r="N31" s="77">
        <v>0.125</v>
      </c>
      <c r="O31" s="77">
        <v>0.1666</v>
      </c>
      <c r="P31" s="77">
        <v>0.1225</v>
      </c>
      <c r="Q31" s="63"/>
      <c r="R31" s="63"/>
      <c r="S31" s="63"/>
      <c r="T31" s="63"/>
      <c r="U31" s="63"/>
      <c r="V31" s="63"/>
      <c r="W31" s="63"/>
      <c r="X31" s="63"/>
      <c r="Y31" s="6">
        <f>IF($E$13=1,0.68*0.92^$J$30,IF($E$13=2,0.56*0.885^$J$30,IF($E$13=3,0.6*0.885^$J$30,IF($E$13=4,0.64*0.885^$J$30,0))))*$E$19</f>
        <v>1859800.0000000002</v>
      </c>
      <c r="Z31" s="63"/>
      <c r="AA31" s="63"/>
      <c r="AB31" s="63"/>
      <c r="AC31" s="63"/>
      <c r="AD31" s="63"/>
      <c r="AE31" s="63"/>
      <c r="AF31" s="63"/>
      <c r="AG31" s="63"/>
      <c r="AH31" s="63"/>
    </row>
    <row r="32" spans="1:34" ht="12.75">
      <c r="A32" s="63"/>
      <c r="B32" s="63"/>
      <c r="C32" s="63"/>
      <c r="D32" s="63"/>
      <c r="E32" s="63"/>
      <c r="F32" s="63"/>
      <c r="G32" s="63"/>
      <c r="H32" s="63"/>
      <c r="I32" s="63"/>
      <c r="J32" s="6"/>
      <c r="K32" s="63"/>
      <c r="L32" s="63"/>
      <c r="M32" s="1">
        <v>5</v>
      </c>
      <c r="N32" s="77"/>
      <c r="O32" s="77">
        <v>0.1666</v>
      </c>
      <c r="P32" s="77">
        <v>0.1225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ht="12.75">
      <c r="A33" s="63"/>
      <c r="B33" s="62" t="s">
        <v>158</v>
      </c>
      <c r="C33" s="63"/>
      <c r="D33" s="63"/>
      <c r="E33" s="4">
        <f>E8*(1-E7)</f>
        <v>0.026250000000000002</v>
      </c>
      <c r="F33" s="63"/>
      <c r="G33" s="63"/>
      <c r="H33" s="63"/>
      <c r="I33" s="63"/>
      <c r="J33" s="63"/>
      <c r="K33" s="63"/>
      <c r="L33" s="63"/>
      <c r="M33" s="1">
        <v>6</v>
      </c>
      <c r="N33" s="77"/>
      <c r="O33" s="77">
        <v>0.0833</v>
      </c>
      <c r="P33" s="77">
        <v>0.1225</v>
      </c>
      <c r="Q33" s="63"/>
      <c r="R33" s="63"/>
      <c r="S33" s="63"/>
      <c r="T33" s="63"/>
      <c r="U33" s="63"/>
      <c r="V33" s="63"/>
      <c r="W33" s="63"/>
      <c r="X33" s="63"/>
      <c r="Y33" s="6">
        <f>IF($E$13=1,0.68*0.92^E24,IF($E$13=2,0.56*0.885^E24,IF($E$13=3,0.6*0.885^E24,IF($E$13=4,0.64*0.885^E24,0))))*$E$19</f>
        <v>807875.6471651114</v>
      </c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34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">
        <v>7</v>
      </c>
      <c r="N34" s="77"/>
      <c r="O34" s="77"/>
      <c r="P34" s="77">
        <v>0.1225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</row>
    <row r="35" spans="1:34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">
        <v>8</v>
      </c>
      <c r="N35" s="77"/>
      <c r="O35" s="77"/>
      <c r="P35" s="77">
        <v>0.0613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ht="15.75">
      <c r="A36" s="25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 ht="12.75">
      <c r="A37" s="63"/>
      <c r="B37" s="63"/>
      <c r="C37" s="63"/>
      <c r="D37" s="66" t="s">
        <v>160</v>
      </c>
      <c r="E37" s="63"/>
      <c r="F37" s="63"/>
      <c r="G37" s="63"/>
      <c r="H37" s="63"/>
      <c r="I37" s="12" t="s">
        <v>161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4" ht="12.75">
      <c r="A38" s="63"/>
      <c r="B38" s="62" t="s">
        <v>141</v>
      </c>
      <c r="C38" s="63"/>
      <c r="D38" s="66" t="s">
        <v>162</v>
      </c>
      <c r="E38" s="12" t="s">
        <v>163</v>
      </c>
      <c r="F38" s="66" t="s">
        <v>164</v>
      </c>
      <c r="G38" s="62" t="s">
        <v>165</v>
      </c>
      <c r="H38" s="12" t="s">
        <v>166</v>
      </c>
      <c r="I38" s="12" t="s">
        <v>167</v>
      </c>
      <c r="J38" s="63"/>
      <c r="K38" s="66" t="s">
        <v>168</v>
      </c>
      <c r="L38" s="66"/>
      <c r="M38" s="63"/>
      <c r="N38" s="62" t="s">
        <v>169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 ht="12.75">
      <c r="A39" s="66" t="s">
        <v>120</v>
      </c>
      <c r="B39" s="66" t="s">
        <v>170</v>
      </c>
      <c r="C39" s="66" t="s">
        <v>171</v>
      </c>
      <c r="D39" s="12" t="s">
        <v>172</v>
      </c>
      <c r="E39" s="12" t="s">
        <v>173</v>
      </c>
      <c r="F39" s="66" t="s">
        <v>174</v>
      </c>
      <c r="G39" s="66" t="s">
        <v>175</v>
      </c>
      <c r="H39" s="12" t="s">
        <v>176</v>
      </c>
      <c r="I39" s="12" t="s">
        <v>177</v>
      </c>
      <c r="J39" s="66" t="s">
        <v>178</v>
      </c>
      <c r="K39" s="66" t="s">
        <v>179</v>
      </c>
      <c r="L39" s="66" t="s">
        <v>163</v>
      </c>
      <c r="M39" s="63"/>
      <c r="N39" s="62" t="s">
        <v>180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3.5" thickBot="1">
      <c r="A40" s="16"/>
      <c r="B40" s="23" t="s">
        <v>181</v>
      </c>
      <c r="C40" s="23" t="s">
        <v>182</v>
      </c>
      <c r="D40" s="23" t="s">
        <v>183</v>
      </c>
      <c r="E40" s="23" t="s">
        <v>184</v>
      </c>
      <c r="F40" s="23" t="s">
        <v>185</v>
      </c>
      <c r="G40" s="23" t="s">
        <v>186</v>
      </c>
      <c r="H40" s="23" t="s">
        <v>187</v>
      </c>
      <c r="I40" s="26">
        <f>E33</f>
        <v>0.026250000000000002</v>
      </c>
      <c r="J40" s="23" t="s">
        <v>188</v>
      </c>
      <c r="K40" s="67" t="s">
        <v>188</v>
      </c>
      <c r="L40" s="67" t="s">
        <v>189</v>
      </c>
      <c r="M40" s="63"/>
      <c r="N40" s="62" t="s">
        <v>190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">
        <f>-E15*(E9-E11)-(E9-E10)+E27</f>
        <v>0</v>
      </c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>
      <c r="A41" s="1">
        <v>0</v>
      </c>
      <c r="B41" s="83">
        <f>E21</f>
        <v>2735000</v>
      </c>
      <c r="C41" s="84"/>
      <c r="D41" s="83">
        <f>E$30*HLOOKUP(+E$14,M$27:P$35,A41+1+1)+E27</f>
        <v>410250</v>
      </c>
      <c r="E41" s="83">
        <f>E16</f>
        <v>1731840</v>
      </c>
      <c r="F41" s="84"/>
      <c r="G41" s="83">
        <f>-(D41+E41+Y40)*E7</f>
        <v>-535522.5</v>
      </c>
      <c r="H41" s="83">
        <f>B41+E41+G41</f>
        <v>3931317.5</v>
      </c>
      <c r="I41" s="8">
        <f aca="true" t="shared" si="0" ref="I41:I56">1/(1+(E$8*(1-E$7)))^A41</f>
        <v>1</v>
      </c>
      <c r="J41" s="83">
        <f aca="true" t="shared" si="1" ref="J41:J56">H41*I41</f>
        <v>3931317.5</v>
      </c>
      <c r="K41" s="98">
        <f>J41</f>
        <v>3931317.5</v>
      </c>
      <c r="L41" s="84"/>
      <c r="M41" s="63"/>
      <c r="N41" s="62" t="s">
        <v>191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12.75">
      <c r="A42" s="1">
        <f>A41+1</f>
        <v>1</v>
      </c>
      <c r="B42" s="83">
        <f>-IF(A42&gt;$E$23,0,PPMT($E$22,A42,$E$23,$E$20))</f>
        <v>0</v>
      </c>
      <c r="C42" s="83">
        <f>-IF(A42&gt;$E$23,0,IPMT($E$22,A42,$E$23,$E$20))</f>
        <v>0</v>
      </c>
      <c r="D42" s="83">
        <f aca="true" t="shared" si="2" ref="D42:D48">E$30*HLOOKUP(+E$14,M$27:P$35,A42+1+1)</f>
        <v>697425</v>
      </c>
      <c r="E42" s="83">
        <f>IF(A42=$E$24,0,E41*(1+E$17))</f>
        <v>1775135.9999999998</v>
      </c>
      <c r="F42" s="83">
        <f>-E29</f>
        <v>0</v>
      </c>
      <c r="G42" s="83">
        <f aca="true" t="shared" si="3" ref="G42:G56">-(+C42+D42+E42+F42)*$E$7</f>
        <v>-618140.25</v>
      </c>
      <c r="H42" s="83">
        <f aca="true" t="shared" si="4" ref="H42:H56">(B42+C42+E42+F42+G42)</f>
        <v>1156995.7499999998</v>
      </c>
      <c r="I42" s="8">
        <f t="shared" si="0"/>
        <v>0.9744214372716199</v>
      </c>
      <c r="J42" s="83">
        <f t="shared" si="1"/>
        <v>1127401.4616321556</v>
      </c>
      <c r="K42" s="98">
        <f>K41+J42</f>
        <v>5058718.961632156</v>
      </c>
      <c r="L42" s="84"/>
      <c r="M42" s="63"/>
      <c r="N42" s="62" t="s">
        <v>192</v>
      </c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>
        <f aca="true" t="shared" si="5" ref="Y42:Y49">PV($E$22,$E$23-A42,-$E$25)</f>
        <v>0</v>
      </c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12.75">
      <c r="A43" s="1">
        <f>A42+1</f>
        <v>2</v>
      </c>
      <c r="B43" s="83">
        <f aca="true" t="shared" si="6" ref="B43:B56">-IF(A43&gt;$E$23,0,PPMT($E$22,A43,$E$23,$E$20))</f>
        <v>0</v>
      </c>
      <c r="C43" s="83">
        <f aca="true" t="shared" si="7" ref="C43:C56">-IF(A43&gt;$E$23,0,IPMT($E$22,A43,$E$23,$E$20))</f>
        <v>0</v>
      </c>
      <c r="D43" s="83">
        <f t="shared" si="2"/>
        <v>488197.5</v>
      </c>
      <c r="E43" s="83">
        <f aca="true" t="shared" si="8" ref="E43:E56">IF(A43=$E$24,0,E42*(1+E$17))</f>
        <v>1819514.3999999997</v>
      </c>
      <c r="F43" s="83">
        <f>-IF($E$24=A43+1,$E$31-$Y$56,0)</f>
        <v>0</v>
      </c>
      <c r="G43" s="83">
        <f t="shared" si="3"/>
        <v>-576927.9749999999</v>
      </c>
      <c r="H43" s="83">
        <f t="shared" si="4"/>
        <v>1242586.4249999998</v>
      </c>
      <c r="I43" s="8">
        <f t="shared" si="0"/>
        <v>0.9494971374144894</v>
      </c>
      <c r="J43" s="83">
        <f t="shared" si="1"/>
        <v>1179832.2535276038</v>
      </c>
      <c r="K43" s="98">
        <f>IF(E43=0,0,K42+J43)</f>
        <v>6238551.21515976</v>
      </c>
      <c r="L43" s="83">
        <f>K43*($E$8/(1-(1/(1+$E$8)^(A43+1))))</f>
        <v>2226752.16584459</v>
      </c>
      <c r="M43" s="63"/>
      <c r="N43" s="62" t="s">
        <v>193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f t="shared" si="5"/>
        <v>0</v>
      </c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12.75">
      <c r="A44" s="1">
        <f aca="true" t="shared" si="9" ref="A44:A56">A43+1</f>
        <v>3</v>
      </c>
      <c r="B44" s="83">
        <f t="shared" si="6"/>
        <v>0</v>
      </c>
      <c r="C44" s="83">
        <f t="shared" si="7"/>
        <v>0</v>
      </c>
      <c r="D44" s="83">
        <f t="shared" si="2"/>
        <v>455651</v>
      </c>
      <c r="E44" s="83">
        <f t="shared" si="8"/>
        <v>1865002.2599999995</v>
      </c>
      <c r="F44" s="83">
        <f aca="true" t="shared" si="10" ref="F44:F56">-IF($E$24=A44+1,$E$31-$Y$56,0)</f>
        <v>0</v>
      </c>
      <c r="G44" s="83">
        <f t="shared" si="3"/>
        <v>-580163.315</v>
      </c>
      <c r="H44" s="83">
        <f t="shared" si="4"/>
        <v>1284838.9449999996</v>
      </c>
      <c r="I44" s="8">
        <f t="shared" si="0"/>
        <v>0.9252103653247155</v>
      </c>
      <c r="J44" s="83">
        <f t="shared" si="1"/>
        <v>1188746.3096868717</v>
      </c>
      <c r="K44" s="98">
        <f aca="true" t="shared" si="11" ref="K44:K56">IF(E44=0,0,K43+J44)</f>
        <v>7427297.524846632</v>
      </c>
      <c r="L44" s="83">
        <f aca="true" t="shared" si="12" ref="L44:L56">K44*($E$8/(1-(1/(1+$E$8)^(A44+1))))</f>
        <v>2022090.214507749</v>
      </c>
      <c r="M44" s="63"/>
      <c r="N44" s="62" t="s">
        <v>194</v>
      </c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>
        <f t="shared" si="5"/>
        <v>0</v>
      </c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4" ht="12.75">
      <c r="A45" s="1">
        <f t="shared" si="9"/>
        <v>4</v>
      </c>
      <c r="B45" s="83">
        <f t="shared" si="6"/>
        <v>0</v>
      </c>
      <c r="C45" s="83">
        <f t="shared" si="7"/>
        <v>0</v>
      </c>
      <c r="D45" s="83">
        <f t="shared" si="2"/>
        <v>455651</v>
      </c>
      <c r="E45" s="83">
        <f t="shared" si="8"/>
        <v>1911627.3164999993</v>
      </c>
      <c r="F45" s="83">
        <f t="shared" si="10"/>
        <v>0</v>
      </c>
      <c r="G45" s="83">
        <f t="shared" si="3"/>
        <v>-591819.5791249998</v>
      </c>
      <c r="H45" s="83">
        <f t="shared" si="4"/>
        <v>1319807.7373749996</v>
      </c>
      <c r="I45" s="8">
        <f t="shared" si="0"/>
        <v>0.9015448139583098</v>
      </c>
      <c r="J45" s="83">
        <f t="shared" si="1"/>
        <v>1189865.8210524817</v>
      </c>
      <c r="K45" s="98">
        <f t="shared" si="11"/>
        <v>8617163.345899114</v>
      </c>
      <c r="L45" s="83">
        <f t="shared" si="12"/>
        <v>1908541.170577383</v>
      </c>
      <c r="M45" s="63"/>
      <c r="N45" s="62" t="s">
        <v>195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>
        <f t="shared" si="5"/>
        <v>0</v>
      </c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 ht="12.75">
      <c r="A46" s="1">
        <f t="shared" si="9"/>
        <v>5</v>
      </c>
      <c r="B46" s="83">
        <f t="shared" si="6"/>
        <v>0</v>
      </c>
      <c r="C46" s="83">
        <f t="shared" si="7"/>
        <v>0</v>
      </c>
      <c r="D46" s="83">
        <f t="shared" si="2"/>
        <v>227825.5</v>
      </c>
      <c r="E46" s="83">
        <f t="shared" si="8"/>
        <v>1959417.9994124991</v>
      </c>
      <c r="F46" s="83">
        <f t="shared" si="10"/>
        <v>0</v>
      </c>
      <c r="G46" s="83">
        <f t="shared" si="3"/>
        <v>-546810.8748531248</v>
      </c>
      <c r="H46" s="83">
        <f t="shared" si="4"/>
        <v>1412607.1245593743</v>
      </c>
      <c r="I46" s="8">
        <f t="shared" si="0"/>
        <v>0.8784845933820313</v>
      </c>
      <c r="J46" s="83">
        <f t="shared" si="1"/>
        <v>1240953.5954271024</v>
      </c>
      <c r="K46" s="98">
        <f t="shared" si="11"/>
        <v>9858116.941326216</v>
      </c>
      <c r="L46" s="83">
        <f t="shared" si="12"/>
        <v>1850055.1471919145</v>
      </c>
      <c r="M46" s="63"/>
      <c r="N46" s="62" t="s">
        <v>196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>
        <f t="shared" si="5"/>
        <v>0</v>
      </c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ht="12.75">
      <c r="A47" s="1">
        <f t="shared" si="9"/>
        <v>6</v>
      </c>
      <c r="B47" s="83">
        <f t="shared" si="6"/>
        <v>0</v>
      </c>
      <c r="C47" s="83">
        <f t="shared" si="7"/>
        <v>0</v>
      </c>
      <c r="D47" s="83">
        <f t="shared" si="2"/>
        <v>0</v>
      </c>
      <c r="E47" s="83">
        <f t="shared" si="8"/>
        <v>2008403.4493978114</v>
      </c>
      <c r="F47" s="83">
        <f t="shared" si="10"/>
        <v>0</v>
      </c>
      <c r="G47" s="83">
        <f t="shared" si="3"/>
        <v>-502100.86234945286</v>
      </c>
      <c r="H47" s="83">
        <f t="shared" si="4"/>
        <v>1506302.5870483585</v>
      </c>
      <c r="I47" s="8">
        <f t="shared" si="0"/>
        <v>0.8560142201042936</v>
      </c>
      <c r="J47" s="83">
        <f t="shared" si="1"/>
        <v>1289416.4342932804</v>
      </c>
      <c r="K47" s="98">
        <f t="shared" si="11"/>
        <v>11147533.375619497</v>
      </c>
      <c r="L47" s="83">
        <f t="shared" si="12"/>
        <v>1823117.7028473434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>
        <f t="shared" si="5"/>
        <v>0</v>
      </c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12.75">
      <c r="A48" s="1">
        <f t="shared" si="9"/>
        <v>7</v>
      </c>
      <c r="B48" s="83">
        <f t="shared" si="6"/>
        <v>0</v>
      </c>
      <c r="C48" s="83">
        <f t="shared" si="7"/>
        <v>0</v>
      </c>
      <c r="D48" s="83">
        <f t="shared" si="2"/>
        <v>0</v>
      </c>
      <c r="E48" s="83">
        <f t="shared" si="8"/>
        <v>2058613.5356327565</v>
      </c>
      <c r="F48" s="83">
        <f t="shared" si="10"/>
        <v>0</v>
      </c>
      <c r="G48" s="83">
        <f t="shared" si="3"/>
        <v>-514653.38390818913</v>
      </c>
      <c r="H48" s="83">
        <f t="shared" si="4"/>
        <v>1543960.1517245674</v>
      </c>
      <c r="I48" s="8">
        <f t="shared" si="0"/>
        <v>0.8341186066789703</v>
      </c>
      <c r="J48" s="83">
        <f t="shared" si="1"/>
        <v>1287845.8905243478</v>
      </c>
      <c r="K48" s="98">
        <f t="shared" si="11"/>
        <v>12435379.266143845</v>
      </c>
      <c r="L48" s="83">
        <f t="shared" si="12"/>
        <v>1809057.2741982748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>
        <f t="shared" si="5"/>
        <v>0</v>
      </c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12.75">
      <c r="A49" s="1">
        <f t="shared" si="9"/>
        <v>8</v>
      </c>
      <c r="B49" s="83">
        <f t="shared" si="6"/>
        <v>0</v>
      </c>
      <c r="C49" s="83">
        <f t="shared" si="7"/>
        <v>0</v>
      </c>
      <c r="D49" s="46"/>
      <c r="E49" s="83">
        <f t="shared" si="8"/>
        <v>2110078.8740235753</v>
      </c>
      <c r="F49" s="83">
        <f t="shared" si="10"/>
        <v>0</v>
      </c>
      <c r="G49" s="83">
        <f t="shared" si="3"/>
        <v>-527519.7185058938</v>
      </c>
      <c r="H49" s="83">
        <f t="shared" si="4"/>
        <v>1582559.1555176815</v>
      </c>
      <c r="I49" s="8">
        <f t="shared" si="0"/>
        <v>0.8127830515751233</v>
      </c>
      <c r="J49" s="83">
        <f t="shared" si="1"/>
        <v>1286277.2597198114</v>
      </c>
      <c r="K49" s="98">
        <f t="shared" si="11"/>
        <v>13721656.525863657</v>
      </c>
      <c r="L49" s="83">
        <f t="shared" si="12"/>
        <v>1803656.9343214296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>
        <f t="shared" si="5"/>
        <v>0</v>
      </c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ht="12.75">
      <c r="A50" s="1">
        <f t="shared" si="9"/>
        <v>9</v>
      </c>
      <c r="B50" s="83">
        <f t="shared" si="6"/>
        <v>0</v>
      </c>
      <c r="C50" s="83">
        <f>-IF(A50&gt;$E$23,0,IPMT($E$22,A50,$E$23,$E$20))</f>
        <v>0</v>
      </c>
      <c r="D50" s="47"/>
      <c r="E50" s="83">
        <f t="shared" si="8"/>
        <v>2162830.8458741647</v>
      </c>
      <c r="F50" s="83">
        <f t="shared" si="10"/>
        <v>-807875.6471651114</v>
      </c>
      <c r="G50" s="83">
        <f t="shared" si="3"/>
        <v>-338738.79967726336</v>
      </c>
      <c r="H50" s="83">
        <f t="shared" si="4"/>
        <v>1016216.3990317901</v>
      </c>
      <c r="I50" s="8">
        <f t="shared" si="0"/>
        <v>0.7919932293058449</v>
      </c>
      <c r="J50" s="83">
        <f t="shared" si="1"/>
        <v>804836.5075427445</v>
      </c>
      <c r="K50" s="98">
        <f t="shared" si="11"/>
        <v>14526493.033406401</v>
      </c>
      <c r="L50" s="83">
        <f t="shared" si="12"/>
        <v>1746685.392652919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ht="12.75">
      <c r="A51" s="1">
        <f t="shared" si="9"/>
        <v>10</v>
      </c>
      <c r="B51" s="83">
        <f t="shared" si="6"/>
        <v>0</v>
      </c>
      <c r="C51" s="83">
        <f t="shared" si="7"/>
        <v>0</v>
      </c>
      <c r="D51" s="47"/>
      <c r="E51" s="83">
        <f t="shared" si="8"/>
        <v>0</v>
      </c>
      <c r="F51" s="83">
        <f t="shared" si="10"/>
        <v>0</v>
      </c>
      <c r="G51" s="83">
        <f t="shared" si="3"/>
        <v>0</v>
      </c>
      <c r="H51" s="83">
        <f t="shared" si="4"/>
        <v>0</v>
      </c>
      <c r="I51" s="8">
        <f t="shared" si="0"/>
        <v>0.7717351808095929</v>
      </c>
      <c r="J51" s="83">
        <f t="shared" si="1"/>
        <v>0</v>
      </c>
      <c r="K51" s="98">
        <f t="shared" si="11"/>
        <v>0</v>
      </c>
      <c r="L51" s="83">
        <f t="shared" si="12"/>
        <v>0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ht="12.75">
      <c r="A52" s="1">
        <f t="shared" si="9"/>
        <v>11</v>
      </c>
      <c r="B52" s="83">
        <f t="shared" si="6"/>
        <v>0</v>
      </c>
      <c r="C52" s="83">
        <f t="shared" si="7"/>
        <v>0</v>
      </c>
      <c r="D52" s="48"/>
      <c r="E52" s="83">
        <f t="shared" si="8"/>
        <v>0</v>
      </c>
      <c r="F52" s="83">
        <f t="shared" si="10"/>
        <v>0</v>
      </c>
      <c r="G52" s="83">
        <f t="shared" si="3"/>
        <v>0</v>
      </c>
      <c r="H52" s="83">
        <f t="shared" si="4"/>
        <v>0</v>
      </c>
      <c r="I52" s="8">
        <f t="shared" si="0"/>
        <v>0.751995304077557</v>
      </c>
      <c r="J52" s="83">
        <f t="shared" si="1"/>
        <v>0</v>
      </c>
      <c r="K52" s="98">
        <f t="shared" si="11"/>
        <v>0</v>
      </c>
      <c r="L52" s="83">
        <f t="shared" si="12"/>
        <v>0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ht="12.75">
      <c r="A53" s="1">
        <f t="shared" si="9"/>
        <v>12</v>
      </c>
      <c r="B53" s="83">
        <f t="shared" si="6"/>
        <v>0</v>
      </c>
      <c r="C53" s="83">
        <f t="shared" si="7"/>
        <v>0</v>
      </c>
      <c r="D53" s="48"/>
      <c r="E53" s="83">
        <f t="shared" si="8"/>
        <v>0</v>
      </c>
      <c r="F53" s="83">
        <f t="shared" si="10"/>
        <v>0</v>
      </c>
      <c r="G53" s="83">
        <f t="shared" si="3"/>
        <v>0</v>
      </c>
      <c r="H53" s="83">
        <f t="shared" si="4"/>
        <v>0</v>
      </c>
      <c r="I53" s="8">
        <f t="shared" si="0"/>
        <v>0.7327603450207618</v>
      </c>
      <c r="J53" s="83">
        <f t="shared" si="1"/>
        <v>0</v>
      </c>
      <c r="K53" s="98">
        <f t="shared" si="11"/>
        <v>0</v>
      </c>
      <c r="L53" s="83">
        <f t="shared" si="12"/>
        <v>0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ht="12.75">
      <c r="A54" s="1">
        <f t="shared" si="9"/>
        <v>13</v>
      </c>
      <c r="B54" s="83">
        <f t="shared" si="6"/>
        <v>0</v>
      </c>
      <c r="C54" s="83">
        <f t="shared" si="7"/>
        <v>0</v>
      </c>
      <c r="D54" s="48"/>
      <c r="E54" s="83">
        <f t="shared" si="8"/>
        <v>0</v>
      </c>
      <c r="F54" s="83">
        <f t="shared" si="10"/>
        <v>0</v>
      </c>
      <c r="G54" s="83">
        <f t="shared" si="3"/>
        <v>0</v>
      </c>
      <c r="H54" s="83">
        <f t="shared" si="4"/>
        <v>0</v>
      </c>
      <c r="I54" s="8">
        <f t="shared" si="0"/>
        <v>0.7140173885707789</v>
      </c>
      <c r="J54" s="83">
        <f t="shared" si="1"/>
        <v>0</v>
      </c>
      <c r="K54" s="98">
        <f t="shared" si="11"/>
        <v>0</v>
      </c>
      <c r="L54" s="83">
        <f t="shared" si="12"/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ht="12.75">
      <c r="A55" s="1">
        <f t="shared" si="9"/>
        <v>14</v>
      </c>
      <c r="B55" s="83">
        <f t="shared" si="6"/>
        <v>0</v>
      </c>
      <c r="C55" s="83">
        <f t="shared" si="7"/>
        <v>0</v>
      </c>
      <c r="D55" s="48"/>
      <c r="E55" s="83">
        <f t="shared" si="8"/>
        <v>0</v>
      </c>
      <c r="F55" s="83">
        <f t="shared" si="10"/>
        <v>0</v>
      </c>
      <c r="G55" s="83">
        <f t="shared" si="3"/>
        <v>0</v>
      </c>
      <c r="H55" s="83">
        <f t="shared" si="4"/>
        <v>0</v>
      </c>
      <c r="I55" s="8">
        <f t="shared" si="0"/>
        <v>0.695753850008067</v>
      </c>
      <c r="J55" s="83">
        <f t="shared" si="1"/>
        <v>0</v>
      </c>
      <c r="K55" s="98">
        <f t="shared" si="11"/>
        <v>0</v>
      </c>
      <c r="L55" s="83">
        <f t="shared" si="12"/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ht="13.5" thickBot="1">
      <c r="A56" s="16">
        <f t="shared" si="9"/>
        <v>15</v>
      </c>
      <c r="B56" s="85">
        <f t="shared" si="6"/>
        <v>0</v>
      </c>
      <c r="C56" s="85">
        <f t="shared" si="7"/>
        <v>0</v>
      </c>
      <c r="D56" s="49"/>
      <c r="E56" s="85">
        <f t="shared" si="8"/>
        <v>0</v>
      </c>
      <c r="F56" s="85">
        <f t="shared" si="10"/>
        <v>0</v>
      </c>
      <c r="G56" s="86">
        <f t="shared" si="3"/>
        <v>0</v>
      </c>
      <c r="H56" s="86">
        <f t="shared" si="4"/>
        <v>0</v>
      </c>
      <c r="I56" s="28">
        <f t="shared" si="0"/>
        <v>0.6779574665121236</v>
      </c>
      <c r="J56" s="86">
        <f t="shared" si="1"/>
        <v>0</v>
      </c>
      <c r="K56" s="99">
        <f t="shared" si="11"/>
        <v>0</v>
      </c>
      <c r="L56" s="85">
        <f t="shared" si="12"/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">
        <f>IF(E24&lt;5,F42/5*(5-E24),0)</f>
        <v>0</v>
      </c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ht="12.75">
      <c r="A57" s="63"/>
      <c r="B57" s="62" t="s">
        <v>197</v>
      </c>
      <c r="C57" s="63"/>
      <c r="D57" s="83">
        <f>SUM(D41:D51)</f>
        <v>2735000</v>
      </c>
      <c r="E57" s="63"/>
      <c r="F57" s="63"/>
      <c r="G57" s="63"/>
      <c r="H57" s="29" t="s">
        <v>198</v>
      </c>
      <c r="I57" s="30"/>
      <c r="J57" s="97">
        <f>-SUM(J41:J56)</f>
        <v>-14526493.033406401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ht="12.75">
      <c r="A58" s="63"/>
      <c r="B58" s="63"/>
      <c r="C58" s="63"/>
      <c r="D58" s="63"/>
      <c r="E58" s="63"/>
      <c r="F58" s="63"/>
      <c r="G58" s="63"/>
      <c r="H58" s="62"/>
      <c r="I58" s="63"/>
      <c r="J58" s="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 ht="12.75">
      <c r="A60" s="63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34" ht="12.75">
      <c r="A61" s="63"/>
      <c r="B61" s="6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1:34" ht="12.75">
      <c r="A62" s="63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1:34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34" ht="19.5">
      <c r="A64" s="31" t="s">
        <v>199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1:34" ht="13.5" thickBot="1">
      <c r="A65" s="62" t="s">
        <v>200</v>
      </c>
      <c r="B65" s="63"/>
      <c r="C65" s="63"/>
      <c r="D65" s="63"/>
      <c r="E65" s="70" t="str">
        <f>E6</f>
        <v>Combine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1:34" ht="13.5" thickTop="1">
      <c r="A66" s="62" t="s">
        <v>201</v>
      </c>
      <c r="B66" s="63"/>
      <c r="C66" s="63"/>
      <c r="D66" s="63"/>
      <c r="E66" s="36">
        <v>2735000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ht="12.75">
      <c r="A67" s="62" t="s">
        <v>202</v>
      </c>
      <c r="B67" s="63"/>
      <c r="C67" s="63"/>
      <c r="D67" s="63"/>
      <c r="E67" s="42">
        <v>0.15</v>
      </c>
      <c r="F67" s="62" t="s">
        <v>203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1:34" ht="12.75">
      <c r="A68" s="62" t="s">
        <v>204</v>
      </c>
      <c r="B68" s="63"/>
      <c r="C68" s="63"/>
      <c r="D68" s="63"/>
      <c r="E68" s="42">
        <v>0.5</v>
      </c>
      <c r="F68" s="62" t="s">
        <v>203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1:34" ht="12.75">
      <c r="A69" s="62" t="s">
        <v>205</v>
      </c>
      <c r="B69" s="63"/>
      <c r="C69" s="63"/>
      <c r="D69" s="63"/>
      <c r="E69" s="39">
        <v>5</v>
      </c>
      <c r="F69" s="62" t="s">
        <v>206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ht="13.5" thickBot="1">
      <c r="A70" s="62" t="s">
        <v>207</v>
      </c>
      <c r="B70" s="63"/>
      <c r="C70" s="63"/>
      <c r="D70" s="63"/>
      <c r="E70" s="40">
        <v>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6"/>
      <c r="Z70" s="66"/>
      <c r="AA70" s="63"/>
      <c r="AB70" s="63"/>
      <c r="AC70" s="66"/>
      <c r="AD70" s="63"/>
      <c r="AE70" s="63"/>
      <c r="AF70" s="63"/>
      <c r="AG70" s="63"/>
      <c r="AH70" s="63"/>
    </row>
    <row r="71" spans="1:34" ht="13.5" thickTop="1">
      <c r="A71" s="62" t="s">
        <v>122</v>
      </c>
      <c r="B71" s="63"/>
      <c r="C71" s="63"/>
      <c r="D71" s="63"/>
      <c r="E71" s="71">
        <f>E7</f>
        <v>0.25</v>
      </c>
      <c r="F71" s="62" t="s">
        <v>203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6"/>
      <c r="AD71" s="63"/>
      <c r="AE71" s="63"/>
      <c r="AF71" s="63"/>
      <c r="AG71" s="63"/>
      <c r="AH71" s="63"/>
    </row>
    <row r="72" spans="1:34" ht="13.5" thickBot="1">
      <c r="A72" s="62" t="s">
        <v>208</v>
      </c>
      <c r="B72" s="63"/>
      <c r="C72" s="63"/>
      <c r="D72" s="63"/>
      <c r="E72" s="71">
        <f>E8</f>
        <v>0.035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6"/>
      <c r="AD72" s="63"/>
      <c r="AE72" s="63"/>
      <c r="AF72" s="63"/>
      <c r="AG72" s="63"/>
      <c r="AH72" s="63"/>
    </row>
    <row r="73" spans="1:34" ht="13.5" thickTop="1">
      <c r="A73" s="62" t="s">
        <v>209</v>
      </c>
      <c r="B73" s="63"/>
      <c r="C73" s="63"/>
      <c r="D73" s="63"/>
      <c r="E73" s="36">
        <v>333240</v>
      </c>
      <c r="F73" s="62" t="s">
        <v>210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6"/>
      <c r="AD73" s="63"/>
      <c r="AE73" s="63"/>
      <c r="AF73" s="63"/>
      <c r="AG73" s="63"/>
      <c r="AH73" s="63"/>
    </row>
    <row r="74" spans="1:34" ht="12.75">
      <c r="A74" s="62" t="s">
        <v>211</v>
      </c>
      <c r="B74" s="63"/>
      <c r="C74" s="63"/>
      <c r="D74" s="63"/>
      <c r="E74" s="43">
        <v>1921840</v>
      </c>
      <c r="F74" s="62" t="s">
        <v>210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6"/>
      <c r="AD74" s="63"/>
      <c r="AE74" s="63"/>
      <c r="AF74" s="63"/>
      <c r="AG74" s="63"/>
      <c r="AH74" s="63"/>
    </row>
    <row r="75" spans="1:34" ht="13.5" thickBot="1">
      <c r="A75" s="62" t="s">
        <v>212</v>
      </c>
      <c r="B75" s="63"/>
      <c r="C75" s="63"/>
      <c r="D75" s="63"/>
      <c r="E75" s="44">
        <v>0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1:34" ht="13.5" thickTop="1">
      <c r="A76" s="62" t="s">
        <v>136</v>
      </c>
      <c r="B76" s="63"/>
      <c r="C76" s="63"/>
      <c r="D76" s="63"/>
      <c r="E76" s="71">
        <f>E17</f>
        <v>0.025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1:34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1:34" ht="12.75">
      <c r="A78" s="62" t="s">
        <v>213</v>
      </c>
      <c r="B78" s="63"/>
      <c r="C78" s="63"/>
      <c r="D78" s="63"/>
      <c r="E78" s="5">
        <f>PMT(E68,E69,-(E66*(1-E67)))</f>
        <v>1338659.3601895734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1:34" ht="13.5" thickBot="1">
      <c r="A79" s="62" t="s">
        <v>214</v>
      </c>
      <c r="B79" s="63"/>
      <c r="C79" s="63"/>
      <c r="D79" s="63"/>
      <c r="E79" s="5">
        <f>E66*E67</f>
        <v>410250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spans="1:34" ht="13.5" thickTop="1">
      <c r="A80" s="62" t="s">
        <v>215</v>
      </c>
      <c r="B80" s="63"/>
      <c r="C80" s="63"/>
      <c r="D80" s="63"/>
      <c r="E80" s="38">
        <v>0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 ht="13.5" thickBot="1">
      <c r="A81" s="62" t="s">
        <v>216</v>
      </c>
      <c r="B81" s="63"/>
      <c r="C81" s="63"/>
      <c r="D81" s="63"/>
      <c r="E81" s="40">
        <v>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 ht="13.5" thickTop="1">
      <c r="A82" s="62" t="s">
        <v>217</v>
      </c>
      <c r="B82" s="63"/>
      <c r="C82" s="63"/>
      <c r="D82" s="63"/>
      <c r="E82" s="5">
        <f>E79*(1-E75)</f>
        <v>410250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34" ht="15.75">
      <c r="A83" s="63"/>
      <c r="B83" s="25" t="s">
        <v>218</v>
      </c>
      <c r="C83" s="63"/>
      <c r="D83" s="63"/>
      <c r="E83" s="81">
        <f>H114</f>
        <v>-13443751.65215068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34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12" t="s">
        <v>219</v>
      </c>
      <c r="M84" s="12" t="s">
        <v>220</v>
      </c>
      <c r="N84" s="66"/>
      <c r="O84" s="66" t="s">
        <v>178</v>
      </c>
      <c r="P84" s="66" t="s">
        <v>178</v>
      </c>
      <c r="Q84" s="66"/>
      <c r="R84" s="66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34" ht="12.75">
      <c r="A85" s="66"/>
      <c r="B85" s="12"/>
      <c r="C85" s="82" t="s">
        <v>163</v>
      </c>
      <c r="D85" s="12"/>
      <c r="E85" s="12" t="s">
        <v>163</v>
      </c>
      <c r="F85" s="12" t="s">
        <v>161</v>
      </c>
      <c r="G85" s="12" t="s">
        <v>178</v>
      </c>
      <c r="H85" s="12" t="s">
        <v>163</v>
      </c>
      <c r="I85" s="12"/>
      <c r="J85" s="12"/>
      <c r="K85" s="12"/>
      <c r="L85" s="12" t="s">
        <v>221</v>
      </c>
      <c r="M85" s="12" t="s">
        <v>222</v>
      </c>
      <c r="N85" s="12" t="s">
        <v>220</v>
      </c>
      <c r="O85" s="66" t="s">
        <v>222</v>
      </c>
      <c r="P85" s="66" t="s">
        <v>222</v>
      </c>
      <c r="Q85" s="66"/>
      <c r="R85" s="66"/>
      <c r="S85" s="63"/>
      <c r="T85" s="63"/>
      <c r="U85" s="63"/>
      <c r="V85" s="63"/>
      <c r="W85" s="63"/>
      <c r="X85" s="63"/>
      <c r="Y85" s="66"/>
      <c r="Z85" s="66"/>
      <c r="AA85" s="66" t="s">
        <v>273</v>
      </c>
      <c r="AB85" s="66" t="s">
        <v>273</v>
      </c>
      <c r="AC85" s="63"/>
      <c r="AD85" s="63"/>
      <c r="AE85" s="63"/>
      <c r="AF85" s="63"/>
      <c r="AG85" s="63"/>
      <c r="AH85" s="63"/>
    </row>
    <row r="86" spans="1:34" ht="12.75">
      <c r="A86" s="66"/>
      <c r="B86" s="12" t="s">
        <v>223</v>
      </c>
      <c r="C86" s="82" t="s">
        <v>231</v>
      </c>
      <c r="D86" s="12" t="s">
        <v>219</v>
      </c>
      <c r="E86" s="12" t="s">
        <v>176</v>
      </c>
      <c r="F86" s="12" t="s">
        <v>167</v>
      </c>
      <c r="G86" s="12" t="s">
        <v>224</v>
      </c>
      <c r="H86" s="12" t="s">
        <v>225</v>
      </c>
      <c r="I86" s="12" t="s">
        <v>163</v>
      </c>
      <c r="J86" s="12" t="s">
        <v>163</v>
      </c>
      <c r="K86" s="12" t="s">
        <v>163</v>
      </c>
      <c r="L86" s="12" t="s">
        <v>226</v>
      </c>
      <c r="M86" s="12" t="s">
        <v>219</v>
      </c>
      <c r="N86" s="12" t="s">
        <v>222</v>
      </c>
      <c r="O86" s="66" t="s">
        <v>163</v>
      </c>
      <c r="P86" s="66" t="s">
        <v>227</v>
      </c>
      <c r="Q86" s="66" t="s">
        <v>228</v>
      </c>
      <c r="R86" s="66"/>
      <c r="S86" s="63"/>
      <c r="T86" s="63"/>
      <c r="U86" s="63"/>
      <c r="V86" s="63"/>
      <c r="W86" s="63"/>
      <c r="X86" s="63"/>
      <c r="Y86" s="66"/>
      <c r="Z86" s="66" t="s">
        <v>272</v>
      </c>
      <c r="AA86" s="66" t="s">
        <v>275</v>
      </c>
      <c r="AB86" s="66" t="s">
        <v>274</v>
      </c>
      <c r="AC86" s="63"/>
      <c r="AD86" s="63"/>
      <c r="AE86" s="63"/>
      <c r="AF86" s="63"/>
      <c r="AG86" s="63"/>
      <c r="AH86" s="63"/>
    </row>
    <row r="87" spans="1:34" ht="12.75">
      <c r="A87" s="12" t="s">
        <v>229</v>
      </c>
      <c r="B87" s="12" t="s">
        <v>230</v>
      </c>
      <c r="C87" s="82" t="s">
        <v>239</v>
      </c>
      <c r="D87" s="12" t="s">
        <v>232</v>
      </c>
      <c r="E87" s="12" t="s">
        <v>233</v>
      </c>
      <c r="F87" s="12" t="s">
        <v>177</v>
      </c>
      <c r="G87" s="12" t="s">
        <v>176</v>
      </c>
      <c r="H87" s="12" t="s">
        <v>234</v>
      </c>
      <c r="I87" s="12" t="s">
        <v>160</v>
      </c>
      <c r="J87" s="12" t="s">
        <v>227</v>
      </c>
      <c r="K87" s="12" t="s">
        <v>171</v>
      </c>
      <c r="L87" s="12" t="s">
        <v>235</v>
      </c>
      <c r="M87" s="12" t="s">
        <v>221</v>
      </c>
      <c r="N87" s="12" t="s">
        <v>236</v>
      </c>
      <c r="O87" s="66" t="s">
        <v>225</v>
      </c>
      <c r="P87" s="66" t="s">
        <v>237</v>
      </c>
      <c r="Q87" s="66" t="s">
        <v>238</v>
      </c>
      <c r="R87" s="66" t="s">
        <v>163</v>
      </c>
      <c r="S87" s="63"/>
      <c r="T87" s="63"/>
      <c r="U87" s="63"/>
      <c r="V87" s="63"/>
      <c r="W87" s="63"/>
      <c r="X87" s="63"/>
      <c r="Y87" s="66" t="s">
        <v>229</v>
      </c>
      <c r="Z87" s="66" t="s">
        <v>276</v>
      </c>
      <c r="AA87" s="66" t="s">
        <v>236</v>
      </c>
      <c r="AB87" s="66" t="s">
        <v>236</v>
      </c>
      <c r="AC87" s="63"/>
      <c r="AD87" s="63"/>
      <c r="AE87" s="63"/>
      <c r="AF87" s="63"/>
      <c r="AG87" s="63"/>
      <c r="AH87" s="63"/>
    </row>
    <row r="88" spans="1:34" ht="13.5" thickBot="1">
      <c r="A88" s="23" t="s">
        <v>120</v>
      </c>
      <c r="B88" s="23" t="s">
        <v>120</v>
      </c>
      <c r="C88" s="23" t="s">
        <v>279</v>
      </c>
      <c r="D88" s="23" t="s">
        <v>182</v>
      </c>
      <c r="E88" s="23" t="s">
        <v>182</v>
      </c>
      <c r="F88" s="89">
        <f>E72*(1-E71)</f>
        <v>0.026250000000000002</v>
      </c>
      <c r="G88" s="23" t="s">
        <v>240</v>
      </c>
      <c r="H88" s="23" t="s">
        <v>239</v>
      </c>
      <c r="I88" s="23" t="s">
        <v>184</v>
      </c>
      <c r="J88" s="23" t="s">
        <v>241</v>
      </c>
      <c r="K88" s="23" t="s">
        <v>182</v>
      </c>
      <c r="L88" s="23" t="s">
        <v>171</v>
      </c>
      <c r="M88" s="23" t="s">
        <v>242</v>
      </c>
      <c r="N88" s="23" t="s">
        <v>243</v>
      </c>
      <c r="O88" s="23" t="s">
        <v>234</v>
      </c>
      <c r="P88" s="23" t="s">
        <v>241</v>
      </c>
      <c r="Q88" s="54" t="s">
        <v>188</v>
      </c>
      <c r="R88" s="67" t="s">
        <v>189</v>
      </c>
      <c r="S88" s="63"/>
      <c r="T88" s="63"/>
      <c r="U88" s="63"/>
      <c r="V88" s="63"/>
      <c r="W88" s="63"/>
      <c r="X88" s="63"/>
      <c r="Y88" s="100" t="s">
        <v>120</v>
      </c>
      <c r="Z88" s="100" t="s">
        <v>177</v>
      </c>
      <c r="AA88" s="100" t="s">
        <v>277</v>
      </c>
      <c r="AB88" s="100" t="s">
        <v>278</v>
      </c>
      <c r="AC88" s="63"/>
      <c r="AD88" s="63"/>
      <c r="AE88" s="63"/>
      <c r="AF88" s="63"/>
      <c r="AG88" s="63"/>
      <c r="AH88" s="63"/>
    </row>
    <row r="89" spans="1:34" ht="12.75">
      <c r="A89" s="66">
        <v>0</v>
      </c>
      <c r="B89" s="66">
        <f aca="true" t="shared" si="13" ref="B89:B104">IF(A89&lt;E$69,0,(A89-E$69)+1)</f>
        <v>0</v>
      </c>
      <c r="C89" s="90">
        <f aca="true" t="shared" si="14" ref="C89:C101">IF(A89&gt;=$E$24,0,IF(OR(E$70=1,A89&lt;=E$69-1),E$78,IF(AND(A89=E$69,E$70=2),E$79*(1-E$80),0)))</f>
        <v>1338659.3601895734</v>
      </c>
      <c r="D89" s="90">
        <f>IF(A89&lt;=(E69-1),C89*E71,IF(AND(A89&gt;=E69,E70=2),0,C89*E71))</f>
        <v>334664.84004739334</v>
      </c>
      <c r="E89" s="90">
        <f>IF(OR(E70=1,A89&lt;=(E69-1)),C89-D89,0)</f>
        <v>1003994.52014218</v>
      </c>
      <c r="F89" s="91">
        <f aca="true" t="shared" si="15" ref="F89:F104">1/(1+(E$72*(1-E$71)))^A89</f>
        <v>1</v>
      </c>
      <c r="G89" s="90">
        <f aca="true" t="shared" si="16" ref="G89:G104">E89*F89</f>
        <v>1003994.52014218</v>
      </c>
      <c r="H89" s="90">
        <f>E73</f>
        <v>333240</v>
      </c>
      <c r="I89" s="90">
        <f aca="true" t="shared" si="17" ref="I89:I94">IF(A89&gt;=$E$24,0,IF(B89&gt;E$14+1,0,IF(AND(E$70=2,A89&gt;=E$69),E$82*HLOOKUP(E$14,M$27:P$35,(A89-E$69+1)+1),0)))</f>
        <v>0</v>
      </c>
      <c r="J89" s="90">
        <f>IF(B89&gt;$E$81,0,IF(C89&lt;&gt;$E$78,PPMT($E$68,B89,$E$81,$E$79*$E$80),0))</f>
        <v>0</v>
      </c>
      <c r="K89" s="90">
        <f>IF(B89&gt;$E$81,0,IF(C89&lt;&gt;$E$78,IPMT($E$68,B89,$E$81,$E$79*$E$80),0))</f>
        <v>0</v>
      </c>
      <c r="L89" s="90">
        <f aca="true" t="shared" si="18" ref="L89:L104">(H89+I89-K89)*E$71</f>
        <v>83310</v>
      </c>
      <c r="M89" s="90">
        <f aca="true" t="shared" si="19" ref="M89:M104">F89*L89</f>
        <v>83310</v>
      </c>
      <c r="N89" s="90">
        <f aca="true" t="shared" si="20" ref="N89:N94">IF(C89=E$79*(1-$E$80),C89*F89,0)</f>
        <v>0</v>
      </c>
      <c r="O89" s="90">
        <f aca="true" t="shared" si="21" ref="O89:O104">F89*H89</f>
        <v>333240</v>
      </c>
      <c r="P89" s="90">
        <f aca="true" t="shared" si="22" ref="P89:P104">SUM(J89:K89)*F89</f>
        <v>0</v>
      </c>
      <c r="Q89" s="92">
        <f>G89+N89+O89-P89-M89+IF($E$24-1=A89,$H$113,0)</f>
        <v>1253924.52014218</v>
      </c>
      <c r="R89" s="93"/>
      <c r="S89" s="63"/>
      <c r="T89" s="63"/>
      <c r="U89" s="63"/>
      <c r="V89" s="63"/>
      <c r="W89" s="63"/>
      <c r="X89" s="63"/>
      <c r="Y89" s="66">
        <v>0</v>
      </c>
      <c r="Z89" s="66">
        <v>0</v>
      </c>
      <c r="AA89" s="90">
        <f>E73</f>
        <v>333240</v>
      </c>
      <c r="AB89" s="90">
        <f>E74</f>
        <v>1921840</v>
      </c>
      <c r="AC89" s="63"/>
      <c r="AD89" s="63"/>
      <c r="AE89" s="63"/>
      <c r="AF89" s="63"/>
      <c r="AG89" s="63"/>
      <c r="AH89" s="63"/>
    </row>
    <row r="90" spans="1:34" ht="12.75">
      <c r="A90" s="66">
        <f aca="true" t="shared" si="23" ref="A90:A104">A89+1</f>
        <v>1</v>
      </c>
      <c r="B90" s="66">
        <f t="shared" si="13"/>
        <v>0</v>
      </c>
      <c r="C90" s="90">
        <f t="shared" si="14"/>
        <v>1338659.3601895734</v>
      </c>
      <c r="D90" s="90">
        <f>IF(A90&lt;=(E69-1),C90*E71,IF(AND(A90&gt;=E69,E70=2),0,C90*E71))</f>
        <v>334664.84004739334</v>
      </c>
      <c r="E90" s="90">
        <f>IF(OR(E70=1,A90&lt;=(E69-1)),C90-D90,0)</f>
        <v>1003994.52014218</v>
      </c>
      <c r="F90" s="91">
        <f t="shared" si="15"/>
        <v>0.9744214372716199</v>
      </c>
      <c r="G90" s="90">
        <f t="shared" si="16"/>
        <v>978313.7833297733</v>
      </c>
      <c r="H90" s="90">
        <f>IF(A90&gt;=$E$24,0,IF(AND(E$70=2,A90&lt;E$69),H89+(H89*E$76),VLOOKUP(A90,Y85:AB100,4)))</f>
        <v>341571</v>
      </c>
      <c r="I90" s="90">
        <f t="shared" si="17"/>
        <v>0</v>
      </c>
      <c r="J90" s="90">
        <f aca="true" t="shared" si="24" ref="J90:J104">IF(B90&gt;$E$81,0,IF(C90&lt;&gt;$E$78,PPMT($E$68,B90,$E$81,$E$79*$E$80),0))</f>
        <v>0</v>
      </c>
      <c r="K90" s="90">
        <f aca="true" t="shared" si="25" ref="K90:K104">IF(B90&gt;$E$81,0,IF(C90&lt;&gt;$E$78,IPMT($E$68,B90,$E$81,$E$79*$E$80),0))</f>
        <v>0</v>
      </c>
      <c r="L90" s="90">
        <f t="shared" si="18"/>
        <v>85392.75</v>
      </c>
      <c r="M90" s="90">
        <f t="shared" si="19"/>
        <v>83208.52618757612</v>
      </c>
      <c r="N90" s="90">
        <f t="shared" si="20"/>
        <v>0</v>
      </c>
      <c r="O90" s="90">
        <f t="shared" si="21"/>
        <v>332834.1047503045</v>
      </c>
      <c r="P90" s="90">
        <f t="shared" si="22"/>
        <v>0</v>
      </c>
      <c r="Q90" s="92">
        <f>IF(H90=0,0,G90+N90+O90-P90-M90+IF($E$24-1=A90,$H$113,0)+Q89)</f>
        <v>2481863.8820346817</v>
      </c>
      <c r="R90" s="93"/>
      <c r="S90" s="63"/>
      <c r="T90" s="63"/>
      <c r="U90" s="63"/>
      <c r="V90" s="63"/>
      <c r="W90" s="63"/>
      <c r="X90" s="63"/>
      <c r="Y90" s="66">
        <v>1</v>
      </c>
      <c r="Z90" s="101">
        <f>1+$E$76</f>
        <v>1.025</v>
      </c>
      <c r="AA90" s="90">
        <f>$AA$89*Z90</f>
        <v>341570.99999999994</v>
      </c>
      <c r="AB90" s="90">
        <f>$AB$89*Z90</f>
        <v>1969885.9999999998</v>
      </c>
      <c r="AC90" s="63"/>
      <c r="AD90" s="63"/>
      <c r="AE90" s="63"/>
      <c r="AF90" s="63"/>
      <c r="AG90" s="63"/>
      <c r="AH90" s="63"/>
    </row>
    <row r="91" spans="1:34" ht="12.75">
      <c r="A91" s="66">
        <f t="shared" si="23"/>
        <v>2</v>
      </c>
      <c r="B91" s="66">
        <f t="shared" si="13"/>
        <v>0</v>
      </c>
      <c r="C91" s="90">
        <f t="shared" si="14"/>
        <v>1338659.3601895734</v>
      </c>
      <c r="D91" s="90">
        <f>IF(A91&lt;=(E69-1),C91*E71,IF(AND(A91&gt;=E69,E70=2),0,C91*E71))</f>
        <v>334664.84004739334</v>
      </c>
      <c r="E91" s="90">
        <f>IF(OR(E70=1,A91&lt;=(E69-1)),C91-D91,0)</f>
        <v>1003994.52014218</v>
      </c>
      <c r="F91" s="91">
        <f t="shared" si="15"/>
        <v>0.9494971374144894</v>
      </c>
      <c r="G91" s="90">
        <f t="shared" si="16"/>
        <v>953289.9228548339</v>
      </c>
      <c r="H91" s="90">
        <f aca="true" t="shared" si="26" ref="H91:H104">IF(A91&gt;=$E$24,0,IF(AND(E$70=2,A91&lt;E$69),H90+(H90*E$76),VLOOKUP(A91,Y86:AB101,4)))</f>
        <v>350110.275</v>
      </c>
      <c r="I91" s="90">
        <f t="shared" si="17"/>
        <v>0</v>
      </c>
      <c r="J91" s="90">
        <f t="shared" si="24"/>
        <v>0</v>
      </c>
      <c r="K91" s="90">
        <f t="shared" si="25"/>
        <v>0</v>
      </c>
      <c r="L91" s="90">
        <f t="shared" si="18"/>
        <v>87527.56875</v>
      </c>
      <c r="M91" s="90">
        <f t="shared" si="19"/>
        <v>83107.17597297492</v>
      </c>
      <c r="N91" s="90">
        <f t="shared" si="20"/>
        <v>0</v>
      </c>
      <c r="O91" s="90">
        <f t="shared" si="21"/>
        <v>332428.70389189967</v>
      </c>
      <c r="P91" s="90">
        <f t="shared" si="22"/>
        <v>0</v>
      </c>
      <c r="Q91" s="92">
        <f aca="true" t="shared" si="27" ref="Q91:Q104">IF(H91=0,0,G91+N91+O91-P91-M91+IF($E$24-1=A91,$H$113,0)+Q90)</f>
        <v>3684475.3328084406</v>
      </c>
      <c r="R91" s="90">
        <f>Q91*($E$8/(1-(1/(1+$E$8)^(A91+1))))</f>
        <v>1315115.1836976719</v>
      </c>
      <c r="S91" s="63"/>
      <c r="T91" s="63"/>
      <c r="U91" s="63"/>
      <c r="V91" s="63"/>
      <c r="W91" s="63"/>
      <c r="X91" s="63"/>
      <c r="Y91" s="66">
        <v>2</v>
      </c>
      <c r="Z91" s="101">
        <f>Z90*(1+$E$76)</f>
        <v>1.050625</v>
      </c>
      <c r="AA91" s="90">
        <f>$AA$89*Z91</f>
        <v>350110.27499999997</v>
      </c>
      <c r="AB91" s="90">
        <f>$AB$89*Z91</f>
        <v>2019133.15</v>
      </c>
      <c r="AC91" s="63"/>
      <c r="AD91" s="63"/>
      <c r="AE91" s="63"/>
      <c r="AF91" s="63"/>
      <c r="AG91" s="63"/>
      <c r="AH91" s="63"/>
    </row>
    <row r="92" spans="1:34" ht="12.75">
      <c r="A92" s="66">
        <f t="shared" si="23"/>
        <v>3</v>
      </c>
      <c r="B92" s="66">
        <f t="shared" si="13"/>
        <v>0</v>
      </c>
      <c r="C92" s="90">
        <f t="shared" si="14"/>
        <v>1338659.3601895734</v>
      </c>
      <c r="D92" s="90">
        <f>IF(A92&lt;=(E69-1),C92*E71,IF(AND(A92&gt;=E69,E70=2),0,C92*E71))</f>
        <v>334664.84004739334</v>
      </c>
      <c r="E92" s="90">
        <f>IF(OR(E70=1,A92&lt;=(E69-1)),C92-D92,0)</f>
        <v>1003994.52014218</v>
      </c>
      <c r="F92" s="91">
        <f t="shared" si="15"/>
        <v>0.9252103653247155</v>
      </c>
      <c r="G92" s="90">
        <f t="shared" si="16"/>
        <v>928906.1367647587</v>
      </c>
      <c r="H92" s="90">
        <f t="shared" si="26"/>
        <v>358863.03187500004</v>
      </c>
      <c r="I92" s="90">
        <f t="shared" si="17"/>
        <v>0</v>
      </c>
      <c r="J92" s="90">
        <f t="shared" si="24"/>
        <v>0</v>
      </c>
      <c r="K92" s="90">
        <f t="shared" si="25"/>
        <v>0</v>
      </c>
      <c r="L92" s="90">
        <f t="shared" si="18"/>
        <v>89715.75796875001</v>
      </c>
      <c r="M92" s="90">
        <f t="shared" si="19"/>
        <v>83005.94920565095</v>
      </c>
      <c r="N92" s="90">
        <f t="shared" si="20"/>
        <v>0</v>
      </c>
      <c r="O92" s="90">
        <f t="shared" si="21"/>
        <v>332023.7968226038</v>
      </c>
      <c r="P92" s="90">
        <f t="shared" si="22"/>
        <v>0</v>
      </c>
      <c r="Q92" s="92">
        <f t="shared" si="27"/>
        <v>4862399.317190152</v>
      </c>
      <c r="R92" s="90">
        <f aca="true" t="shared" si="28" ref="R92:R104">Q92*($E$8/(1-(1/(1+$E$8)^(A92+1))))</f>
        <v>1323793.7547846374</v>
      </c>
      <c r="S92" s="63"/>
      <c r="T92" s="63"/>
      <c r="U92" s="63"/>
      <c r="V92" s="63"/>
      <c r="W92" s="63"/>
      <c r="X92" s="63"/>
      <c r="Y92" s="66">
        <v>3</v>
      </c>
      <c r="Z92" s="101">
        <f aca="true" t="shared" si="29" ref="Z92:Z104">Z91*(1+$E$76)</f>
        <v>1.0768906249999999</v>
      </c>
      <c r="AA92" s="90">
        <f>$AA$89*Z92</f>
        <v>358863.031875</v>
      </c>
      <c r="AB92" s="90">
        <f>$AB$89*Z92</f>
        <v>2069611.4787499998</v>
      </c>
      <c r="AC92" s="63"/>
      <c r="AD92" s="63"/>
      <c r="AE92" s="63"/>
      <c r="AF92" s="63"/>
      <c r="AG92" s="63"/>
      <c r="AH92" s="63"/>
    </row>
    <row r="93" spans="1:34" ht="12.75">
      <c r="A93" s="66">
        <f t="shared" si="23"/>
        <v>4</v>
      </c>
      <c r="B93" s="66">
        <f t="shared" si="13"/>
        <v>0</v>
      </c>
      <c r="C93" s="90">
        <f t="shared" si="14"/>
        <v>1338659.3601895734</v>
      </c>
      <c r="D93" s="90">
        <f>IF(A93&lt;=(E69-1),C93*E71,IF(AND(A93&gt;=E69,E70=2),0,C93*E71))</f>
        <v>334664.84004739334</v>
      </c>
      <c r="E93" s="90">
        <f>IF(OR(E70=1,A93&lt;=(E69-1)),C93-D93,0)</f>
        <v>1003994.52014218</v>
      </c>
      <c r="F93" s="91">
        <f t="shared" si="15"/>
        <v>0.9015448139583098</v>
      </c>
      <c r="G93" s="90">
        <f t="shared" si="16"/>
        <v>905146.0528767442</v>
      </c>
      <c r="H93" s="90">
        <f t="shared" si="26"/>
        <v>367834.60767187504</v>
      </c>
      <c r="I93" s="90">
        <f t="shared" si="17"/>
        <v>0</v>
      </c>
      <c r="J93" s="90">
        <f t="shared" si="24"/>
        <v>0</v>
      </c>
      <c r="K93" s="90">
        <f t="shared" si="25"/>
        <v>0</v>
      </c>
      <c r="L93" s="90">
        <f t="shared" si="18"/>
        <v>91958.65191796876</v>
      </c>
      <c r="M93" s="90">
        <f t="shared" si="19"/>
        <v>82904.84573524211</v>
      </c>
      <c r="N93" s="90">
        <f t="shared" si="20"/>
        <v>0</v>
      </c>
      <c r="O93" s="90">
        <f t="shared" si="21"/>
        <v>331619.38294096844</v>
      </c>
      <c r="P93" s="90">
        <f t="shared" si="22"/>
        <v>0</v>
      </c>
      <c r="Q93" s="92">
        <f t="shared" si="27"/>
        <v>6016259.907272622</v>
      </c>
      <c r="R93" s="90">
        <f t="shared" si="28"/>
        <v>1332489.5055387635</v>
      </c>
      <c r="S93" s="63"/>
      <c r="T93" s="63"/>
      <c r="U93" s="63"/>
      <c r="V93" s="63"/>
      <c r="W93" s="63"/>
      <c r="X93" s="63"/>
      <c r="Y93" s="66">
        <v>4</v>
      </c>
      <c r="Z93" s="101">
        <f t="shared" si="29"/>
        <v>1.1038128906249998</v>
      </c>
      <c r="AA93" s="90">
        <f>$AA$89*Z93</f>
        <v>367834.6076718749</v>
      </c>
      <c r="AB93" s="90">
        <f>$AB$89*Z93</f>
        <v>2121351.7657187497</v>
      </c>
      <c r="AC93" s="63"/>
      <c r="AD93" s="63"/>
      <c r="AE93" s="63"/>
      <c r="AF93" s="63"/>
      <c r="AG93" s="63"/>
      <c r="AH93" s="63"/>
    </row>
    <row r="94" spans="1:34" ht="12.75">
      <c r="A94" s="66">
        <f t="shared" si="23"/>
        <v>5</v>
      </c>
      <c r="B94" s="66">
        <f t="shared" si="13"/>
        <v>1</v>
      </c>
      <c r="C94" s="90">
        <f t="shared" si="14"/>
        <v>410250</v>
      </c>
      <c r="D94" s="90">
        <f>IF(A94&lt;=(E69-1),C94*E71,IF(AND(A94&gt;=E69,E70=2),0,C94*E71))</f>
        <v>0</v>
      </c>
      <c r="E94" s="90">
        <f>IF(OR(E70=1,A94&lt;=(E69-1)),C94-D94,0)</f>
        <v>0</v>
      </c>
      <c r="F94" s="91">
        <f t="shared" si="15"/>
        <v>0.8784845933820313</v>
      </c>
      <c r="G94" s="90">
        <f t="shared" si="16"/>
        <v>0</v>
      </c>
      <c r="H94" s="90">
        <f t="shared" si="26"/>
        <v>2174385.559861718</v>
      </c>
      <c r="I94" s="90">
        <f t="shared" si="17"/>
        <v>61537.5</v>
      </c>
      <c r="J94" s="90">
        <f t="shared" si="24"/>
        <v>0</v>
      </c>
      <c r="K94" s="90">
        <f t="shared" si="25"/>
        <v>0</v>
      </c>
      <c r="L94" s="90">
        <f t="shared" si="18"/>
        <v>558980.7649654296</v>
      </c>
      <c r="M94" s="90">
        <f t="shared" si="19"/>
        <v>491055.9900190322</v>
      </c>
      <c r="N94" s="90">
        <f t="shared" si="20"/>
        <v>360398.30443497834</v>
      </c>
      <c r="O94" s="90">
        <f t="shared" si="21"/>
        <v>1910164.214410882</v>
      </c>
      <c r="P94" s="90">
        <f>SUM(J94:K94)*F94</f>
        <v>0</v>
      </c>
      <c r="Q94" s="92">
        <f t="shared" si="27"/>
        <v>7795766.43609945</v>
      </c>
      <c r="R94" s="90">
        <f t="shared" si="28"/>
        <v>1463017.5222359938</v>
      </c>
      <c r="S94" s="63"/>
      <c r="T94" s="63"/>
      <c r="U94" s="63"/>
      <c r="V94" s="63"/>
      <c r="W94" s="63"/>
      <c r="X94" s="63"/>
      <c r="Y94" s="66">
        <v>5</v>
      </c>
      <c r="Z94" s="101">
        <f t="shared" si="29"/>
        <v>1.1314082128906247</v>
      </c>
      <c r="AA94" s="90">
        <f>$AA$89*Z94</f>
        <v>377030.4728636718</v>
      </c>
      <c r="AB94" s="90">
        <f>$AB$89*Z94</f>
        <v>2174385.559861718</v>
      </c>
      <c r="AC94" s="63"/>
      <c r="AD94" s="63"/>
      <c r="AE94" s="63"/>
      <c r="AF94" s="63"/>
      <c r="AG94" s="63"/>
      <c r="AH94" s="63"/>
    </row>
    <row r="95" spans="1:34" ht="12.75">
      <c r="A95" s="66">
        <f t="shared" si="23"/>
        <v>6</v>
      </c>
      <c r="B95" s="66">
        <f t="shared" si="13"/>
        <v>2</v>
      </c>
      <c r="C95" s="90">
        <f t="shared" si="14"/>
        <v>0</v>
      </c>
      <c r="D95" s="90">
        <f>IF(A95&lt;=(E69-1),C95*E71,IF(AND(A95&gt;=E69,E70=2),0,C95*E71))</f>
        <v>0</v>
      </c>
      <c r="E95" s="90">
        <f>IF(OR(E70=1,A95&lt;=(E69-1)),C95-D95,0)</f>
        <v>0</v>
      </c>
      <c r="F95" s="91">
        <f t="shared" si="15"/>
        <v>0.8560142201042936</v>
      </c>
      <c r="G95" s="90">
        <f t="shared" si="16"/>
        <v>0</v>
      </c>
      <c r="H95" s="90">
        <f t="shared" si="26"/>
        <v>2228745.1988582606</v>
      </c>
      <c r="I95" s="90">
        <f aca="true" t="shared" si="30" ref="I95:I104">IF(A95&gt;=$E$24,0,IF(B95&gt;E$14+1,0,IF(AND(E$70=2,A95&gt;=E$69),E$82*HLOOKUP(E$14,M$27:P$35,(A95-E$69+1)+1),0)))</f>
        <v>104613.75</v>
      </c>
      <c r="J95" s="90">
        <f t="shared" si="24"/>
        <v>0</v>
      </c>
      <c r="K95" s="90">
        <f t="shared" si="25"/>
        <v>0</v>
      </c>
      <c r="L95" s="90">
        <f t="shared" si="18"/>
        <v>583339.7372145652</v>
      </c>
      <c r="M95" s="90">
        <f t="shared" si="19"/>
        <v>499347.1102075696</v>
      </c>
      <c r="N95" s="90">
        <f aca="true" t="shared" si="31" ref="N95:N104">IF(C95=E$79*(1-$E$80),C95*F95,0)</f>
        <v>0</v>
      </c>
      <c r="O95" s="90">
        <f t="shared" si="21"/>
        <v>1907837.5832118427</v>
      </c>
      <c r="P95" s="90">
        <f t="shared" si="22"/>
        <v>0</v>
      </c>
      <c r="Q95" s="92">
        <f t="shared" si="27"/>
        <v>9204256.909103723</v>
      </c>
      <c r="R95" s="90">
        <f t="shared" si="28"/>
        <v>1505305.5368501586</v>
      </c>
      <c r="S95" s="63"/>
      <c r="T95" s="63"/>
      <c r="U95" s="63"/>
      <c r="V95" s="63"/>
      <c r="W95" s="63"/>
      <c r="X95" s="63"/>
      <c r="Y95" s="66">
        <v>6</v>
      </c>
      <c r="Z95" s="101">
        <f t="shared" si="29"/>
        <v>1.1596934182128902</v>
      </c>
      <c r="AA95" s="90">
        <f>$AA$89*Z95</f>
        <v>386456.23468526354</v>
      </c>
      <c r="AB95" s="90">
        <f>$AB$89*Z95</f>
        <v>2228745.1988582606</v>
      </c>
      <c r="AC95" s="63"/>
      <c r="AD95" s="63"/>
      <c r="AE95" s="63"/>
      <c r="AF95" s="63"/>
      <c r="AG95" s="63"/>
      <c r="AH95" s="63"/>
    </row>
    <row r="96" spans="1:34" ht="12.75">
      <c r="A96" s="66">
        <f t="shared" si="23"/>
        <v>7</v>
      </c>
      <c r="B96" s="66">
        <f t="shared" si="13"/>
        <v>3</v>
      </c>
      <c r="C96" s="90">
        <f t="shared" si="14"/>
        <v>0</v>
      </c>
      <c r="D96" s="90">
        <f>IF(A96&lt;=(E69-1),C96*E71,IF(AND(A96&gt;=E69,E70=2),0,C96*E71))</f>
        <v>0</v>
      </c>
      <c r="E96" s="90">
        <f>IF(OR(E70=1,A96&lt;=(E69-1)),C96-D96,0)</f>
        <v>0</v>
      </c>
      <c r="F96" s="91">
        <f t="shared" si="15"/>
        <v>0.8341186066789703</v>
      </c>
      <c r="G96" s="90">
        <f t="shared" si="16"/>
        <v>0</v>
      </c>
      <c r="H96" s="90">
        <f t="shared" si="26"/>
        <v>2284463.828829717</v>
      </c>
      <c r="I96" s="90">
        <f t="shared" si="30"/>
        <v>73229.625</v>
      </c>
      <c r="J96" s="90">
        <f t="shared" si="24"/>
        <v>0</v>
      </c>
      <c r="K96" s="90">
        <f t="shared" si="25"/>
        <v>0</v>
      </c>
      <c r="L96" s="90">
        <f t="shared" si="18"/>
        <v>589423.3634574292</v>
      </c>
      <c r="M96" s="90">
        <f t="shared" si="19"/>
        <v>491648.9946711432</v>
      </c>
      <c r="N96" s="90">
        <f t="shared" si="31"/>
        <v>0</v>
      </c>
      <c r="O96" s="90">
        <f t="shared" si="21"/>
        <v>1905513.7859119491</v>
      </c>
      <c r="P96" s="90">
        <f t="shared" si="22"/>
        <v>0</v>
      </c>
      <c r="Q96" s="92">
        <f t="shared" si="27"/>
        <v>10618121.700344529</v>
      </c>
      <c r="R96" s="90">
        <f t="shared" si="28"/>
        <v>1544688.7376107655</v>
      </c>
      <c r="S96" s="63"/>
      <c r="T96" s="63"/>
      <c r="U96" s="63"/>
      <c r="V96" s="63"/>
      <c r="W96" s="63"/>
      <c r="X96" s="63"/>
      <c r="Y96" s="66">
        <v>7</v>
      </c>
      <c r="Z96" s="101">
        <f t="shared" si="29"/>
        <v>1.1886857536682123</v>
      </c>
      <c r="AA96" s="90">
        <f>$AA$89*Z96</f>
        <v>396117.6405523951</v>
      </c>
      <c r="AB96" s="90">
        <f>$AB$89*Z96</f>
        <v>2284463.828829717</v>
      </c>
      <c r="AC96" s="63"/>
      <c r="AD96" s="63"/>
      <c r="AE96" s="63"/>
      <c r="AF96" s="63"/>
      <c r="AG96" s="63"/>
      <c r="AH96" s="63"/>
    </row>
    <row r="97" spans="1:34" ht="12.75">
      <c r="A97" s="66">
        <f t="shared" si="23"/>
        <v>8</v>
      </c>
      <c r="B97" s="66">
        <f t="shared" si="13"/>
        <v>4</v>
      </c>
      <c r="C97" s="90">
        <f t="shared" si="14"/>
        <v>0</v>
      </c>
      <c r="D97" s="90">
        <f>IF(A97&lt;=(E69-1),C97*E71,IF(AND(A97&gt;=E69,E70=2),0,C97*E71))</f>
        <v>0</v>
      </c>
      <c r="E97" s="90">
        <f>IF(OR(E70=1,A97&lt;=(E69-1)),C97-D97,0)</f>
        <v>0</v>
      </c>
      <c r="F97" s="91">
        <f t="shared" si="15"/>
        <v>0.8127830515751233</v>
      </c>
      <c r="G97" s="90">
        <f t="shared" si="16"/>
        <v>0</v>
      </c>
      <c r="H97" s="90">
        <f t="shared" si="26"/>
        <v>2341575.4245504597</v>
      </c>
      <c r="I97" s="90">
        <f t="shared" si="30"/>
        <v>68347.65</v>
      </c>
      <c r="J97" s="90">
        <f t="shared" si="24"/>
        <v>0</v>
      </c>
      <c r="K97" s="90">
        <f t="shared" si="25"/>
        <v>0</v>
      </c>
      <c r="L97" s="90">
        <f t="shared" si="18"/>
        <v>602480.7686376149</v>
      </c>
      <c r="M97" s="90">
        <f t="shared" si="19"/>
        <v>489686.1576486065</v>
      </c>
      <c r="N97" s="90">
        <f t="shared" si="31"/>
        <v>0</v>
      </c>
      <c r="O97" s="90">
        <f t="shared" si="21"/>
        <v>1903192.8190594376</v>
      </c>
      <c r="P97" s="90">
        <f t="shared" si="22"/>
        <v>0</v>
      </c>
      <c r="Q97" s="92">
        <f t="shared" si="27"/>
        <v>12031628.36175536</v>
      </c>
      <c r="R97" s="90">
        <f t="shared" si="28"/>
        <v>1581509.483563797</v>
      </c>
      <c r="S97" s="63"/>
      <c r="T97" s="63"/>
      <c r="U97" s="63"/>
      <c r="V97" s="63"/>
      <c r="W97" s="63"/>
      <c r="X97" s="63"/>
      <c r="Y97" s="66">
        <v>8</v>
      </c>
      <c r="Z97" s="101">
        <f t="shared" si="29"/>
        <v>1.2184028975099175</v>
      </c>
      <c r="AA97" s="90">
        <f>$AA$89*Z97</f>
        <v>406020.5815662049</v>
      </c>
      <c r="AB97" s="90">
        <f>$AB$89*Z97</f>
        <v>2341575.4245504597</v>
      </c>
      <c r="AC97" s="63"/>
      <c r="AD97" s="63"/>
      <c r="AE97" s="63"/>
      <c r="AF97" s="63"/>
      <c r="AG97" s="63"/>
      <c r="AH97" s="63"/>
    </row>
    <row r="98" spans="1:34" ht="12.75">
      <c r="A98" s="66">
        <f t="shared" si="23"/>
        <v>9</v>
      </c>
      <c r="B98" s="66">
        <f t="shared" si="13"/>
        <v>5</v>
      </c>
      <c r="C98" s="90">
        <f t="shared" si="14"/>
        <v>0</v>
      </c>
      <c r="D98" s="90">
        <f aca="true" t="shared" si="32" ref="D98:D104">IF(A98&lt;=(E$69-1),C98*E$71,IF(AND(A98&gt;=E$69,E$70=2),0,C98*E$71))</f>
        <v>0</v>
      </c>
      <c r="E98" s="90">
        <f aca="true" t="shared" si="33" ref="E98:E104">IF(OR(E$70=1,A98&lt;=(E$69-1)),C98-D98,0)</f>
        <v>0</v>
      </c>
      <c r="F98" s="91">
        <f t="shared" si="15"/>
        <v>0.7919932293058449</v>
      </c>
      <c r="G98" s="90">
        <f t="shared" si="16"/>
        <v>0</v>
      </c>
      <c r="H98" s="90">
        <f t="shared" si="26"/>
        <v>2400114.810164221</v>
      </c>
      <c r="I98" s="90">
        <f t="shared" si="30"/>
        <v>68347.65</v>
      </c>
      <c r="J98" s="90">
        <f t="shared" si="24"/>
        <v>0</v>
      </c>
      <c r="K98" s="90">
        <f t="shared" si="25"/>
        <v>0</v>
      </c>
      <c r="L98" s="90">
        <f t="shared" si="18"/>
        <v>617115.6150410553</v>
      </c>
      <c r="M98" s="90">
        <f t="shared" si="19"/>
        <v>488751.388811428</v>
      </c>
      <c r="N98" s="90">
        <f t="shared" si="31"/>
        <v>0</v>
      </c>
      <c r="O98" s="90">
        <f t="shared" si="21"/>
        <v>1900874.6792067464</v>
      </c>
      <c r="P98" s="90">
        <f t="shared" si="22"/>
        <v>0</v>
      </c>
      <c r="Q98" s="92">
        <f t="shared" si="27"/>
        <v>13443751.65215068</v>
      </c>
      <c r="R98" s="90">
        <f t="shared" si="28"/>
        <v>1616495.087924102</v>
      </c>
      <c r="S98" s="63"/>
      <c r="T98" s="63"/>
      <c r="U98" s="63"/>
      <c r="V98" s="63"/>
      <c r="W98" s="63"/>
      <c r="X98" s="63"/>
      <c r="Y98" s="66">
        <v>9</v>
      </c>
      <c r="Z98" s="101">
        <f t="shared" si="29"/>
        <v>1.2488629699476652</v>
      </c>
      <c r="AA98" s="90">
        <f>$AA$89*Z98</f>
        <v>416171.09610535996</v>
      </c>
      <c r="AB98" s="90">
        <f>$AB$89*Z98</f>
        <v>2400114.810164221</v>
      </c>
      <c r="AC98" s="63"/>
      <c r="AD98" s="63"/>
      <c r="AE98" s="63"/>
      <c r="AF98" s="63"/>
      <c r="AG98" s="63"/>
      <c r="AH98" s="63"/>
    </row>
    <row r="99" spans="1:34" ht="12.75">
      <c r="A99" s="66">
        <f t="shared" si="23"/>
        <v>10</v>
      </c>
      <c r="B99" s="66">
        <f t="shared" si="13"/>
        <v>6</v>
      </c>
      <c r="C99" s="90">
        <f t="shared" si="14"/>
        <v>0</v>
      </c>
      <c r="D99" s="90">
        <f t="shared" si="32"/>
        <v>0</v>
      </c>
      <c r="E99" s="90">
        <f t="shared" si="33"/>
        <v>0</v>
      </c>
      <c r="F99" s="91">
        <f t="shared" si="15"/>
        <v>0.7717351808095929</v>
      </c>
      <c r="G99" s="90">
        <f t="shared" si="16"/>
        <v>0</v>
      </c>
      <c r="H99" s="90">
        <f t="shared" si="26"/>
        <v>0</v>
      </c>
      <c r="I99" s="90">
        <f t="shared" si="30"/>
        <v>0</v>
      </c>
      <c r="J99" s="90">
        <f t="shared" si="24"/>
        <v>0</v>
      </c>
      <c r="K99" s="90">
        <f t="shared" si="25"/>
        <v>0</v>
      </c>
      <c r="L99" s="90">
        <f t="shared" si="18"/>
        <v>0</v>
      </c>
      <c r="M99" s="90">
        <f t="shared" si="19"/>
        <v>0</v>
      </c>
      <c r="N99" s="90">
        <f t="shared" si="31"/>
        <v>0</v>
      </c>
      <c r="O99" s="90">
        <f t="shared" si="21"/>
        <v>0</v>
      </c>
      <c r="P99" s="90">
        <f t="shared" si="22"/>
        <v>0</v>
      </c>
      <c r="Q99" s="92">
        <f t="shared" si="27"/>
        <v>0</v>
      </c>
      <c r="R99" s="90">
        <f t="shared" si="28"/>
        <v>0</v>
      </c>
      <c r="S99" s="63"/>
      <c r="T99" s="63"/>
      <c r="U99" s="63"/>
      <c r="V99" s="63"/>
      <c r="W99" s="63"/>
      <c r="X99" s="63"/>
      <c r="Y99" s="66">
        <v>10</v>
      </c>
      <c r="Z99" s="101">
        <f t="shared" si="29"/>
        <v>1.2800845441963566</v>
      </c>
      <c r="AA99" s="90">
        <f>$AA$89*Z99</f>
        <v>426575.3735079939</v>
      </c>
      <c r="AB99" s="90">
        <f>$AB$89*Z99</f>
        <v>2460117.680418326</v>
      </c>
      <c r="AC99" s="63"/>
      <c r="AD99" s="63"/>
      <c r="AE99" s="63"/>
      <c r="AF99" s="63"/>
      <c r="AG99" s="63"/>
      <c r="AH99" s="63"/>
    </row>
    <row r="100" spans="1:34" ht="12.75">
      <c r="A100" s="66">
        <f t="shared" si="23"/>
        <v>11</v>
      </c>
      <c r="B100" s="66">
        <f t="shared" si="13"/>
        <v>7</v>
      </c>
      <c r="C100" s="90">
        <f t="shared" si="14"/>
        <v>0</v>
      </c>
      <c r="D100" s="90">
        <f t="shared" si="32"/>
        <v>0</v>
      </c>
      <c r="E100" s="90">
        <f t="shared" si="33"/>
        <v>0</v>
      </c>
      <c r="F100" s="91">
        <f t="shared" si="15"/>
        <v>0.751995304077557</v>
      </c>
      <c r="G100" s="90">
        <f t="shared" si="16"/>
        <v>0</v>
      </c>
      <c r="H100" s="90">
        <f t="shared" si="26"/>
        <v>0</v>
      </c>
      <c r="I100" s="90">
        <f t="shared" si="30"/>
        <v>0</v>
      </c>
      <c r="J100" s="90">
        <f t="shared" si="24"/>
        <v>0</v>
      </c>
      <c r="K100" s="90">
        <f t="shared" si="25"/>
        <v>0</v>
      </c>
      <c r="L100" s="90">
        <f t="shared" si="18"/>
        <v>0</v>
      </c>
      <c r="M100" s="90">
        <f t="shared" si="19"/>
        <v>0</v>
      </c>
      <c r="N100" s="90">
        <f t="shared" si="31"/>
        <v>0</v>
      </c>
      <c r="O100" s="90">
        <f t="shared" si="21"/>
        <v>0</v>
      </c>
      <c r="P100" s="90">
        <f t="shared" si="22"/>
        <v>0</v>
      </c>
      <c r="Q100" s="92">
        <f t="shared" si="27"/>
        <v>0</v>
      </c>
      <c r="R100" s="90">
        <f t="shared" si="28"/>
        <v>0</v>
      </c>
      <c r="S100" s="63"/>
      <c r="T100" s="63"/>
      <c r="U100" s="63"/>
      <c r="V100" s="63"/>
      <c r="W100" s="63"/>
      <c r="X100" s="63"/>
      <c r="Y100" s="66">
        <v>11</v>
      </c>
      <c r="Z100" s="101">
        <f t="shared" si="29"/>
        <v>1.3120866578012655</v>
      </c>
      <c r="AA100" s="90">
        <f>$AA$89*Z100</f>
        <v>437239.75784569373</v>
      </c>
      <c r="AB100" s="90">
        <f>$AB$89*Z100</f>
        <v>2521620.622428784</v>
      </c>
      <c r="AC100" s="63"/>
      <c r="AD100" s="63"/>
      <c r="AE100" s="63"/>
      <c r="AF100" s="63"/>
      <c r="AG100" s="63"/>
      <c r="AH100" s="63"/>
    </row>
    <row r="101" spans="1:34" ht="12.75">
      <c r="A101" s="66">
        <f t="shared" si="23"/>
        <v>12</v>
      </c>
      <c r="B101" s="66">
        <f t="shared" si="13"/>
        <v>8</v>
      </c>
      <c r="C101" s="90">
        <f t="shared" si="14"/>
        <v>0</v>
      </c>
      <c r="D101" s="90">
        <f t="shared" si="32"/>
        <v>0</v>
      </c>
      <c r="E101" s="90">
        <f t="shared" si="33"/>
        <v>0</v>
      </c>
      <c r="F101" s="91">
        <f t="shared" si="15"/>
        <v>0.7327603450207618</v>
      </c>
      <c r="G101" s="90">
        <f t="shared" si="16"/>
        <v>0</v>
      </c>
      <c r="H101" s="90">
        <f t="shared" si="26"/>
        <v>0</v>
      </c>
      <c r="I101" s="90">
        <f t="shared" si="30"/>
        <v>0</v>
      </c>
      <c r="J101" s="90">
        <f t="shared" si="24"/>
        <v>0</v>
      </c>
      <c r="K101" s="90">
        <f t="shared" si="25"/>
        <v>0</v>
      </c>
      <c r="L101" s="90">
        <f t="shared" si="18"/>
        <v>0</v>
      </c>
      <c r="M101" s="90">
        <f t="shared" si="19"/>
        <v>0</v>
      </c>
      <c r="N101" s="90">
        <f t="shared" si="31"/>
        <v>0</v>
      </c>
      <c r="O101" s="90">
        <f t="shared" si="21"/>
        <v>0</v>
      </c>
      <c r="P101" s="90">
        <f t="shared" si="22"/>
        <v>0</v>
      </c>
      <c r="Q101" s="92">
        <f t="shared" si="27"/>
        <v>0</v>
      </c>
      <c r="R101" s="90">
        <f t="shared" si="28"/>
        <v>0</v>
      </c>
      <c r="S101" s="63"/>
      <c r="T101" s="63"/>
      <c r="U101" s="63"/>
      <c r="V101" s="63"/>
      <c r="W101" s="63"/>
      <c r="X101" s="63"/>
      <c r="Y101" s="66">
        <v>12</v>
      </c>
      <c r="Z101" s="101">
        <f t="shared" si="29"/>
        <v>1.344888824246297</v>
      </c>
      <c r="AA101" s="90">
        <f>$AA$89*Z101</f>
        <v>448170.75179183605</v>
      </c>
      <c r="AB101" s="90">
        <f>$AB$89*Z101</f>
        <v>2584661.137989504</v>
      </c>
      <c r="AC101" s="63"/>
      <c r="AD101" s="63"/>
      <c r="AE101" s="63"/>
      <c r="AF101" s="63"/>
      <c r="AG101" s="63"/>
      <c r="AH101" s="63"/>
    </row>
    <row r="102" spans="1:34" ht="12.75">
      <c r="A102" s="66">
        <f t="shared" si="23"/>
        <v>13</v>
      </c>
      <c r="B102" s="66">
        <f t="shared" si="13"/>
        <v>9</v>
      </c>
      <c r="C102" s="90">
        <f>IF(A102&gt;=$E$24,0,IF(OR(E$70=1,A102&lt;=E$69-1),E$78,IF(AND(A102=E$69,E$70=2),E$79*(1-E$80),0)))</f>
        <v>0</v>
      </c>
      <c r="D102" s="90">
        <f t="shared" si="32"/>
        <v>0</v>
      </c>
      <c r="E102" s="90">
        <f t="shared" si="33"/>
        <v>0</v>
      </c>
      <c r="F102" s="91">
        <f t="shared" si="15"/>
        <v>0.7140173885707789</v>
      </c>
      <c r="G102" s="90">
        <f t="shared" si="16"/>
        <v>0</v>
      </c>
      <c r="H102" s="90">
        <f t="shared" si="26"/>
        <v>0</v>
      </c>
      <c r="I102" s="90">
        <f t="shared" si="30"/>
        <v>0</v>
      </c>
      <c r="J102" s="90">
        <f t="shared" si="24"/>
        <v>0</v>
      </c>
      <c r="K102" s="90">
        <f t="shared" si="25"/>
        <v>0</v>
      </c>
      <c r="L102" s="90">
        <f t="shared" si="18"/>
        <v>0</v>
      </c>
      <c r="M102" s="90">
        <f t="shared" si="19"/>
        <v>0</v>
      </c>
      <c r="N102" s="90">
        <f t="shared" si="31"/>
        <v>0</v>
      </c>
      <c r="O102" s="90">
        <f t="shared" si="21"/>
        <v>0</v>
      </c>
      <c r="P102" s="90">
        <f t="shared" si="22"/>
        <v>0</v>
      </c>
      <c r="Q102" s="92">
        <f t="shared" si="27"/>
        <v>0</v>
      </c>
      <c r="R102" s="90">
        <f t="shared" si="28"/>
        <v>0</v>
      </c>
      <c r="S102" s="63"/>
      <c r="T102" s="63"/>
      <c r="U102" s="63"/>
      <c r="V102" s="63"/>
      <c r="W102" s="63"/>
      <c r="X102" s="63"/>
      <c r="Y102" s="66">
        <v>13</v>
      </c>
      <c r="Z102" s="101">
        <f t="shared" si="29"/>
        <v>1.3785110448524545</v>
      </c>
      <c r="AA102" s="90">
        <f>$AA$89*Z102</f>
        <v>459375.0205866319</v>
      </c>
      <c r="AB102" s="90">
        <f>$AB$89*Z102</f>
        <v>2649277.6664392413</v>
      </c>
      <c r="AC102" s="63"/>
      <c r="AD102" s="63"/>
      <c r="AE102" s="63"/>
      <c r="AF102" s="63"/>
      <c r="AG102" s="63"/>
      <c r="AH102" s="63"/>
    </row>
    <row r="103" spans="1:34" ht="12.75">
      <c r="A103" s="66">
        <f t="shared" si="23"/>
        <v>14</v>
      </c>
      <c r="B103" s="66">
        <f t="shared" si="13"/>
        <v>10</v>
      </c>
      <c r="C103" s="90">
        <f>IF(A103&gt;=$E$24,0,IF(OR(E$70=1,A103&lt;=E$69-1),E$78,IF(AND(A103=E$69,E$70=2),E$79*(1-E$80),0)))</f>
        <v>0</v>
      </c>
      <c r="D103" s="90">
        <f t="shared" si="32"/>
        <v>0</v>
      </c>
      <c r="E103" s="90">
        <f t="shared" si="33"/>
        <v>0</v>
      </c>
      <c r="F103" s="91">
        <f t="shared" si="15"/>
        <v>0.695753850008067</v>
      </c>
      <c r="G103" s="90">
        <f t="shared" si="16"/>
        <v>0</v>
      </c>
      <c r="H103" s="90">
        <f t="shared" si="26"/>
        <v>0</v>
      </c>
      <c r="I103" s="90">
        <f t="shared" si="30"/>
        <v>0</v>
      </c>
      <c r="J103" s="90">
        <f t="shared" si="24"/>
        <v>0</v>
      </c>
      <c r="K103" s="90">
        <f t="shared" si="25"/>
        <v>0</v>
      </c>
      <c r="L103" s="90">
        <f t="shared" si="18"/>
        <v>0</v>
      </c>
      <c r="M103" s="90">
        <f t="shared" si="19"/>
        <v>0</v>
      </c>
      <c r="N103" s="90">
        <f t="shared" si="31"/>
        <v>0</v>
      </c>
      <c r="O103" s="90">
        <f t="shared" si="21"/>
        <v>0</v>
      </c>
      <c r="P103" s="90">
        <f t="shared" si="22"/>
        <v>0</v>
      </c>
      <c r="Q103" s="92">
        <f t="shared" si="27"/>
        <v>0</v>
      </c>
      <c r="R103" s="90">
        <f t="shared" si="28"/>
        <v>0</v>
      </c>
      <c r="S103" s="63"/>
      <c r="T103" s="63"/>
      <c r="U103" s="63"/>
      <c r="V103" s="63"/>
      <c r="W103" s="63"/>
      <c r="X103" s="63"/>
      <c r="Y103" s="66">
        <v>14</v>
      </c>
      <c r="Z103" s="101">
        <f t="shared" si="29"/>
        <v>1.4129738209737657</v>
      </c>
      <c r="AA103" s="90">
        <f>$AA$89*Z103</f>
        <v>470859.3961012977</v>
      </c>
      <c r="AB103" s="90">
        <f>$AB$89*Z103</f>
        <v>2715509.608100222</v>
      </c>
      <c r="AC103" s="63"/>
      <c r="AD103" s="63"/>
      <c r="AE103" s="63"/>
      <c r="AF103" s="63"/>
      <c r="AG103" s="63"/>
      <c r="AH103" s="63"/>
    </row>
    <row r="104" spans="1:34" ht="13.5" thickBot="1">
      <c r="A104" s="23">
        <f t="shared" si="23"/>
        <v>15</v>
      </c>
      <c r="B104" s="23">
        <f t="shared" si="13"/>
        <v>11</v>
      </c>
      <c r="C104" s="94">
        <f>IF(A104&gt;=$E$24,0,IF(OR(E$70=1,A104&lt;=E$69-1),E$78,IF(AND(A104=E$69,E$70=2),E$79*(1-E$80),0)))</f>
        <v>0</v>
      </c>
      <c r="D104" s="95">
        <f t="shared" si="32"/>
        <v>0</v>
      </c>
      <c r="E104" s="95">
        <f t="shared" si="33"/>
        <v>0</v>
      </c>
      <c r="F104" s="96">
        <f t="shared" si="15"/>
        <v>0.6779574665121236</v>
      </c>
      <c r="G104" s="95">
        <f t="shared" si="16"/>
        <v>0</v>
      </c>
      <c r="H104" s="94">
        <f t="shared" si="26"/>
        <v>0</v>
      </c>
      <c r="I104" s="94">
        <f t="shared" si="30"/>
        <v>0</v>
      </c>
      <c r="J104" s="94">
        <f t="shared" si="24"/>
        <v>0</v>
      </c>
      <c r="K104" s="94">
        <f t="shared" si="25"/>
        <v>0</v>
      </c>
      <c r="L104" s="95">
        <f t="shared" si="18"/>
        <v>0</v>
      </c>
      <c r="M104" s="95">
        <f t="shared" si="19"/>
        <v>0</v>
      </c>
      <c r="N104" s="94">
        <f t="shared" si="31"/>
        <v>0</v>
      </c>
      <c r="O104" s="95">
        <f t="shared" si="21"/>
        <v>0</v>
      </c>
      <c r="P104" s="95">
        <f t="shared" si="22"/>
        <v>0</v>
      </c>
      <c r="Q104" s="94">
        <f t="shared" si="27"/>
        <v>0</v>
      </c>
      <c r="R104" s="94">
        <f t="shared" si="28"/>
        <v>0</v>
      </c>
      <c r="S104" s="63"/>
      <c r="T104" s="63"/>
      <c r="U104" s="63"/>
      <c r="V104" s="63"/>
      <c r="W104" s="63"/>
      <c r="X104" s="63"/>
      <c r="Y104" s="66">
        <v>15</v>
      </c>
      <c r="Z104" s="101">
        <f t="shared" si="29"/>
        <v>1.4482981664981096</v>
      </c>
      <c r="AA104" s="90">
        <f>$AA$89*Z104</f>
        <v>482630.88100383006</v>
      </c>
      <c r="AB104" s="90">
        <f>$AB$89*Z104</f>
        <v>2783397.348302727</v>
      </c>
      <c r="AC104" s="63"/>
      <c r="AD104" s="63"/>
      <c r="AE104" s="63"/>
      <c r="AF104" s="63"/>
      <c r="AG104" s="63"/>
      <c r="AH104" s="63"/>
    </row>
    <row r="105" spans="1:34" ht="12.75">
      <c r="A105" s="66"/>
      <c r="B105" s="66"/>
      <c r="C105" s="66"/>
      <c r="D105" s="66"/>
      <c r="E105" s="66"/>
      <c r="F105" s="66"/>
      <c r="G105" s="90">
        <f aca="true" t="shared" si="34" ref="G105:N105">SUM(G89:G104)</f>
        <v>4769650.4159682905</v>
      </c>
      <c r="H105" s="90">
        <f t="shared" si="34"/>
        <v>13180903.73681125</v>
      </c>
      <c r="I105" s="90">
        <f t="shared" si="34"/>
        <v>376076.17500000005</v>
      </c>
      <c r="J105" s="90">
        <f t="shared" si="34"/>
        <v>0</v>
      </c>
      <c r="K105" s="90">
        <f t="shared" si="34"/>
        <v>0</v>
      </c>
      <c r="L105" s="90">
        <f t="shared" si="34"/>
        <v>3389244.977952813</v>
      </c>
      <c r="M105" s="90">
        <f t="shared" si="34"/>
        <v>2876026.138459224</v>
      </c>
      <c r="N105" s="90">
        <f t="shared" si="34"/>
        <v>360398.30443497834</v>
      </c>
      <c r="O105" s="90">
        <f>SUM(O89:O104)</f>
        <v>11189729.070206635</v>
      </c>
      <c r="P105" s="90">
        <f>SUM(P89:P104)</f>
        <v>0</v>
      </c>
      <c r="Q105" s="92"/>
      <c r="R105" s="90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</row>
    <row r="106" spans="1:34" ht="12.75">
      <c r="A106" s="63"/>
      <c r="B106" s="63"/>
      <c r="C106" s="63"/>
      <c r="D106" s="63"/>
      <c r="E106" s="63"/>
      <c r="F106" s="5"/>
      <c r="G106" s="5"/>
      <c r="H106" s="63"/>
      <c r="I106" s="9"/>
      <c r="J106" s="9"/>
      <c r="K106" s="63"/>
      <c r="L106" s="63"/>
      <c r="M106" s="63"/>
      <c r="N106" s="63"/>
      <c r="O106" s="63"/>
      <c r="P106" s="63"/>
      <c r="Q106" s="7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 ht="12.75">
      <c r="A107" s="63"/>
      <c r="B107" s="63"/>
      <c r="C107" s="63"/>
      <c r="D107" s="63"/>
      <c r="E107" s="63"/>
      <c r="F107" s="9"/>
      <c r="G107" s="9"/>
      <c r="H107" s="9"/>
      <c r="I107" s="9"/>
      <c r="J107" s="9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 ht="12.75">
      <c r="A108" s="62" t="s">
        <v>244</v>
      </c>
      <c r="B108" s="63"/>
      <c r="C108" s="63"/>
      <c r="D108" s="62" t="s">
        <v>245</v>
      </c>
      <c r="E108" s="63"/>
      <c r="F108" s="63"/>
      <c r="G108" s="63"/>
      <c r="H108" s="5">
        <f>G105</f>
        <v>4769650.4159682905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 ht="12.75">
      <c r="A109" s="63"/>
      <c r="B109" s="63"/>
      <c r="C109" s="63"/>
      <c r="D109" s="62" t="s">
        <v>246</v>
      </c>
      <c r="E109" s="63"/>
      <c r="F109" s="63"/>
      <c r="G109" s="63"/>
      <c r="H109" s="5">
        <f>N105</f>
        <v>360398.30443497834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</row>
    <row r="110" spans="1:34" ht="12.75">
      <c r="A110" s="63"/>
      <c r="B110" s="63"/>
      <c r="C110" s="63"/>
      <c r="D110" s="62" t="s">
        <v>247</v>
      </c>
      <c r="E110" s="63"/>
      <c r="F110" s="63"/>
      <c r="G110" s="63"/>
      <c r="H110" s="5">
        <f>O105</f>
        <v>11189729.070206635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</row>
    <row r="111" spans="1:34" ht="12.75">
      <c r="A111" s="63"/>
      <c r="B111" s="63"/>
      <c r="C111" s="63"/>
      <c r="D111" s="62" t="s">
        <v>248</v>
      </c>
      <c r="E111" s="63"/>
      <c r="F111" s="63"/>
      <c r="G111" s="63"/>
      <c r="H111" s="5">
        <f>-P105</f>
        <v>0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</row>
    <row r="112" spans="1:34" ht="12.75">
      <c r="A112" s="63"/>
      <c r="B112" s="63"/>
      <c r="C112" s="63"/>
      <c r="D112" s="62" t="s">
        <v>249</v>
      </c>
      <c r="E112" s="63"/>
      <c r="F112" s="63"/>
      <c r="G112" s="63"/>
      <c r="H112" s="5">
        <f>-M105</f>
        <v>-2876026.138459224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1:34" ht="13.5" thickBot="1">
      <c r="A113" s="63"/>
      <c r="B113" s="63"/>
      <c r="C113" s="63"/>
      <c r="D113" s="62" t="s">
        <v>250</v>
      </c>
      <c r="E113" s="63"/>
      <c r="F113" s="63"/>
      <c r="G113" s="63"/>
      <c r="H113" s="34">
        <f>-IF(E70=1,0,E79*E75*HLOOKUP(1,F89:F104,$E$24))</f>
        <v>0</v>
      </c>
      <c r="I113" s="63"/>
      <c r="J113" s="63"/>
      <c r="K113" s="74" t="s">
        <v>251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</row>
    <row r="114" spans="1:34" ht="15.75">
      <c r="A114" s="63"/>
      <c r="B114" s="63"/>
      <c r="C114" s="63"/>
      <c r="D114" s="63"/>
      <c r="E114" s="25" t="s">
        <v>252</v>
      </c>
      <c r="F114" s="63"/>
      <c r="G114" s="63"/>
      <c r="H114" s="87">
        <f>-SUM(H108:H113)</f>
        <v>-13443751.65215068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</row>
    <row r="115" spans="1:34" ht="12.75">
      <c r="A115" s="63"/>
      <c r="B115" s="63"/>
      <c r="C115" s="63"/>
      <c r="D115" s="63"/>
      <c r="E115" s="63"/>
      <c r="F115" s="62"/>
      <c r="G115" s="63"/>
      <c r="H115" s="5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</row>
    <row r="116" spans="1:3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</row>
    <row r="117" spans="1:3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</row>
    <row r="118" spans="1:34" ht="15.75">
      <c r="A118" s="25" t="s">
        <v>253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</row>
    <row r="119" spans="1:34" ht="12.75">
      <c r="A119" s="62" t="s">
        <v>254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</row>
    <row r="120" spans="1:34" ht="12.75">
      <c r="A120" s="62" t="s">
        <v>255</v>
      </c>
      <c r="B120" s="63"/>
      <c r="C120" s="63"/>
      <c r="D120" s="63"/>
      <c r="E120" s="63"/>
      <c r="F120" s="63"/>
      <c r="G120" s="63"/>
      <c r="H120" s="12" t="s">
        <v>161</v>
      </c>
      <c r="I120" s="66"/>
      <c r="J120" s="74" t="s">
        <v>251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</row>
    <row r="121" spans="1:34" ht="12.75">
      <c r="A121" s="62" t="s">
        <v>256</v>
      </c>
      <c r="B121" s="63"/>
      <c r="C121" s="63"/>
      <c r="D121" s="12" t="s">
        <v>163</v>
      </c>
      <c r="E121" s="12" t="s">
        <v>163</v>
      </c>
      <c r="F121" s="12" t="s">
        <v>219</v>
      </c>
      <c r="G121" s="12" t="s">
        <v>176</v>
      </c>
      <c r="H121" s="12" t="s">
        <v>167</v>
      </c>
      <c r="I121" s="66" t="s">
        <v>168</v>
      </c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</row>
    <row r="122" spans="1:34" ht="12.75">
      <c r="A122" s="63"/>
      <c r="B122" s="63"/>
      <c r="C122" s="63"/>
      <c r="D122" s="12" t="s">
        <v>257</v>
      </c>
      <c r="E122" s="12" t="s">
        <v>258</v>
      </c>
      <c r="F122" s="12" t="s">
        <v>259</v>
      </c>
      <c r="G122" s="12" t="s">
        <v>225</v>
      </c>
      <c r="H122" s="12" t="s">
        <v>177</v>
      </c>
      <c r="I122" s="66" t="s">
        <v>179</v>
      </c>
      <c r="J122" s="66" t="s">
        <v>163</v>
      </c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</row>
    <row r="123" spans="1:34" ht="13.5" thickBot="1">
      <c r="A123" s="63"/>
      <c r="B123" s="63"/>
      <c r="C123" s="23" t="s">
        <v>260</v>
      </c>
      <c r="D123" s="12" t="s">
        <v>182</v>
      </c>
      <c r="E123" s="23" t="s">
        <v>261</v>
      </c>
      <c r="F123" s="23" t="s">
        <v>262</v>
      </c>
      <c r="G123" s="12" t="s">
        <v>239</v>
      </c>
      <c r="H123" s="26">
        <f>E33</f>
        <v>0.026250000000000002</v>
      </c>
      <c r="I123" s="67" t="s">
        <v>188</v>
      </c>
      <c r="J123" s="67" t="s">
        <v>189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</row>
    <row r="124" spans="1:34" ht="14.25" thickBot="1" thickTop="1">
      <c r="A124" s="63"/>
      <c r="B124" s="63"/>
      <c r="C124" s="1">
        <v>0</v>
      </c>
      <c r="D124" s="45">
        <v>0</v>
      </c>
      <c r="E124" s="61">
        <v>0</v>
      </c>
      <c r="F124" s="35">
        <f aca="true" t="shared" si="35" ref="F124:F139">E$71*(D124+E124)</f>
        <v>0</v>
      </c>
      <c r="G124" s="35">
        <f aca="true" t="shared" si="36" ref="G124:G139">D124+E124-F124</f>
        <v>0</v>
      </c>
      <c r="H124" s="8">
        <f aca="true" t="shared" si="37" ref="H124:H139">1/(1+(E$8*(1-E$7)))^C124</f>
        <v>1</v>
      </c>
      <c r="I124" s="55">
        <f>G124*H124</f>
        <v>0</v>
      </c>
      <c r="J124" s="48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</row>
    <row r="125" spans="1:34" ht="13.5" thickTop="1">
      <c r="A125" s="63"/>
      <c r="B125" s="63"/>
      <c r="C125" s="1">
        <f aca="true" t="shared" si="38" ref="C125:C139">C124+1</f>
        <v>1</v>
      </c>
      <c r="D125" s="5">
        <f>IF(C125&gt;=$E$24,0,D124+(D124*E$76))</f>
        <v>0</v>
      </c>
      <c r="E125" s="9">
        <f>IF(C125&gt;=$E$24,0,E124+(E124*E$76))</f>
        <v>0</v>
      </c>
      <c r="F125" s="9">
        <f t="shared" si="35"/>
        <v>0</v>
      </c>
      <c r="G125" s="9">
        <f t="shared" si="36"/>
        <v>0</v>
      </c>
      <c r="H125" s="8">
        <f t="shared" si="37"/>
        <v>0.9744214372716199</v>
      </c>
      <c r="I125" s="56">
        <f>IF(C125&gt;=$E$24,0,G125*H125+I124)</f>
        <v>0</v>
      </c>
      <c r="J125" s="48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</row>
    <row r="126" spans="1:34" ht="12.75">
      <c r="A126" s="63"/>
      <c r="B126" s="63"/>
      <c r="C126" s="1">
        <f t="shared" si="38"/>
        <v>2</v>
      </c>
      <c r="D126" s="5">
        <f aca="true" t="shared" si="39" ref="D126:D139">IF(C126&gt;=$E$24,0,D125+(D125*E$76))</f>
        <v>0</v>
      </c>
      <c r="E126" s="9">
        <f aca="true" t="shared" si="40" ref="E126:E139">IF(C126&gt;=$E$24,0,E125+(E125*E$76))</f>
        <v>0</v>
      </c>
      <c r="F126" s="9">
        <f t="shared" si="35"/>
        <v>0</v>
      </c>
      <c r="G126" s="9">
        <f t="shared" si="36"/>
        <v>0</v>
      </c>
      <c r="H126" s="8">
        <f t="shared" si="37"/>
        <v>0.9494971374144894</v>
      </c>
      <c r="I126" s="56">
        <f aca="true" t="shared" si="41" ref="I126:I139">IF(C126&gt;=$E$24,0,G126*H126+I125)</f>
        <v>0</v>
      </c>
      <c r="J126" s="5">
        <f>I126*($E$8/(1-(1/(1+$E$8)^(C126+1))))</f>
        <v>0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</row>
    <row r="127" spans="1:34" ht="12.75">
      <c r="A127" s="63"/>
      <c r="B127" s="63"/>
      <c r="C127" s="1">
        <f t="shared" si="38"/>
        <v>3</v>
      </c>
      <c r="D127" s="5">
        <f t="shared" si="39"/>
        <v>0</v>
      </c>
      <c r="E127" s="9">
        <f t="shared" si="40"/>
        <v>0</v>
      </c>
      <c r="F127" s="9">
        <f t="shared" si="35"/>
        <v>0</v>
      </c>
      <c r="G127" s="9">
        <f t="shared" si="36"/>
        <v>0</v>
      </c>
      <c r="H127" s="8">
        <f t="shared" si="37"/>
        <v>0.9252103653247155</v>
      </c>
      <c r="I127" s="56">
        <f t="shared" si="41"/>
        <v>0</v>
      </c>
      <c r="J127" s="5">
        <f aca="true" t="shared" si="42" ref="J127:J139">I127*($E$8/(1-(1/(1+$E$8)^(C127+1))))</f>
        <v>0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</row>
    <row r="128" spans="1:34" ht="12.75">
      <c r="A128" s="63"/>
      <c r="B128" s="63"/>
      <c r="C128" s="1">
        <f t="shared" si="38"/>
        <v>4</v>
      </c>
      <c r="D128" s="5">
        <f t="shared" si="39"/>
        <v>0</v>
      </c>
      <c r="E128" s="9">
        <f t="shared" si="40"/>
        <v>0</v>
      </c>
      <c r="F128" s="9">
        <f t="shared" si="35"/>
        <v>0</v>
      </c>
      <c r="G128" s="9">
        <f t="shared" si="36"/>
        <v>0</v>
      </c>
      <c r="H128" s="8">
        <f t="shared" si="37"/>
        <v>0.9015448139583098</v>
      </c>
      <c r="I128" s="56">
        <f t="shared" si="41"/>
        <v>0</v>
      </c>
      <c r="J128" s="5">
        <f t="shared" si="42"/>
        <v>0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</row>
    <row r="129" spans="1:34" ht="12.75">
      <c r="A129" s="63"/>
      <c r="B129" s="63"/>
      <c r="C129" s="1">
        <f t="shared" si="38"/>
        <v>5</v>
      </c>
      <c r="D129" s="5">
        <f t="shared" si="39"/>
        <v>0</v>
      </c>
      <c r="E129" s="9">
        <f t="shared" si="40"/>
        <v>0</v>
      </c>
      <c r="F129" s="9">
        <f t="shared" si="35"/>
        <v>0</v>
      </c>
      <c r="G129" s="9">
        <f t="shared" si="36"/>
        <v>0</v>
      </c>
      <c r="H129" s="8">
        <f t="shared" si="37"/>
        <v>0.8784845933820313</v>
      </c>
      <c r="I129" s="56">
        <f t="shared" si="41"/>
        <v>0</v>
      </c>
      <c r="J129" s="5">
        <f t="shared" si="42"/>
        <v>0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</row>
    <row r="130" spans="1:34" ht="12.75">
      <c r="A130" s="63"/>
      <c r="B130" s="63"/>
      <c r="C130" s="1">
        <f t="shared" si="38"/>
        <v>6</v>
      </c>
      <c r="D130" s="5">
        <f t="shared" si="39"/>
        <v>0</v>
      </c>
      <c r="E130" s="9">
        <f t="shared" si="40"/>
        <v>0</v>
      </c>
      <c r="F130" s="9">
        <f t="shared" si="35"/>
        <v>0</v>
      </c>
      <c r="G130" s="9">
        <f t="shared" si="36"/>
        <v>0</v>
      </c>
      <c r="H130" s="8">
        <f t="shared" si="37"/>
        <v>0.8560142201042936</v>
      </c>
      <c r="I130" s="56">
        <f t="shared" si="41"/>
        <v>0</v>
      </c>
      <c r="J130" s="5">
        <f t="shared" si="42"/>
        <v>0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</row>
    <row r="131" spans="1:34" ht="12.75">
      <c r="A131" s="63"/>
      <c r="B131" s="63"/>
      <c r="C131" s="1">
        <f t="shared" si="38"/>
        <v>7</v>
      </c>
      <c r="D131" s="5">
        <f t="shared" si="39"/>
        <v>0</v>
      </c>
      <c r="E131" s="9">
        <f t="shared" si="40"/>
        <v>0</v>
      </c>
      <c r="F131" s="9">
        <f t="shared" si="35"/>
        <v>0</v>
      </c>
      <c r="G131" s="9">
        <f t="shared" si="36"/>
        <v>0</v>
      </c>
      <c r="H131" s="8">
        <f t="shared" si="37"/>
        <v>0.8341186066789703</v>
      </c>
      <c r="I131" s="56">
        <f t="shared" si="41"/>
        <v>0</v>
      </c>
      <c r="J131" s="5">
        <f t="shared" si="42"/>
        <v>0</v>
      </c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</row>
    <row r="132" spans="1:34" ht="12.75">
      <c r="A132" s="63"/>
      <c r="B132" s="63"/>
      <c r="C132" s="1">
        <f t="shared" si="38"/>
        <v>8</v>
      </c>
      <c r="D132" s="5">
        <f t="shared" si="39"/>
        <v>0</v>
      </c>
      <c r="E132" s="9">
        <f t="shared" si="40"/>
        <v>0</v>
      </c>
      <c r="F132" s="9">
        <f t="shared" si="35"/>
        <v>0</v>
      </c>
      <c r="G132" s="9">
        <f t="shared" si="36"/>
        <v>0</v>
      </c>
      <c r="H132" s="8">
        <f t="shared" si="37"/>
        <v>0.8127830515751233</v>
      </c>
      <c r="I132" s="56">
        <f t="shared" si="41"/>
        <v>0</v>
      </c>
      <c r="J132" s="5">
        <f t="shared" si="42"/>
        <v>0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</row>
    <row r="133" spans="1:34" ht="12.75">
      <c r="A133" s="63"/>
      <c r="B133" s="63"/>
      <c r="C133" s="1">
        <f t="shared" si="38"/>
        <v>9</v>
      </c>
      <c r="D133" s="5">
        <f t="shared" si="39"/>
        <v>0</v>
      </c>
      <c r="E133" s="9">
        <f t="shared" si="40"/>
        <v>0</v>
      </c>
      <c r="F133" s="9">
        <f t="shared" si="35"/>
        <v>0</v>
      </c>
      <c r="G133" s="9">
        <f t="shared" si="36"/>
        <v>0</v>
      </c>
      <c r="H133" s="8">
        <f t="shared" si="37"/>
        <v>0.7919932293058449</v>
      </c>
      <c r="I133" s="56">
        <f t="shared" si="41"/>
        <v>0</v>
      </c>
      <c r="J133" s="5">
        <f t="shared" si="42"/>
        <v>0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</row>
    <row r="134" spans="1:34" ht="12.75">
      <c r="A134" s="63"/>
      <c r="B134" s="63"/>
      <c r="C134" s="1">
        <f t="shared" si="38"/>
        <v>10</v>
      </c>
      <c r="D134" s="5">
        <f t="shared" si="39"/>
        <v>0</v>
      </c>
      <c r="E134" s="9">
        <f t="shared" si="40"/>
        <v>0</v>
      </c>
      <c r="F134" s="9">
        <f t="shared" si="35"/>
        <v>0</v>
      </c>
      <c r="G134" s="9">
        <f t="shared" si="36"/>
        <v>0</v>
      </c>
      <c r="H134" s="8">
        <f t="shared" si="37"/>
        <v>0.7717351808095929</v>
      </c>
      <c r="I134" s="56">
        <f t="shared" si="41"/>
        <v>0</v>
      </c>
      <c r="J134" s="5">
        <f t="shared" si="42"/>
        <v>0</v>
      </c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1:34" ht="12.75">
      <c r="A135" s="63"/>
      <c r="B135" s="63"/>
      <c r="C135" s="1">
        <f t="shared" si="38"/>
        <v>11</v>
      </c>
      <c r="D135" s="5">
        <f t="shared" si="39"/>
        <v>0</v>
      </c>
      <c r="E135" s="9">
        <f t="shared" si="40"/>
        <v>0</v>
      </c>
      <c r="F135" s="9">
        <f t="shared" si="35"/>
        <v>0</v>
      </c>
      <c r="G135" s="9">
        <f t="shared" si="36"/>
        <v>0</v>
      </c>
      <c r="H135" s="8">
        <f t="shared" si="37"/>
        <v>0.751995304077557</v>
      </c>
      <c r="I135" s="56">
        <f t="shared" si="41"/>
        <v>0</v>
      </c>
      <c r="J135" s="5">
        <f t="shared" si="42"/>
        <v>0</v>
      </c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</row>
    <row r="136" spans="1:34" ht="12.75">
      <c r="A136" s="63"/>
      <c r="B136" s="63"/>
      <c r="C136" s="1">
        <f t="shared" si="38"/>
        <v>12</v>
      </c>
      <c r="D136" s="5">
        <f t="shared" si="39"/>
        <v>0</v>
      </c>
      <c r="E136" s="9">
        <f t="shared" si="40"/>
        <v>0</v>
      </c>
      <c r="F136" s="9">
        <f t="shared" si="35"/>
        <v>0</v>
      </c>
      <c r="G136" s="9">
        <f t="shared" si="36"/>
        <v>0</v>
      </c>
      <c r="H136" s="8">
        <f t="shared" si="37"/>
        <v>0.7327603450207618</v>
      </c>
      <c r="I136" s="56">
        <f t="shared" si="41"/>
        <v>0</v>
      </c>
      <c r="J136" s="5">
        <f t="shared" si="42"/>
        <v>0</v>
      </c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</row>
    <row r="137" spans="1:34" ht="12.75">
      <c r="A137" s="63"/>
      <c r="B137" s="63"/>
      <c r="C137" s="1">
        <f t="shared" si="38"/>
        <v>13</v>
      </c>
      <c r="D137" s="5">
        <f t="shared" si="39"/>
        <v>0</v>
      </c>
      <c r="E137" s="9">
        <f t="shared" si="40"/>
        <v>0</v>
      </c>
      <c r="F137" s="9">
        <f t="shared" si="35"/>
        <v>0</v>
      </c>
      <c r="G137" s="9">
        <f t="shared" si="36"/>
        <v>0</v>
      </c>
      <c r="H137" s="8">
        <f t="shared" si="37"/>
        <v>0.7140173885707789</v>
      </c>
      <c r="I137" s="56">
        <f t="shared" si="41"/>
        <v>0</v>
      </c>
      <c r="J137" s="5">
        <f t="shared" si="42"/>
        <v>0</v>
      </c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</row>
    <row r="138" spans="1:34" ht="12.75">
      <c r="A138" s="63"/>
      <c r="B138" s="63"/>
      <c r="C138" s="1">
        <f t="shared" si="38"/>
        <v>14</v>
      </c>
      <c r="D138" s="5">
        <f t="shared" si="39"/>
        <v>0</v>
      </c>
      <c r="E138" s="9">
        <f t="shared" si="40"/>
        <v>0</v>
      </c>
      <c r="F138" s="9">
        <f t="shared" si="35"/>
        <v>0</v>
      </c>
      <c r="G138" s="9">
        <f t="shared" si="36"/>
        <v>0</v>
      </c>
      <c r="H138" s="8">
        <f t="shared" si="37"/>
        <v>0.695753850008067</v>
      </c>
      <c r="I138" s="56">
        <f t="shared" si="41"/>
        <v>0</v>
      </c>
      <c r="J138" s="5">
        <f t="shared" si="42"/>
        <v>0</v>
      </c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</row>
    <row r="139" spans="1:34" ht="13.5" thickBot="1">
      <c r="A139" s="63"/>
      <c r="B139" s="63"/>
      <c r="C139" s="16">
        <f t="shared" si="38"/>
        <v>15</v>
      </c>
      <c r="D139" s="53">
        <f t="shared" si="39"/>
        <v>0</v>
      </c>
      <c r="E139" s="52">
        <f t="shared" si="40"/>
        <v>0</v>
      </c>
      <c r="F139" s="33">
        <f t="shared" si="35"/>
        <v>0</v>
      </c>
      <c r="G139" s="33">
        <f t="shared" si="36"/>
        <v>0</v>
      </c>
      <c r="H139" s="28">
        <f t="shared" si="37"/>
        <v>0.6779574665121236</v>
      </c>
      <c r="I139" s="57">
        <f t="shared" si="41"/>
        <v>0</v>
      </c>
      <c r="J139" s="53">
        <f t="shared" si="42"/>
        <v>0</v>
      </c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</row>
    <row r="140" spans="1:34" ht="12.75">
      <c r="A140" s="63"/>
      <c r="B140" s="63"/>
      <c r="C140" s="63"/>
      <c r="D140" s="63"/>
      <c r="E140" s="63"/>
      <c r="F140" s="63"/>
      <c r="G140" s="62"/>
      <c r="H140" s="63"/>
      <c r="I140" s="5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</row>
    <row r="141" spans="1:34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</row>
    <row r="142" spans="1:34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</row>
    <row r="143" spans="1:34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</row>
    <row r="144" spans="1:34" ht="12.75">
      <c r="A144" s="63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</row>
    <row r="145" spans="1:34" ht="12.75">
      <c r="A145" s="63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</row>
    <row r="146" spans="1:34" ht="12.75">
      <c r="A146" s="63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</row>
    <row r="147" spans="1:34" ht="12.75">
      <c r="A147" s="63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</row>
    <row r="148" spans="1:34" ht="12.75">
      <c r="A148" s="63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</row>
    <row r="149" spans="1:34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</row>
    <row r="150" ht="12.75">
      <c r="A150" s="10"/>
    </row>
    <row r="151" ht="12.75">
      <c r="A151" s="13"/>
    </row>
    <row r="152" ht="12.75">
      <c r="A152" s="10"/>
    </row>
    <row r="153" ht="12.75">
      <c r="A153" s="10"/>
    </row>
    <row r="154" ht="12.75">
      <c r="A154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1" ht="12.75">
      <c r="A171" s="10"/>
    </row>
    <row r="172" ht="12.75">
      <c r="A172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9" ht="12.75">
      <c r="A179" s="10"/>
    </row>
    <row r="180" ht="12.75">
      <c r="A180" s="10"/>
    </row>
  </sheetData>
  <sheetProtection sheet="1" objects="1" scenarios="1" formatCells="0" formatColumns="0" formatRows="0"/>
  <printOptions/>
  <pageMargins left="0.45" right="0.47" top="0.79" bottom="0.333" header="0.45" footer="0.5"/>
  <pageSetup fitToHeight="1" fitToWidth="1" horizontalDpi="300" verticalDpi="300" orientation="landscape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61"/>
  <sheetViews>
    <sheetView showGridLines="0" workbookViewId="0" topLeftCell="A1">
      <selection activeCell="A3" sqref="A3"/>
    </sheetView>
  </sheetViews>
  <sheetFormatPr defaultColWidth="9.140625" defaultRowHeight="12.75"/>
  <cols>
    <col min="2" max="2" width="11.7109375" style="0" customWidth="1"/>
    <col min="3" max="4" width="14.7109375" style="0" customWidth="1"/>
    <col min="5" max="5" width="18.7109375" style="0" customWidth="1"/>
    <col min="6" max="6" width="12.7109375" style="0" customWidth="1"/>
    <col min="7" max="8" width="15.7109375" style="0" customWidth="1"/>
    <col min="9" max="9" width="14.7109375" style="0" customWidth="1"/>
    <col min="10" max="10" width="13.421875" style="0" customWidth="1"/>
    <col min="11" max="13" width="13.7109375" style="0" customWidth="1"/>
    <col min="17" max="17" width="11.7109375" style="0" customWidth="1"/>
    <col min="18" max="18" width="11.28125" style="0" customWidth="1"/>
  </cols>
  <sheetData>
    <row r="1" spans="1:31" ht="12.75">
      <c r="A1" s="62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 t="s">
        <v>112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4.25" thickBot="1" thickTop="1">
      <c r="A3" s="63"/>
      <c r="B3" s="14"/>
      <c r="C3" s="62" t="s">
        <v>113</v>
      </c>
      <c r="D3" s="63"/>
      <c r="E3" s="63"/>
      <c r="F3" s="75" t="s">
        <v>114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13.5" thickTop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13.5" thickBot="1">
      <c r="A5" s="63"/>
      <c r="B5" s="15" t="s">
        <v>115</v>
      </c>
      <c r="C5" s="16"/>
      <c r="D5" s="16"/>
      <c r="E5" s="16"/>
      <c r="F5" s="63"/>
      <c r="G5" s="63"/>
      <c r="H5" s="63"/>
      <c r="I5" s="63"/>
      <c r="J5" s="63"/>
      <c r="K5" s="63"/>
      <c r="L5" s="63"/>
      <c r="M5" s="66" t="s">
        <v>116</v>
      </c>
      <c r="N5" s="64" t="s">
        <v>117</v>
      </c>
      <c r="O5" s="64" t="s">
        <v>118</v>
      </c>
      <c r="P5" s="64" t="s">
        <v>118</v>
      </c>
      <c r="Q5" s="64" t="s">
        <v>118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ht="13.5" thickTop="1">
      <c r="A6" s="63"/>
      <c r="B6" s="17" t="s">
        <v>119</v>
      </c>
      <c r="C6" s="63"/>
      <c r="D6" s="63"/>
      <c r="E6" s="60" t="s">
        <v>270</v>
      </c>
      <c r="F6" s="63"/>
      <c r="G6" s="63"/>
      <c r="H6" s="63"/>
      <c r="I6" s="63"/>
      <c r="J6" s="63"/>
      <c r="K6" s="63"/>
      <c r="L6" s="63"/>
      <c r="M6" s="66" t="s">
        <v>120</v>
      </c>
      <c r="N6" s="64" t="s">
        <v>121</v>
      </c>
      <c r="O6" s="64" t="s">
        <v>121</v>
      </c>
      <c r="P6" s="64" t="s">
        <v>121</v>
      </c>
      <c r="Q6" s="64" t="s">
        <v>121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ht="12.75">
      <c r="A7" s="63"/>
      <c r="B7" s="17" t="s">
        <v>122</v>
      </c>
      <c r="C7" s="63"/>
      <c r="D7" s="63"/>
      <c r="E7" s="42">
        <v>0.21</v>
      </c>
      <c r="F7" s="63"/>
      <c r="G7" s="63"/>
      <c r="H7" s="63"/>
      <c r="I7" s="63"/>
      <c r="J7" s="63"/>
      <c r="K7" s="63"/>
      <c r="L7" s="63"/>
      <c r="M7" s="63"/>
      <c r="N7" s="63">
        <v>1</v>
      </c>
      <c r="O7" s="63">
        <v>2</v>
      </c>
      <c r="P7" s="63">
        <v>3</v>
      </c>
      <c r="Q7" s="63">
        <v>4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ht="12.75">
      <c r="A8" s="63"/>
      <c r="B8" s="17" t="s">
        <v>123</v>
      </c>
      <c r="C8" s="63"/>
      <c r="D8" s="63"/>
      <c r="E8" s="42">
        <v>0.05</v>
      </c>
      <c r="F8" s="63"/>
      <c r="G8" s="63"/>
      <c r="H8" s="63"/>
      <c r="I8" s="63"/>
      <c r="J8" s="63"/>
      <c r="K8" s="63"/>
      <c r="L8" s="63"/>
      <c r="M8" s="1">
        <v>1</v>
      </c>
      <c r="N8" s="2">
        <v>1</v>
      </c>
      <c r="O8" s="2">
        <v>1</v>
      </c>
      <c r="P8" s="2">
        <v>1</v>
      </c>
      <c r="Q8" s="2">
        <v>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ht="12.75">
      <c r="A9" s="63"/>
      <c r="B9" s="17" t="s">
        <v>124</v>
      </c>
      <c r="C9" s="63"/>
      <c r="D9" s="63"/>
      <c r="E9" s="43">
        <v>0</v>
      </c>
      <c r="F9" s="63"/>
      <c r="G9" s="62" t="s">
        <v>125</v>
      </c>
      <c r="H9" s="63"/>
      <c r="I9" s="63"/>
      <c r="J9" s="63"/>
      <c r="K9" s="63"/>
      <c r="L9" s="63"/>
      <c r="M9" s="1">
        <v>2</v>
      </c>
      <c r="N9" s="2">
        <v>0.625</v>
      </c>
      <c r="O9" s="2">
        <v>0.566</v>
      </c>
      <c r="P9" s="2">
        <v>0.531</v>
      </c>
      <c r="Q9" s="2">
        <v>0.496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ht="12.75">
      <c r="A10" s="63"/>
      <c r="B10" s="17" t="s">
        <v>126</v>
      </c>
      <c r="C10" s="63"/>
      <c r="D10" s="63"/>
      <c r="E10" s="43">
        <v>0</v>
      </c>
      <c r="F10" s="63"/>
      <c r="G10" s="62" t="s">
        <v>127</v>
      </c>
      <c r="H10" s="63"/>
      <c r="I10" s="63"/>
      <c r="J10" s="63"/>
      <c r="K10" s="63"/>
      <c r="L10" s="63"/>
      <c r="M10" s="1">
        <v>3</v>
      </c>
      <c r="N10" s="2">
        <v>0.575</v>
      </c>
      <c r="O10" s="2">
        <v>0.501</v>
      </c>
      <c r="P10" s="2">
        <v>0.47</v>
      </c>
      <c r="Q10" s="2">
        <v>0.439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ht="12.75">
      <c r="A11" s="63"/>
      <c r="B11" s="17" t="s">
        <v>128</v>
      </c>
      <c r="C11" s="63"/>
      <c r="D11" s="63"/>
      <c r="E11" s="43">
        <v>0</v>
      </c>
      <c r="F11" s="63"/>
      <c r="G11" s="62" t="s">
        <v>129</v>
      </c>
      <c r="H11" s="63"/>
      <c r="I11" s="63"/>
      <c r="J11" s="63"/>
      <c r="K11" s="63"/>
      <c r="L11" s="63"/>
      <c r="M11" s="1">
        <v>4</v>
      </c>
      <c r="N11" s="2">
        <v>0.528</v>
      </c>
      <c r="O11" s="2">
        <v>0.444</v>
      </c>
      <c r="P11" s="2">
        <v>0.416</v>
      </c>
      <c r="Q11" s="2">
        <v>0.388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ht="12.75">
      <c r="A12" s="63"/>
      <c r="B12" s="17" t="s">
        <v>130</v>
      </c>
      <c r="C12" s="63"/>
      <c r="D12" s="63"/>
      <c r="E12" s="39">
        <v>1</v>
      </c>
      <c r="F12" s="63"/>
      <c r="G12" s="62" t="s">
        <v>131</v>
      </c>
      <c r="H12" s="63"/>
      <c r="I12" s="63"/>
      <c r="J12" s="63"/>
      <c r="K12" s="63"/>
      <c r="L12" s="63"/>
      <c r="M12" s="1">
        <v>5</v>
      </c>
      <c r="N12" s="2">
        <v>0.487</v>
      </c>
      <c r="O12" s="2">
        <v>0.393</v>
      </c>
      <c r="P12" s="2">
        <v>0.368</v>
      </c>
      <c r="Q12" s="2">
        <v>0.344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2.75">
      <c r="A13" s="63"/>
      <c r="B13" s="17" t="s">
        <v>132</v>
      </c>
      <c r="C13" s="63"/>
      <c r="D13" s="63"/>
      <c r="E13" s="39">
        <v>3</v>
      </c>
      <c r="F13" s="63"/>
      <c r="G13" s="3">
        <f ca="1">NOW()</f>
        <v>38348.4459875</v>
      </c>
      <c r="H13" s="63"/>
      <c r="I13" s="63"/>
      <c r="J13" s="63"/>
      <c r="K13" s="63"/>
      <c r="L13" s="63"/>
      <c r="M13" s="1">
        <v>6</v>
      </c>
      <c r="N13" s="2">
        <v>0.448</v>
      </c>
      <c r="O13" s="2">
        <v>0.347</v>
      </c>
      <c r="P13" s="2">
        <v>0.326</v>
      </c>
      <c r="Q13" s="2">
        <v>0.304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ht="12.75">
      <c r="A14" s="63"/>
      <c r="B14" s="17" t="s">
        <v>133</v>
      </c>
      <c r="C14" s="63"/>
      <c r="D14" s="63"/>
      <c r="E14" s="39">
        <v>5</v>
      </c>
      <c r="F14" s="63"/>
      <c r="G14" s="63"/>
      <c r="H14" s="63"/>
      <c r="I14" s="63"/>
      <c r="J14" s="63"/>
      <c r="K14" s="63"/>
      <c r="L14" s="63"/>
      <c r="M14" s="1">
        <v>7</v>
      </c>
      <c r="N14" s="2">
        <v>0.412</v>
      </c>
      <c r="O14" s="2">
        <v>0.307</v>
      </c>
      <c r="P14" s="2">
        <v>0.288</v>
      </c>
      <c r="Q14" s="2">
        <v>0.269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1" ht="12.75">
      <c r="A15" s="63"/>
      <c r="B15" s="17" t="s">
        <v>134</v>
      </c>
      <c r="C15" s="63"/>
      <c r="D15" s="63"/>
      <c r="E15" s="42">
        <v>0</v>
      </c>
      <c r="F15" s="63"/>
      <c r="G15" s="63"/>
      <c r="H15" s="63"/>
      <c r="I15" s="63"/>
      <c r="J15" s="63"/>
      <c r="K15" s="63"/>
      <c r="L15" s="63"/>
      <c r="M15" s="1">
        <v>8</v>
      </c>
      <c r="N15" s="2">
        <v>0.379</v>
      </c>
      <c r="O15" s="2">
        <v>0.272</v>
      </c>
      <c r="P15" s="2">
        <v>0.255</v>
      </c>
      <c r="Q15" s="2">
        <v>0.238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ht="12.75">
      <c r="A16" s="63"/>
      <c r="B16" s="17" t="s">
        <v>135</v>
      </c>
      <c r="C16" s="63"/>
      <c r="D16" s="63"/>
      <c r="E16" s="43">
        <v>1120</v>
      </c>
      <c r="F16" s="63"/>
      <c r="G16" s="63"/>
      <c r="H16" s="63"/>
      <c r="I16" s="63"/>
      <c r="J16" s="63"/>
      <c r="K16" s="63"/>
      <c r="L16" s="63"/>
      <c r="M16" s="1">
        <v>9</v>
      </c>
      <c r="N16" s="2">
        <v>0.348</v>
      </c>
      <c r="O16" s="2">
        <v>0.241</v>
      </c>
      <c r="P16" s="2">
        <v>0.226</v>
      </c>
      <c r="Q16" s="2">
        <v>0.211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ht="13.5" thickBot="1">
      <c r="A17" s="63"/>
      <c r="B17" s="18" t="s">
        <v>136</v>
      </c>
      <c r="C17" s="16"/>
      <c r="D17" s="16"/>
      <c r="E17" s="44">
        <v>0.03</v>
      </c>
      <c r="F17" s="63"/>
      <c r="G17" s="63"/>
      <c r="H17" s="63"/>
      <c r="I17" s="63"/>
      <c r="J17" s="63"/>
      <c r="K17" s="63"/>
      <c r="L17" s="63"/>
      <c r="M17" s="1">
        <v>10</v>
      </c>
      <c r="N17" s="2">
        <v>0.3211</v>
      </c>
      <c r="O17" s="2">
        <v>0.213</v>
      </c>
      <c r="P17" s="2">
        <v>0.2</v>
      </c>
      <c r="Q17" s="2">
        <v>0.186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ht="13.5" thickBot="1">
      <c r="A18" s="63"/>
      <c r="B18" s="15" t="s">
        <v>137</v>
      </c>
      <c r="C18" s="16"/>
      <c r="D18" s="16"/>
      <c r="E18" s="16"/>
      <c r="F18" s="63"/>
      <c r="G18" s="63"/>
      <c r="H18" s="63"/>
      <c r="I18" s="63"/>
      <c r="J18" s="63"/>
      <c r="K18" s="63"/>
      <c r="L18" s="63"/>
      <c r="M18" s="1">
        <v>11</v>
      </c>
      <c r="N18" s="2">
        <v>0.294</v>
      </c>
      <c r="O18" s="2">
        <v>0.189</v>
      </c>
      <c r="P18" s="2">
        <v>0.177</v>
      </c>
      <c r="Q18" s="2">
        <v>0.165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ht="13.5" thickTop="1">
      <c r="A19" s="63"/>
      <c r="B19" s="17" t="s">
        <v>138</v>
      </c>
      <c r="C19" s="63"/>
      <c r="D19" s="64" t="s">
        <v>139</v>
      </c>
      <c r="E19" s="36">
        <v>18000</v>
      </c>
      <c r="F19" s="63"/>
      <c r="G19" s="63"/>
      <c r="H19" s="63"/>
      <c r="I19" s="63"/>
      <c r="J19" s="63"/>
      <c r="K19" s="63"/>
      <c r="L19" s="63"/>
      <c r="M19" s="1">
        <v>12</v>
      </c>
      <c r="N19" s="2">
        <v>0.27</v>
      </c>
      <c r="O19" s="2">
        <v>0.167</v>
      </c>
      <c r="P19" s="2">
        <v>0.156</v>
      </c>
      <c r="Q19" s="2">
        <v>0.146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 ht="13.5" thickBot="1">
      <c r="A20" s="63"/>
      <c r="B20" s="18" t="s">
        <v>140</v>
      </c>
      <c r="C20" s="16"/>
      <c r="D20" s="19" t="s">
        <v>139</v>
      </c>
      <c r="E20" s="41">
        <v>15000</v>
      </c>
      <c r="F20" s="63"/>
      <c r="G20" s="63"/>
      <c r="H20" s="63"/>
      <c r="I20" s="63"/>
      <c r="J20" s="63"/>
      <c r="K20" s="63"/>
      <c r="L20" s="63"/>
      <c r="M20" s="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 ht="13.5" thickBot="1">
      <c r="A21" s="63"/>
      <c r="B21" s="20" t="s">
        <v>141</v>
      </c>
      <c r="C21" s="21"/>
      <c r="D21" s="21"/>
      <c r="E21" s="6">
        <f>E19-E20</f>
        <v>3000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 ht="13.5" thickTop="1">
      <c r="A22" s="63"/>
      <c r="B22" s="17" t="s">
        <v>142</v>
      </c>
      <c r="C22" s="63"/>
      <c r="D22" s="63"/>
      <c r="E22" s="38">
        <v>0.07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ht="12.75">
      <c r="A23" s="63"/>
      <c r="B23" s="17" t="s">
        <v>143</v>
      </c>
      <c r="C23" s="63"/>
      <c r="D23" s="64" t="s">
        <v>144</v>
      </c>
      <c r="E23" s="39">
        <v>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ht="13.5" thickBot="1">
      <c r="A24" s="63"/>
      <c r="B24" s="18" t="s">
        <v>145</v>
      </c>
      <c r="C24" s="16"/>
      <c r="D24" s="19" t="s">
        <v>144</v>
      </c>
      <c r="E24" s="40">
        <v>15</v>
      </c>
      <c r="F24" s="63" t="s">
        <v>146</v>
      </c>
      <c r="G24" s="63"/>
      <c r="H24" s="63"/>
      <c r="I24" s="63"/>
      <c r="J24" s="63"/>
      <c r="K24" s="63"/>
      <c r="L24" s="63"/>
      <c r="M24" s="62" t="s">
        <v>147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5" thickBot="1">
      <c r="A25" s="63"/>
      <c r="B25" s="62" t="s">
        <v>148</v>
      </c>
      <c r="C25" s="63"/>
      <c r="D25" s="63"/>
      <c r="E25" s="6">
        <f>PMT(E22,E23,-E20)</f>
        <v>3658.36041662061</v>
      </c>
      <c r="F25" s="63"/>
      <c r="G25" s="63"/>
      <c r="H25" s="63"/>
      <c r="I25" s="63"/>
      <c r="J25" s="65"/>
      <c r="K25" s="63"/>
      <c r="L25" s="63"/>
      <c r="M25" s="16"/>
      <c r="N25" s="22" t="s">
        <v>149</v>
      </c>
      <c r="O25" s="16"/>
      <c r="P25" s="16"/>
      <c r="Q25" s="16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ht="13.5" thickBot="1">
      <c r="A26" s="63"/>
      <c r="B26" s="63"/>
      <c r="C26" s="63"/>
      <c r="D26" s="63"/>
      <c r="E26" s="63"/>
      <c r="F26" s="63"/>
      <c r="G26" s="63"/>
      <c r="H26" s="63"/>
      <c r="I26" s="63"/>
      <c r="J26" s="65"/>
      <c r="K26" s="63"/>
      <c r="L26" s="63"/>
      <c r="M26" s="23" t="s">
        <v>120</v>
      </c>
      <c r="N26" s="23" t="s">
        <v>150</v>
      </c>
      <c r="O26" s="23" t="s">
        <v>151</v>
      </c>
      <c r="P26" s="23" t="s">
        <v>152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ht="13.5" thickTop="1">
      <c r="A27" s="63"/>
      <c r="B27" s="62" t="s">
        <v>153</v>
      </c>
      <c r="C27" s="63"/>
      <c r="D27" s="64" t="s">
        <v>139</v>
      </c>
      <c r="E27" s="36">
        <v>0</v>
      </c>
      <c r="F27" s="63"/>
      <c r="G27" s="63"/>
      <c r="H27" s="63"/>
      <c r="I27" s="63"/>
      <c r="J27" s="65"/>
      <c r="K27" s="63"/>
      <c r="L27" s="63"/>
      <c r="M27" s="24">
        <v>0</v>
      </c>
      <c r="N27" s="24">
        <v>3</v>
      </c>
      <c r="O27" s="24">
        <v>5</v>
      </c>
      <c r="P27" s="24">
        <v>7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ht="13.5" thickBot="1">
      <c r="A28" s="63"/>
      <c r="B28" s="62" t="s">
        <v>154</v>
      </c>
      <c r="C28" s="63"/>
      <c r="D28" s="63"/>
      <c r="E28" s="37">
        <v>0</v>
      </c>
      <c r="F28" s="63"/>
      <c r="G28" s="63"/>
      <c r="H28" s="63"/>
      <c r="I28" s="63"/>
      <c r="J28" s="65"/>
      <c r="K28" s="63"/>
      <c r="L28" s="63"/>
      <c r="M28" s="1">
        <v>1</v>
      </c>
      <c r="N28" s="77">
        <v>0.25</v>
      </c>
      <c r="O28" s="77">
        <v>0.15</v>
      </c>
      <c r="P28" s="77">
        <v>0.1071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1" ht="13.5" thickTop="1">
      <c r="A29" s="63"/>
      <c r="B29" s="62" t="s">
        <v>155</v>
      </c>
      <c r="C29" s="63"/>
      <c r="D29" s="63"/>
      <c r="E29" s="6">
        <f>IF(E12=1,(E19-E27)*E28,IF(E12=2,(E20+E21+E10-E27)*E28,0))</f>
        <v>0</v>
      </c>
      <c r="F29" s="63"/>
      <c r="G29" s="63"/>
      <c r="H29" s="63"/>
      <c r="I29" s="63"/>
      <c r="J29" s="65"/>
      <c r="K29" s="63"/>
      <c r="L29" s="63"/>
      <c r="M29" s="1">
        <v>2</v>
      </c>
      <c r="N29" s="77">
        <v>0.375</v>
      </c>
      <c r="O29" s="77">
        <v>0.255</v>
      </c>
      <c r="P29" s="77">
        <v>0.1913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1" ht="12.75">
      <c r="A30" s="63"/>
      <c r="B30" s="62" t="s">
        <v>156</v>
      </c>
      <c r="C30" s="63"/>
      <c r="D30" s="63"/>
      <c r="E30" s="6">
        <f>IF(E12=1,E19-E29/2-E27,IF(E12=2,E20+E21+E10-E29/2-E27,0))</f>
        <v>18000</v>
      </c>
      <c r="F30" s="63"/>
      <c r="G30" s="63"/>
      <c r="H30" s="63"/>
      <c r="I30" s="63"/>
      <c r="J30" s="65"/>
      <c r="K30" s="63"/>
      <c r="L30" s="63"/>
      <c r="M30" s="1">
        <v>3</v>
      </c>
      <c r="N30" s="77">
        <v>0.25</v>
      </c>
      <c r="O30" s="77">
        <v>0.1785</v>
      </c>
      <c r="P30" s="77">
        <v>0.1503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ht="12.75">
      <c r="A31" s="63"/>
      <c r="B31" s="62" t="s">
        <v>157</v>
      </c>
      <c r="C31" s="63"/>
      <c r="D31" s="63"/>
      <c r="E31" s="6">
        <f>Y33</f>
        <v>1728.1157006188957</v>
      </c>
      <c r="F31" s="63"/>
      <c r="G31" s="63"/>
      <c r="H31" s="63"/>
      <c r="I31" s="63"/>
      <c r="J31" s="63"/>
      <c r="K31" s="63"/>
      <c r="L31" s="63"/>
      <c r="M31" s="1">
        <v>4</v>
      </c>
      <c r="N31" s="77">
        <v>0.125</v>
      </c>
      <c r="O31" s="77">
        <v>0.1666</v>
      </c>
      <c r="P31" s="77">
        <v>0.1225</v>
      </c>
      <c r="Q31" s="63"/>
      <c r="R31" s="63"/>
      <c r="S31" s="63"/>
      <c r="T31" s="63"/>
      <c r="U31" s="63"/>
      <c r="V31" s="63"/>
      <c r="W31" s="63"/>
      <c r="X31" s="63"/>
      <c r="Y31" s="6">
        <f>IF($E$13=1,0.68*0.92^$J$30,IF($E$13=2,0.56*0.885^$J$30,IF($E$13=3,0.6*0.885^$J$30,IF($E$13=4,0.64*0.885^$J$30,0))))*$E$19</f>
        <v>10800</v>
      </c>
      <c r="Z31" s="63"/>
      <c r="AA31" s="63"/>
      <c r="AB31" s="63"/>
      <c r="AC31" s="63"/>
      <c r="AD31" s="63"/>
      <c r="AE31" s="63"/>
    </row>
    <row r="32" spans="1:31" ht="12.75">
      <c r="A32" s="63"/>
      <c r="B32" s="63"/>
      <c r="C32" s="63"/>
      <c r="D32" s="63"/>
      <c r="E32" s="63"/>
      <c r="F32" s="63"/>
      <c r="G32" s="63"/>
      <c r="H32" s="63"/>
      <c r="I32" s="63"/>
      <c r="J32" s="6"/>
      <c r="K32" s="63"/>
      <c r="L32" s="63"/>
      <c r="M32" s="1">
        <v>5</v>
      </c>
      <c r="N32" s="77"/>
      <c r="O32" s="77">
        <v>0.1666</v>
      </c>
      <c r="P32" s="77">
        <v>0.1225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2.75">
      <c r="A33" s="63"/>
      <c r="B33" s="62" t="s">
        <v>158</v>
      </c>
      <c r="C33" s="63"/>
      <c r="D33" s="63"/>
      <c r="E33" s="4">
        <f>E8*(1-E7)</f>
        <v>0.03950000000000001</v>
      </c>
      <c r="F33" s="63"/>
      <c r="G33" s="63"/>
      <c r="H33" s="63"/>
      <c r="I33" s="63"/>
      <c r="J33" s="63"/>
      <c r="K33" s="63"/>
      <c r="L33" s="63"/>
      <c r="M33" s="1">
        <v>6</v>
      </c>
      <c r="N33" s="77"/>
      <c r="O33" s="77">
        <v>0.0833</v>
      </c>
      <c r="P33" s="77">
        <v>0.1225</v>
      </c>
      <c r="Q33" s="63"/>
      <c r="R33" s="63"/>
      <c r="S33" s="63"/>
      <c r="T33" s="63"/>
      <c r="U33" s="63"/>
      <c r="V33" s="63"/>
      <c r="W33" s="63"/>
      <c r="X33" s="63"/>
      <c r="Y33" s="6">
        <f>IF($E$13=1,0.68*0.92^E24,IF($E$13=2,0.56*0.885^E24,IF($E$13=3,0.6*0.885^E24,IF($E$13=4,0.64*0.885^E24,0))))*$E$19</f>
        <v>1728.1157006188957</v>
      </c>
      <c r="Z33" s="63"/>
      <c r="AA33" s="63"/>
      <c r="AB33" s="63"/>
      <c r="AC33" s="63"/>
      <c r="AD33" s="63"/>
      <c r="AE33" s="63"/>
    </row>
    <row r="34" spans="1:31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">
        <v>7</v>
      </c>
      <c r="N34" s="77"/>
      <c r="O34" s="77"/>
      <c r="P34" s="77">
        <v>0.1225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">
        <v>8</v>
      </c>
      <c r="N35" s="77"/>
      <c r="O35" s="77"/>
      <c r="P35" s="77">
        <v>0.0613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 ht="15.75">
      <c r="A36" s="25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ht="12.75">
      <c r="A37" s="63"/>
      <c r="B37" s="63"/>
      <c r="C37" s="63"/>
      <c r="D37" s="66" t="s">
        <v>160</v>
      </c>
      <c r="E37" s="63"/>
      <c r="F37" s="63"/>
      <c r="G37" s="63"/>
      <c r="H37" s="63"/>
      <c r="I37" s="12" t="s">
        <v>161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ht="12.75">
      <c r="A38" s="63"/>
      <c r="B38" s="62" t="s">
        <v>141</v>
      </c>
      <c r="C38" s="63"/>
      <c r="D38" s="66" t="s">
        <v>162</v>
      </c>
      <c r="E38" s="12" t="s">
        <v>163</v>
      </c>
      <c r="F38" s="66" t="s">
        <v>164</v>
      </c>
      <c r="G38" s="62" t="s">
        <v>165</v>
      </c>
      <c r="H38" s="12" t="s">
        <v>166</v>
      </c>
      <c r="I38" s="12" t="s">
        <v>167</v>
      </c>
      <c r="J38" s="63"/>
      <c r="K38" s="66" t="s">
        <v>168</v>
      </c>
      <c r="L38" s="66"/>
      <c r="M38" s="63"/>
      <c r="N38" s="62" t="s">
        <v>169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2.75">
      <c r="A39" s="66" t="s">
        <v>120</v>
      </c>
      <c r="B39" s="66" t="s">
        <v>170</v>
      </c>
      <c r="C39" s="66" t="s">
        <v>171</v>
      </c>
      <c r="D39" s="12" t="s">
        <v>172</v>
      </c>
      <c r="E39" s="12" t="s">
        <v>173</v>
      </c>
      <c r="F39" s="66" t="s">
        <v>174</v>
      </c>
      <c r="G39" s="66" t="s">
        <v>175</v>
      </c>
      <c r="H39" s="12" t="s">
        <v>176</v>
      </c>
      <c r="I39" s="12" t="s">
        <v>177</v>
      </c>
      <c r="J39" s="66" t="s">
        <v>178</v>
      </c>
      <c r="K39" s="66" t="s">
        <v>179</v>
      </c>
      <c r="L39" s="66" t="s">
        <v>163</v>
      </c>
      <c r="M39" s="63"/>
      <c r="N39" s="62" t="s">
        <v>180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thickBot="1">
      <c r="A40" s="16"/>
      <c r="B40" s="23" t="s">
        <v>181</v>
      </c>
      <c r="C40" s="23" t="s">
        <v>182</v>
      </c>
      <c r="D40" s="23" t="s">
        <v>183</v>
      </c>
      <c r="E40" s="23" t="s">
        <v>184</v>
      </c>
      <c r="F40" s="23" t="s">
        <v>185</v>
      </c>
      <c r="G40" s="23" t="s">
        <v>186</v>
      </c>
      <c r="H40" s="23" t="s">
        <v>187</v>
      </c>
      <c r="I40" s="26">
        <f>E33</f>
        <v>0.03950000000000001</v>
      </c>
      <c r="J40" s="23" t="s">
        <v>188</v>
      </c>
      <c r="K40" s="67" t="s">
        <v>188</v>
      </c>
      <c r="L40" s="67" t="s">
        <v>189</v>
      </c>
      <c r="M40" s="63"/>
      <c r="N40" s="62" t="s">
        <v>190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">
        <f>-E15*(E9-E11)-(E9-E10)+E27</f>
        <v>0</v>
      </c>
      <c r="Z40" s="63"/>
      <c r="AA40" s="63"/>
      <c r="AB40" s="63"/>
      <c r="AC40" s="63"/>
      <c r="AD40" s="63"/>
      <c r="AE40" s="63"/>
    </row>
    <row r="41" spans="1:31" ht="12.75">
      <c r="A41" s="1">
        <v>0</v>
      </c>
      <c r="B41" s="7">
        <f>E21</f>
        <v>3000</v>
      </c>
      <c r="C41" s="48"/>
      <c r="D41" s="7">
        <f>E$30*HLOOKUP(+E$14,M$27:P$35,A41+1+1)+E27</f>
        <v>2700</v>
      </c>
      <c r="E41" s="7">
        <f>E16</f>
        <v>1120</v>
      </c>
      <c r="F41" s="48"/>
      <c r="G41" s="7">
        <f>-(D41+E41+Y40)*E7</f>
        <v>-802.1999999999999</v>
      </c>
      <c r="H41" s="7">
        <f>B41+E41+G41</f>
        <v>3317.8</v>
      </c>
      <c r="I41" s="8">
        <f aca="true" t="shared" si="0" ref="I41:I56">1/(1+(E$8*(1-E$7)))^A41</f>
        <v>1</v>
      </c>
      <c r="J41" s="7">
        <f aca="true" t="shared" si="1" ref="J41:J56">H41*I41</f>
        <v>3317.8</v>
      </c>
      <c r="K41" s="68">
        <f>J41</f>
        <v>3317.8</v>
      </c>
      <c r="L41" s="48"/>
      <c r="M41" s="63"/>
      <c r="N41" s="62" t="s">
        <v>191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ht="12.75">
      <c r="A42" s="1">
        <f>A41+1</f>
        <v>1</v>
      </c>
      <c r="B42" s="7">
        <f>-IF(A42&gt;$E$23,0,PPMT($E$22,A42,$E$23,$E$20))</f>
        <v>2608.36041662061</v>
      </c>
      <c r="C42" s="7">
        <f>-IF(A42&gt;$E$23,0,IPMT($E$22,A42,$E$23,$E$20))</f>
        <v>1050</v>
      </c>
      <c r="D42" s="7">
        <f aca="true" t="shared" si="2" ref="D42:D48">E$30*HLOOKUP(+E$14,M$27:P$35,A42+1+1)</f>
        <v>4590</v>
      </c>
      <c r="E42" s="7">
        <f>IF(A42=$E$24,0,E41*(1+E$17))</f>
        <v>1153.6000000000001</v>
      </c>
      <c r="F42" s="7">
        <f>-E29</f>
        <v>0</v>
      </c>
      <c r="G42" s="7">
        <f aca="true" t="shared" si="3" ref="G42:G56">-(+C42+D42+E42+F42)*$E$7</f>
        <v>-1426.656</v>
      </c>
      <c r="H42" s="7">
        <f aca="true" t="shared" si="4" ref="H42:H56">(B42+C42+E42+F42+G42)</f>
        <v>3385.30441662061</v>
      </c>
      <c r="I42" s="8">
        <f t="shared" si="0"/>
        <v>0.962000962000962</v>
      </c>
      <c r="J42" s="7">
        <f t="shared" si="1"/>
        <v>3256.6661054551323</v>
      </c>
      <c r="K42" s="68">
        <f>K41+J42</f>
        <v>6574.4661054551325</v>
      </c>
      <c r="L42" s="48"/>
      <c r="M42" s="63"/>
      <c r="N42" s="62" t="s">
        <v>192</v>
      </c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>
        <f aca="true" t="shared" si="5" ref="Y42:Y49">PV($E$22,$E$23-A42,-$E$25)</f>
        <v>12391.639583379385</v>
      </c>
      <c r="Z42" s="63"/>
      <c r="AA42" s="63"/>
      <c r="AB42" s="63"/>
      <c r="AC42" s="63"/>
      <c r="AD42" s="63"/>
      <c r="AE42" s="63"/>
    </row>
    <row r="43" spans="1:31" ht="12.75">
      <c r="A43" s="1">
        <f>A42+1</f>
        <v>2</v>
      </c>
      <c r="B43" s="7">
        <f aca="true" t="shared" si="6" ref="B43:B56">-IF(A43&gt;$E$23,0,PPMT($E$22,A43,$E$23,$E$20))</f>
        <v>2790.945645784053</v>
      </c>
      <c r="C43" s="7">
        <f aca="true" t="shared" si="7" ref="C43:C56">-IF(A43&gt;$E$23,0,IPMT($E$22,A43,$E$23,$E$20))</f>
        <v>867.4147708365573</v>
      </c>
      <c r="D43" s="7">
        <f t="shared" si="2"/>
        <v>3213</v>
      </c>
      <c r="E43" s="7">
        <f aca="true" t="shared" si="8" ref="E43:E56">IF(A43=$E$24,0,E42*(1+E$17))</f>
        <v>1188.208</v>
      </c>
      <c r="F43" s="7">
        <f>-IF($E$24=A43+1,$E$31-$Y$56,0)</f>
        <v>0</v>
      </c>
      <c r="G43" s="7">
        <f t="shared" si="3"/>
        <v>-1106.410781875677</v>
      </c>
      <c r="H43" s="7">
        <f t="shared" si="4"/>
        <v>3740.157634744933</v>
      </c>
      <c r="I43" s="8">
        <f t="shared" si="0"/>
        <v>0.9254458508907761</v>
      </c>
      <c r="J43" s="7">
        <f t="shared" si="1"/>
        <v>3461.313364752157</v>
      </c>
      <c r="K43" s="68">
        <f>IF(E43=0,0,K42+J43)</f>
        <v>10035.77947020729</v>
      </c>
      <c r="L43" s="5">
        <f>K43*($E$8/(1-(1/(1+$E$8)^(A43+1))))</f>
        <v>3685.2241742105343</v>
      </c>
      <c r="M43" s="63"/>
      <c r="N43" s="62" t="s">
        <v>193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f t="shared" si="5"/>
        <v>9600.693937595335</v>
      </c>
      <c r="Z43" s="63"/>
      <c r="AA43" s="63"/>
      <c r="AB43" s="63"/>
      <c r="AC43" s="63"/>
      <c r="AD43" s="63"/>
      <c r="AE43" s="63"/>
    </row>
    <row r="44" spans="1:31" ht="12.75">
      <c r="A44" s="1">
        <f aca="true" t="shared" si="9" ref="A44:A56">A43+1</f>
        <v>3</v>
      </c>
      <c r="B44" s="7">
        <f t="shared" si="6"/>
        <v>2986.3118409889366</v>
      </c>
      <c r="C44" s="7">
        <f t="shared" si="7"/>
        <v>672.0485756316737</v>
      </c>
      <c r="D44" s="7">
        <f t="shared" si="2"/>
        <v>2998.8</v>
      </c>
      <c r="E44" s="7">
        <f t="shared" si="8"/>
        <v>1223.8542400000001</v>
      </c>
      <c r="F44" s="7">
        <f aca="true" t="shared" si="10" ref="F44:F56">-IF($E$24=A44+1,$E$31-$Y$56,0)</f>
        <v>0</v>
      </c>
      <c r="G44" s="7">
        <f t="shared" si="3"/>
        <v>-1027.8875912826516</v>
      </c>
      <c r="H44" s="7">
        <f t="shared" si="4"/>
        <v>3854.3270653379586</v>
      </c>
      <c r="I44" s="8">
        <f t="shared" si="0"/>
        <v>0.8902797988367254</v>
      </c>
      <c r="J44" s="7">
        <f t="shared" si="1"/>
        <v>3431.429524380024</v>
      </c>
      <c r="K44" s="68">
        <f aca="true" t="shared" si="11" ref="K44:K56">IF(E44=0,0,K43+J44)</f>
        <v>13467.208994587314</v>
      </c>
      <c r="L44" s="5">
        <f aca="true" t="shared" si="12" ref="L44:L56">K44*($E$8/(1-(1/(1+$E$8)^(A44+1))))</f>
        <v>3797.9122886174055</v>
      </c>
      <c r="M44" s="63"/>
      <c r="N44" s="62" t="s">
        <v>194</v>
      </c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>
        <f t="shared" si="5"/>
        <v>6614.382096606397</v>
      </c>
      <c r="Z44" s="63"/>
      <c r="AA44" s="63"/>
      <c r="AB44" s="63"/>
      <c r="AC44" s="63"/>
      <c r="AD44" s="63"/>
      <c r="AE44" s="63"/>
    </row>
    <row r="45" spans="1:31" ht="12.75">
      <c r="A45" s="1">
        <f t="shared" si="9"/>
        <v>4</v>
      </c>
      <c r="B45" s="7">
        <f t="shared" si="6"/>
        <v>3195.353669858162</v>
      </c>
      <c r="C45" s="7">
        <f t="shared" si="7"/>
        <v>463.0067467624479</v>
      </c>
      <c r="D45" s="7">
        <f t="shared" si="2"/>
        <v>2998.8</v>
      </c>
      <c r="E45" s="7">
        <f t="shared" si="8"/>
        <v>1260.5698672</v>
      </c>
      <c r="F45" s="7">
        <f t="shared" si="10"/>
        <v>0</v>
      </c>
      <c r="G45" s="7">
        <f t="shared" si="3"/>
        <v>-991.6990889321141</v>
      </c>
      <c r="H45" s="7">
        <f t="shared" si="4"/>
        <v>3927.2311948884962</v>
      </c>
      <c r="I45" s="8">
        <f t="shared" si="0"/>
        <v>0.8564500229309527</v>
      </c>
      <c r="J45" s="7">
        <f t="shared" si="1"/>
        <v>3363.4772469174054</v>
      </c>
      <c r="K45" s="68">
        <f t="shared" si="11"/>
        <v>16830.686241504718</v>
      </c>
      <c r="L45" s="5">
        <f t="shared" si="12"/>
        <v>3887.4643569917716</v>
      </c>
      <c r="M45" s="63"/>
      <c r="N45" s="62" t="s">
        <v>195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>
        <f t="shared" si="5"/>
        <v>3419.0284267482366</v>
      </c>
      <c r="Z45" s="63"/>
      <c r="AA45" s="63"/>
      <c r="AB45" s="63"/>
      <c r="AC45" s="63"/>
      <c r="AD45" s="63"/>
      <c r="AE45" s="63"/>
    </row>
    <row r="46" spans="1:31" ht="12.75">
      <c r="A46" s="1">
        <f t="shared" si="9"/>
        <v>5</v>
      </c>
      <c r="B46" s="7">
        <f t="shared" si="6"/>
        <v>3419.0284267482334</v>
      </c>
      <c r="C46" s="7">
        <f t="shared" si="7"/>
        <v>239.3319898723767</v>
      </c>
      <c r="D46" s="7">
        <f t="shared" si="2"/>
        <v>1499.4</v>
      </c>
      <c r="E46" s="7">
        <f t="shared" si="8"/>
        <v>1298.3869632160001</v>
      </c>
      <c r="F46" s="7">
        <f t="shared" si="10"/>
        <v>0</v>
      </c>
      <c r="G46" s="7">
        <f t="shared" si="3"/>
        <v>-637.794980148559</v>
      </c>
      <c r="H46" s="7">
        <f t="shared" si="4"/>
        <v>4318.952399688051</v>
      </c>
      <c r="I46" s="8">
        <f t="shared" si="0"/>
        <v>0.8239057459653225</v>
      </c>
      <c r="J46" s="7">
        <f t="shared" si="1"/>
        <v>3558.4096986537033</v>
      </c>
      <c r="K46" s="68">
        <f t="shared" si="11"/>
        <v>20389.095940158422</v>
      </c>
      <c r="L46" s="5">
        <f t="shared" si="12"/>
        <v>4017.0080591857313</v>
      </c>
      <c r="M46" s="63"/>
      <c r="N46" s="62" t="s">
        <v>196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>
        <f t="shared" si="5"/>
        <v>0</v>
      </c>
      <c r="Z46" s="63"/>
      <c r="AA46" s="63"/>
      <c r="AB46" s="63"/>
      <c r="AC46" s="63"/>
      <c r="AD46" s="63"/>
      <c r="AE46" s="63"/>
    </row>
    <row r="47" spans="1:31" ht="12.75">
      <c r="A47" s="1">
        <f t="shared" si="9"/>
        <v>6</v>
      </c>
      <c r="B47" s="7">
        <f t="shared" si="6"/>
        <v>0</v>
      </c>
      <c r="C47" s="7">
        <f t="shared" si="7"/>
        <v>0</v>
      </c>
      <c r="D47" s="7">
        <f t="shared" si="2"/>
        <v>0</v>
      </c>
      <c r="E47" s="7">
        <f t="shared" si="8"/>
        <v>1337.3385721124803</v>
      </c>
      <c r="F47" s="7">
        <f t="shared" si="10"/>
        <v>0</v>
      </c>
      <c r="G47" s="7">
        <f t="shared" si="3"/>
        <v>-280.84110014362085</v>
      </c>
      <c r="H47" s="7">
        <f t="shared" si="4"/>
        <v>1056.4974719688594</v>
      </c>
      <c r="I47" s="8">
        <f t="shared" si="0"/>
        <v>0.7925981202167602</v>
      </c>
      <c r="J47" s="7">
        <f t="shared" si="1"/>
        <v>837.3779102962773</v>
      </c>
      <c r="K47" s="68">
        <f t="shared" si="11"/>
        <v>21226.4738504547</v>
      </c>
      <c r="L47" s="5">
        <f t="shared" si="12"/>
        <v>3668.355357087971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>
        <f t="shared" si="5"/>
        <v>-3658.36041662061</v>
      </c>
      <c r="Z47" s="63"/>
      <c r="AA47" s="63"/>
      <c r="AB47" s="63"/>
      <c r="AC47" s="63"/>
      <c r="AD47" s="63"/>
      <c r="AE47" s="63"/>
    </row>
    <row r="48" spans="1:31" ht="12.75">
      <c r="A48" s="1">
        <f t="shared" si="9"/>
        <v>7</v>
      </c>
      <c r="B48" s="7">
        <f t="shared" si="6"/>
        <v>0</v>
      </c>
      <c r="C48" s="7">
        <f t="shared" si="7"/>
        <v>0</v>
      </c>
      <c r="D48" s="7">
        <f t="shared" si="2"/>
        <v>0</v>
      </c>
      <c r="E48" s="7">
        <f t="shared" si="8"/>
        <v>1377.4587292758547</v>
      </c>
      <c r="F48" s="7">
        <f t="shared" si="10"/>
        <v>0</v>
      </c>
      <c r="G48" s="7">
        <f t="shared" si="3"/>
        <v>-289.26633314792946</v>
      </c>
      <c r="H48" s="7">
        <f t="shared" si="4"/>
        <v>1088.1923961279253</v>
      </c>
      <c r="I48" s="8">
        <f t="shared" si="0"/>
        <v>0.7624801541286774</v>
      </c>
      <c r="J48" s="7">
        <f t="shared" si="1"/>
        <v>829.7251059212754</v>
      </c>
      <c r="K48" s="68">
        <f t="shared" si="11"/>
        <v>22056.198956375974</v>
      </c>
      <c r="L48" s="5">
        <f t="shared" si="12"/>
        <v>3412.5751042634593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>
        <f t="shared" si="5"/>
        <v>-7572.806062404667</v>
      </c>
      <c r="Z48" s="63"/>
      <c r="AA48" s="63"/>
      <c r="AB48" s="63"/>
      <c r="AC48" s="63"/>
      <c r="AD48" s="63"/>
      <c r="AE48" s="63"/>
    </row>
    <row r="49" spans="1:31" ht="12.75">
      <c r="A49" s="1">
        <f t="shared" si="9"/>
        <v>8</v>
      </c>
      <c r="B49" s="7">
        <f t="shared" si="6"/>
        <v>0</v>
      </c>
      <c r="C49" s="7">
        <f t="shared" si="7"/>
        <v>0</v>
      </c>
      <c r="D49" s="46"/>
      <c r="E49" s="7">
        <f t="shared" si="8"/>
        <v>1418.7824911541304</v>
      </c>
      <c r="F49" s="7">
        <f t="shared" si="10"/>
        <v>0</v>
      </c>
      <c r="G49" s="7">
        <f t="shared" si="3"/>
        <v>-297.94432314236735</v>
      </c>
      <c r="H49" s="7">
        <f t="shared" si="4"/>
        <v>1120.8381680117632</v>
      </c>
      <c r="I49" s="8">
        <f t="shared" si="0"/>
        <v>0.7335066417784294</v>
      </c>
      <c r="J49" s="7">
        <f t="shared" si="1"/>
        <v>822.1422405953954</v>
      </c>
      <c r="K49" s="68">
        <f t="shared" si="11"/>
        <v>22878.34119697137</v>
      </c>
      <c r="L49" s="5">
        <f t="shared" si="12"/>
        <v>3218.7556527152624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>
        <f t="shared" si="5"/>
        <v>-11761.262903393608</v>
      </c>
      <c r="Z49" s="63"/>
      <c r="AA49" s="63"/>
      <c r="AB49" s="63"/>
      <c r="AC49" s="63"/>
      <c r="AD49" s="63"/>
      <c r="AE49" s="63"/>
    </row>
    <row r="50" spans="1:31" ht="12.75">
      <c r="A50" s="1">
        <f t="shared" si="9"/>
        <v>9</v>
      </c>
      <c r="B50" s="7">
        <f t="shared" si="6"/>
        <v>0</v>
      </c>
      <c r="C50" s="7">
        <f>-IF(A50&gt;$E$23,0,IPMT($E$22,A50,$E$23,$E$20))</f>
        <v>0</v>
      </c>
      <c r="D50" s="47"/>
      <c r="E50" s="7">
        <f t="shared" si="8"/>
        <v>1461.3459658887543</v>
      </c>
      <c r="F50" s="7">
        <f t="shared" si="10"/>
        <v>0</v>
      </c>
      <c r="G50" s="7">
        <f t="shared" si="3"/>
        <v>-306.8826528366384</v>
      </c>
      <c r="H50" s="7">
        <f t="shared" si="4"/>
        <v>1154.463313052116</v>
      </c>
      <c r="I50" s="8">
        <f t="shared" si="0"/>
        <v>0.7056340950249441</v>
      </c>
      <c r="J50" s="7">
        <f t="shared" si="1"/>
        <v>814.6286751450286</v>
      </c>
      <c r="K50" s="68">
        <f t="shared" si="11"/>
        <v>23692.9698721164</v>
      </c>
      <c r="L50" s="5">
        <f t="shared" si="12"/>
        <v>3068.3479929578043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ht="12.75">
      <c r="A51" s="1">
        <f t="shared" si="9"/>
        <v>10</v>
      </c>
      <c r="B51" s="7">
        <f t="shared" si="6"/>
        <v>0</v>
      </c>
      <c r="C51" s="7">
        <f t="shared" si="7"/>
        <v>0</v>
      </c>
      <c r="D51" s="47"/>
      <c r="E51" s="7">
        <f t="shared" si="8"/>
        <v>1505.186344865417</v>
      </c>
      <c r="F51" s="7">
        <f t="shared" si="10"/>
        <v>0</v>
      </c>
      <c r="G51" s="7">
        <f t="shared" si="3"/>
        <v>-316.08913242173753</v>
      </c>
      <c r="H51" s="7">
        <f t="shared" si="4"/>
        <v>1189.0972124436794</v>
      </c>
      <c r="I51" s="8">
        <f t="shared" si="0"/>
        <v>0.6788206782346743</v>
      </c>
      <c r="J51" s="7">
        <f t="shared" si="1"/>
        <v>807.183776237979</v>
      </c>
      <c r="K51" s="68">
        <f t="shared" si="11"/>
        <v>24500.15364835438</v>
      </c>
      <c r="L51" s="5">
        <f t="shared" si="12"/>
        <v>2949.5463390764303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ht="12.75">
      <c r="A52" s="1">
        <f t="shared" si="9"/>
        <v>11</v>
      </c>
      <c r="B52" s="7">
        <f t="shared" si="6"/>
        <v>0</v>
      </c>
      <c r="C52" s="7">
        <f t="shared" si="7"/>
        <v>0</v>
      </c>
      <c r="D52" s="48"/>
      <c r="E52" s="7">
        <f t="shared" si="8"/>
        <v>1550.3419352113795</v>
      </c>
      <c r="F52" s="7">
        <f t="shared" si="10"/>
        <v>0</v>
      </c>
      <c r="G52" s="7">
        <f t="shared" si="3"/>
        <v>-325.5718063943897</v>
      </c>
      <c r="H52" s="7">
        <f t="shared" si="4"/>
        <v>1224.7701288169897</v>
      </c>
      <c r="I52" s="8">
        <f t="shared" si="0"/>
        <v>0.653026145487902</v>
      </c>
      <c r="J52" s="7">
        <f t="shared" si="1"/>
        <v>799.8069163300801</v>
      </c>
      <c r="K52" s="68">
        <f t="shared" si="11"/>
        <v>25299.960564684457</v>
      </c>
      <c r="L52" s="5">
        <f t="shared" si="12"/>
        <v>2854.478424220984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ht="12.75">
      <c r="A53" s="1">
        <f t="shared" si="9"/>
        <v>12</v>
      </c>
      <c r="B53" s="7">
        <f t="shared" si="6"/>
        <v>0</v>
      </c>
      <c r="C53" s="7">
        <f t="shared" si="7"/>
        <v>0</v>
      </c>
      <c r="D53" s="48"/>
      <c r="E53" s="7">
        <f t="shared" si="8"/>
        <v>1596.8521932677208</v>
      </c>
      <c r="F53" s="7">
        <f t="shared" si="10"/>
        <v>0</v>
      </c>
      <c r="G53" s="7">
        <f t="shared" si="3"/>
        <v>-335.3389605862214</v>
      </c>
      <c r="H53" s="7">
        <f t="shared" si="4"/>
        <v>1261.5132326814994</v>
      </c>
      <c r="I53" s="8">
        <f t="shared" si="0"/>
        <v>0.628211780171142</v>
      </c>
      <c r="J53" s="7">
        <f t="shared" si="1"/>
        <v>792.4974736122967</v>
      </c>
      <c r="K53" s="68">
        <f t="shared" si="11"/>
        <v>26092.458038296754</v>
      </c>
      <c r="L53" s="5">
        <f t="shared" si="12"/>
        <v>2777.6925855737063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2.75">
      <c r="A54" s="1">
        <f t="shared" si="9"/>
        <v>13</v>
      </c>
      <c r="B54" s="7">
        <f t="shared" si="6"/>
        <v>0</v>
      </c>
      <c r="C54" s="7">
        <f t="shared" si="7"/>
        <v>0</v>
      </c>
      <c r="D54" s="48"/>
      <c r="E54" s="7">
        <f t="shared" si="8"/>
        <v>1644.7577590657525</v>
      </c>
      <c r="F54" s="7">
        <f t="shared" si="10"/>
        <v>0</v>
      </c>
      <c r="G54" s="7">
        <f t="shared" si="3"/>
        <v>-345.399129403808</v>
      </c>
      <c r="H54" s="7">
        <f t="shared" si="4"/>
        <v>1299.3586296619444</v>
      </c>
      <c r="I54" s="8">
        <f t="shared" si="0"/>
        <v>0.6043403368649755</v>
      </c>
      <c r="J54" s="7">
        <f t="shared" si="1"/>
        <v>785.2548319583124</v>
      </c>
      <c r="K54" s="68">
        <f t="shared" si="11"/>
        <v>26877.712870255065</v>
      </c>
      <c r="L54" s="5">
        <f t="shared" si="12"/>
        <v>2715.293244085659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ht="12.75">
      <c r="A55" s="1">
        <f t="shared" si="9"/>
        <v>14</v>
      </c>
      <c r="B55" s="7">
        <f t="shared" si="6"/>
        <v>0</v>
      </c>
      <c r="C55" s="7">
        <f t="shared" si="7"/>
        <v>0</v>
      </c>
      <c r="D55" s="48"/>
      <c r="E55" s="7">
        <f t="shared" si="8"/>
        <v>1694.100491837725</v>
      </c>
      <c r="F55" s="7">
        <f t="shared" si="10"/>
        <v>-1728.1157006188957</v>
      </c>
      <c r="G55" s="7">
        <f t="shared" si="3"/>
        <v>7.143193844045849</v>
      </c>
      <c r="H55" s="7">
        <f t="shared" si="4"/>
        <v>-26.872014937124863</v>
      </c>
      <c r="I55" s="8">
        <f t="shared" si="0"/>
        <v>0.5813759854400917</v>
      </c>
      <c r="J55" s="7">
        <f t="shared" si="1"/>
        <v>-15.622744164831833</v>
      </c>
      <c r="K55" s="68">
        <f t="shared" si="11"/>
        <v>26862.090126090232</v>
      </c>
      <c r="L55" s="5">
        <f t="shared" si="12"/>
        <v>2587.955212713229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3.5" thickBot="1">
      <c r="A56" s="16">
        <f t="shared" si="9"/>
        <v>15</v>
      </c>
      <c r="B56" s="51">
        <f t="shared" si="6"/>
        <v>0</v>
      </c>
      <c r="C56" s="51">
        <f t="shared" si="7"/>
        <v>0</v>
      </c>
      <c r="D56" s="49"/>
      <c r="E56" s="51">
        <f t="shared" si="8"/>
        <v>0</v>
      </c>
      <c r="F56" s="51">
        <f t="shared" si="10"/>
        <v>0</v>
      </c>
      <c r="G56" s="27">
        <f t="shared" si="3"/>
        <v>0</v>
      </c>
      <c r="H56" s="27">
        <f t="shared" si="4"/>
        <v>0</v>
      </c>
      <c r="I56" s="28">
        <f t="shared" si="0"/>
        <v>0.5592842572776254</v>
      </c>
      <c r="J56" s="27">
        <f t="shared" si="1"/>
        <v>0</v>
      </c>
      <c r="K56" s="69">
        <f t="shared" si="11"/>
        <v>0</v>
      </c>
      <c r="L56" s="53">
        <f t="shared" si="12"/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">
        <f>IF(E24&lt;5,F42/5*(5-E24),0)</f>
        <v>0</v>
      </c>
      <c r="Z56" s="63"/>
      <c r="AA56" s="63"/>
      <c r="AB56" s="63"/>
      <c r="AC56" s="63"/>
      <c r="AD56" s="63"/>
      <c r="AE56" s="63"/>
    </row>
    <row r="57" spans="1:31" ht="12.75">
      <c r="A57" s="63"/>
      <c r="B57" s="62" t="s">
        <v>197</v>
      </c>
      <c r="C57" s="63"/>
      <c r="D57" s="5">
        <f>SUM(D41:D51)</f>
        <v>18000</v>
      </c>
      <c r="E57" s="63"/>
      <c r="F57" s="63"/>
      <c r="G57" s="63"/>
      <c r="H57" s="29" t="s">
        <v>198</v>
      </c>
      <c r="I57" s="30"/>
      <c r="J57" s="76">
        <f>-SUM(J41:J56)</f>
        <v>-26862.090126090232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ht="12.75">
      <c r="A58" s="63"/>
      <c r="B58" s="63"/>
      <c r="C58" s="63"/>
      <c r="D58" s="63"/>
      <c r="E58" s="63"/>
      <c r="F58" s="63"/>
      <c r="G58" s="63"/>
      <c r="H58" s="62"/>
      <c r="I58" s="63"/>
      <c r="J58" s="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ht="12.75">
      <c r="A60" s="63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ht="12.75">
      <c r="A61" s="63"/>
      <c r="B61" s="6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ht="12.75">
      <c r="A62" s="63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ht="19.5">
      <c r="A64" s="31" t="s">
        <v>199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ht="13.5" thickBot="1">
      <c r="A65" s="62" t="s">
        <v>200</v>
      </c>
      <c r="B65" s="63"/>
      <c r="C65" s="63"/>
      <c r="D65" s="63"/>
      <c r="E65" s="70" t="str">
        <f>E6</f>
        <v>Pulled Swather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ht="13.5" thickTop="1">
      <c r="A66" s="62" t="s">
        <v>201</v>
      </c>
      <c r="B66" s="63"/>
      <c r="C66" s="63"/>
      <c r="D66" s="63"/>
      <c r="E66" s="36">
        <v>18000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12.75">
      <c r="A67" s="62" t="s">
        <v>202</v>
      </c>
      <c r="B67" s="63"/>
      <c r="C67" s="63"/>
      <c r="D67" s="63"/>
      <c r="E67" s="42">
        <v>0.3</v>
      </c>
      <c r="F67" s="62" t="s">
        <v>203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ht="12.75">
      <c r="A68" s="62" t="s">
        <v>204</v>
      </c>
      <c r="B68" s="63"/>
      <c r="C68" s="63"/>
      <c r="D68" s="63"/>
      <c r="E68" s="42">
        <v>0.07</v>
      </c>
      <c r="F68" s="62" t="s">
        <v>203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ht="12.75">
      <c r="A69" s="62" t="s">
        <v>205</v>
      </c>
      <c r="B69" s="63"/>
      <c r="C69" s="63"/>
      <c r="D69" s="63"/>
      <c r="E69" s="39">
        <v>5</v>
      </c>
      <c r="F69" s="62" t="s">
        <v>206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ht="13.5" thickBot="1">
      <c r="A70" s="62" t="s">
        <v>207</v>
      </c>
      <c r="B70" s="63"/>
      <c r="C70" s="63"/>
      <c r="D70" s="63"/>
      <c r="E70" s="40">
        <v>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ht="13.5" thickTop="1">
      <c r="A71" s="62" t="s">
        <v>122</v>
      </c>
      <c r="B71" s="63"/>
      <c r="C71" s="63"/>
      <c r="D71" s="63"/>
      <c r="E71" s="71">
        <f>E7</f>
        <v>0.21</v>
      </c>
      <c r="F71" s="62" t="s">
        <v>203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ht="13.5" thickBot="1">
      <c r="A72" s="62" t="s">
        <v>208</v>
      </c>
      <c r="B72" s="63"/>
      <c r="C72" s="63"/>
      <c r="D72" s="63"/>
      <c r="E72" s="71">
        <f>E8</f>
        <v>0.05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ht="13.5" thickTop="1">
      <c r="A73" s="62" t="s">
        <v>209</v>
      </c>
      <c r="B73" s="63"/>
      <c r="C73" s="63"/>
      <c r="D73" s="63"/>
      <c r="E73" s="36">
        <v>1000</v>
      </c>
      <c r="F73" s="62" t="s">
        <v>210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ht="12.75">
      <c r="A74" s="62" t="s">
        <v>211</v>
      </c>
      <c r="B74" s="63"/>
      <c r="C74" s="63"/>
      <c r="D74" s="63"/>
      <c r="E74" s="43">
        <v>1500</v>
      </c>
      <c r="F74" s="62" t="s">
        <v>210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ht="13.5" thickBot="1">
      <c r="A75" s="62" t="s">
        <v>212</v>
      </c>
      <c r="B75" s="63"/>
      <c r="C75" s="63"/>
      <c r="D75" s="63"/>
      <c r="E75" s="44">
        <v>0.1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ht="13.5" thickTop="1">
      <c r="A76" s="62" t="s">
        <v>136</v>
      </c>
      <c r="B76" s="63"/>
      <c r="C76" s="63"/>
      <c r="D76" s="63"/>
      <c r="E76" s="71">
        <f>E17</f>
        <v>0.03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ht="12.75">
      <c r="A78" s="62" t="s">
        <v>213</v>
      </c>
      <c r="B78" s="63"/>
      <c r="C78" s="63"/>
      <c r="D78" s="63"/>
      <c r="E78" s="5">
        <f>PMT(E68,E69,-(E66*(1-E67)))</f>
        <v>3073.0227499613125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ht="13.5" thickBot="1">
      <c r="A79" s="62" t="s">
        <v>214</v>
      </c>
      <c r="B79" s="63"/>
      <c r="C79" s="63"/>
      <c r="D79" s="63"/>
      <c r="E79" s="5">
        <f>E66*E67</f>
        <v>5400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ht="13.5" thickTop="1">
      <c r="A80" s="62" t="s">
        <v>215</v>
      </c>
      <c r="B80" s="63"/>
      <c r="C80" s="63"/>
      <c r="D80" s="63"/>
      <c r="E80" s="38">
        <v>0.8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ht="13.5" thickBot="1">
      <c r="A81" s="62" t="s">
        <v>216</v>
      </c>
      <c r="B81" s="63"/>
      <c r="C81" s="63"/>
      <c r="D81" s="63"/>
      <c r="E81" s="40">
        <v>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ht="13.5" thickTop="1">
      <c r="A82" s="62" t="s">
        <v>217</v>
      </c>
      <c r="B82" s="63"/>
      <c r="C82" s="63"/>
      <c r="D82" s="63"/>
      <c r="E82" s="5">
        <f>E79*(1-E75)</f>
        <v>4860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ht="15.75">
      <c r="A83" s="63"/>
      <c r="B83" s="25" t="s">
        <v>218</v>
      </c>
      <c r="C83" s="63"/>
      <c r="D83" s="63"/>
      <c r="E83" s="32">
        <f>H114</f>
        <v>-29662.115893684128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12" t="s">
        <v>219</v>
      </c>
      <c r="M84" s="12" t="s">
        <v>220</v>
      </c>
      <c r="N84" s="66"/>
      <c r="O84" s="66" t="s">
        <v>178</v>
      </c>
      <c r="P84" s="66" t="s">
        <v>178</v>
      </c>
      <c r="Q84" s="66"/>
      <c r="R84" s="66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ht="12.75">
      <c r="A85" s="66"/>
      <c r="B85" s="12"/>
      <c r="C85" s="82"/>
      <c r="D85" s="12"/>
      <c r="E85" s="12" t="s">
        <v>163</v>
      </c>
      <c r="F85" s="12" t="s">
        <v>161</v>
      </c>
      <c r="G85" s="12" t="s">
        <v>178</v>
      </c>
      <c r="H85" s="12" t="s">
        <v>163</v>
      </c>
      <c r="I85" s="12"/>
      <c r="J85" s="12"/>
      <c r="K85" s="12"/>
      <c r="L85" s="12" t="s">
        <v>221</v>
      </c>
      <c r="M85" s="12" t="s">
        <v>222</v>
      </c>
      <c r="N85" s="12" t="s">
        <v>220</v>
      </c>
      <c r="O85" s="66" t="s">
        <v>222</v>
      </c>
      <c r="P85" s="66" t="s">
        <v>222</v>
      </c>
      <c r="Q85" s="66"/>
      <c r="R85" s="66"/>
      <c r="S85" s="63"/>
      <c r="T85" s="63"/>
      <c r="U85" s="63"/>
      <c r="V85" s="63"/>
      <c r="W85" s="63"/>
      <c r="X85" s="63"/>
      <c r="Y85" s="66"/>
      <c r="Z85" s="66"/>
      <c r="AA85" s="66" t="s">
        <v>273</v>
      </c>
      <c r="AB85" s="66" t="s">
        <v>273</v>
      </c>
      <c r="AC85" s="63"/>
      <c r="AD85" s="63"/>
      <c r="AE85" s="63"/>
    </row>
    <row r="86" spans="1:31" ht="12.75">
      <c r="A86" s="66"/>
      <c r="B86" s="12" t="s">
        <v>223</v>
      </c>
      <c r="C86" s="82" t="s">
        <v>163</v>
      </c>
      <c r="D86" s="12" t="s">
        <v>219</v>
      </c>
      <c r="E86" s="12" t="s">
        <v>176</v>
      </c>
      <c r="F86" s="12" t="s">
        <v>167</v>
      </c>
      <c r="G86" s="12" t="s">
        <v>224</v>
      </c>
      <c r="H86" s="12" t="s">
        <v>225</v>
      </c>
      <c r="I86" s="12" t="s">
        <v>163</v>
      </c>
      <c r="J86" s="12" t="s">
        <v>163</v>
      </c>
      <c r="K86" s="12" t="s">
        <v>163</v>
      </c>
      <c r="L86" s="12" t="s">
        <v>226</v>
      </c>
      <c r="M86" s="12" t="s">
        <v>219</v>
      </c>
      <c r="N86" s="12" t="s">
        <v>222</v>
      </c>
      <c r="O86" s="66" t="s">
        <v>163</v>
      </c>
      <c r="P86" s="66" t="s">
        <v>227</v>
      </c>
      <c r="Q86" s="66" t="s">
        <v>228</v>
      </c>
      <c r="R86" s="66"/>
      <c r="S86" s="63"/>
      <c r="T86" s="63"/>
      <c r="U86" s="63"/>
      <c r="V86" s="63"/>
      <c r="W86" s="63"/>
      <c r="X86" s="63"/>
      <c r="Y86" s="66"/>
      <c r="Z86" s="66" t="s">
        <v>272</v>
      </c>
      <c r="AA86" s="66" t="s">
        <v>275</v>
      </c>
      <c r="AB86" s="66" t="s">
        <v>274</v>
      </c>
      <c r="AC86" s="63"/>
      <c r="AD86" s="63"/>
      <c r="AE86" s="63"/>
    </row>
    <row r="87" spans="1:31" ht="12.75">
      <c r="A87" s="12" t="s">
        <v>229</v>
      </c>
      <c r="B87" s="12" t="s">
        <v>230</v>
      </c>
      <c r="C87" s="82" t="s">
        <v>231</v>
      </c>
      <c r="D87" s="12" t="s">
        <v>232</v>
      </c>
      <c r="E87" s="12" t="s">
        <v>233</v>
      </c>
      <c r="F87" s="12" t="s">
        <v>177</v>
      </c>
      <c r="G87" s="12" t="s">
        <v>176</v>
      </c>
      <c r="H87" s="12" t="s">
        <v>234</v>
      </c>
      <c r="I87" s="12" t="s">
        <v>160</v>
      </c>
      <c r="J87" s="12" t="s">
        <v>227</v>
      </c>
      <c r="K87" s="12" t="s">
        <v>171</v>
      </c>
      <c r="L87" s="12" t="s">
        <v>235</v>
      </c>
      <c r="M87" s="12" t="s">
        <v>221</v>
      </c>
      <c r="N87" s="12" t="s">
        <v>236</v>
      </c>
      <c r="O87" s="66" t="s">
        <v>225</v>
      </c>
      <c r="P87" s="66" t="s">
        <v>237</v>
      </c>
      <c r="Q87" s="66" t="s">
        <v>238</v>
      </c>
      <c r="R87" s="66" t="s">
        <v>163</v>
      </c>
      <c r="S87" s="63"/>
      <c r="T87" s="63"/>
      <c r="U87" s="63"/>
      <c r="V87" s="63"/>
      <c r="W87" s="63"/>
      <c r="X87" s="63"/>
      <c r="Y87" s="66" t="s">
        <v>229</v>
      </c>
      <c r="Z87" s="66" t="s">
        <v>276</v>
      </c>
      <c r="AA87" s="66" t="s">
        <v>236</v>
      </c>
      <c r="AB87" s="66" t="s">
        <v>236</v>
      </c>
      <c r="AC87" s="63"/>
      <c r="AD87" s="63"/>
      <c r="AE87" s="63"/>
    </row>
    <row r="88" spans="1:31" ht="13.5" thickBot="1">
      <c r="A88" s="23" t="s">
        <v>120</v>
      </c>
      <c r="B88" s="23" t="s">
        <v>120</v>
      </c>
      <c r="C88" s="23" t="s">
        <v>239</v>
      </c>
      <c r="D88" s="23" t="s">
        <v>182</v>
      </c>
      <c r="E88" s="23" t="s">
        <v>182</v>
      </c>
      <c r="F88" s="89">
        <f>E72*(1-E71)</f>
        <v>0.03950000000000001</v>
      </c>
      <c r="G88" s="23" t="s">
        <v>240</v>
      </c>
      <c r="H88" s="23" t="s">
        <v>239</v>
      </c>
      <c r="I88" s="23" t="s">
        <v>184</v>
      </c>
      <c r="J88" s="23" t="s">
        <v>241</v>
      </c>
      <c r="K88" s="23" t="s">
        <v>182</v>
      </c>
      <c r="L88" s="23" t="s">
        <v>171</v>
      </c>
      <c r="M88" s="23" t="s">
        <v>242</v>
      </c>
      <c r="N88" s="23" t="s">
        <v>243</v>
      </c>
      <c r="O88" s="23" t="s">
        <v>234</v>
      </c>
      <c r="P88" s="23" t="s">
        <v>241</v>
      </c>
      <c r="Q88" s="54" t="s">
        <v>188</v>
      </c>
      <c r="R88" s="67" t="s">
        <v>189</v>
      </c>
      <c r="S88" s="63"/>
      <c r="T88" s="63"/>
      <c r="U88" s="63"/>
      <c r="V88" s="63"/>
      <c r="W88" s="63"/>
      <c r="X88" s="63"/>
      <c r="Y88" s="100" t="s">
        <v>120</v>
      </c>
      <c r="Z88" s="100" t="s">
        <v>177</v>
      </c>
      <c r="AA88" s="100" t="s">
        <v>277</v>
      </c>
      <c r="AB88" s="100" t="s">
        <v>278</v>
      </c>
      <c r="AC88" s="63"/>
      <c r="AD88" s="63"/>
      <c r="AE88" s="63"/>
    </row>
    <row r="89" spans="1:31" ht="12.75">
      <c r="A89" s="66">
        <v>0</v>
      </c>
      <c r="B89" s="66">
        <f aca="true" t="shared" si="13" ref="B89:B104">IF(A89&lt;E$69,0,(A89-E$69)+1)</f>
        <v>0</v>
      </c>
      <c r="C89" s="90">
        <f aca="true" t="shared" si="14" ref="C89:C101">IF(A89&gt;=$E$24,0,IF(OR(E$70=1,A89&lt;=E$69-1),E$78,IF(AND(A89=E$69,E$70=2),E$79*(1-E$80),0)))</f>
        <v>3073.0227499613125</v>
      </c>
      <c r="D89" s="90">
        <f>IF(A89&lt;=(E69-1),C89*E71,IF(AND(A89&gt;=E69,E70=2),0,C89*E71))</f>
        <v>645.3347774918756</v>
      </c>
      <c r="E89" s="90">
        <f>IF(OR(E70=1,A89&lt;=(E69-1)),C89-D89,0)</f>
        <v>2427.6879724694368</v>
      </c>
      <c r="F89" s="91">
        <f aca="true" t="shared" si="15" ref="F89:F104">1/(1+(E$72*(1-E$71)))^A89</f>
        <v>1</v>
      </c>
      <c r="G89" s="90">
        <f aca="true" t="shared" si="16" ref="G89:G104">E89*F89</f>
        <v>2427.6879724694368</v>
      </c>
      <c r="H89" s="90">
        <f>E73</f>
        <v>1000</v>
      </c>
      <c r="I89" s="90">
        <f aca="true" t="shared" si="17" ref="I89:I104">IF(A89&gt;=$E$24,0,IF(B89&gt;E$14+1,0,IF(AND(E$70=2,A89&gt;=E$69),E$82*HLOOKUP(E$14,M$27:P$35,(A89-E$69+1)+1),0)))</f>
        <v>0</v>
      </c>
      <c r="J89" s="90">
        <f>IF(B89&gt;$E$81,0,IF(C89&lt;&gt;$E$78,PPMT($E$68,B89,$E$81,$E$79*$E$80),0))</f>
        <v>0</v>
      </c>
      <c r="K89" s="90">
        <f>IF(B89&gt;$E$81,0,IF(C89&lt;&gt;$E$78,IPMT($E$68,B89,$E$81,$E$79*$E$80),0))</f>
        <v>0</v>
      </c>
      <c r="L89" s="90">
        <f aca="true" t="shared" si="18" ref="L89:L104">(H89+I89-K89)*E$71</f>
        <v>210</v>
      </c>
      <c r="M89" s="90">
        <f aca="true" t="shared" si="19" ref="M89:M104">F89*L89</f>
        <v>210</v>
      </c>
      <c r="N89" s="90">
        <f aca="true" t="shared" si="20" ref="N89:N104">IF(C89=E$79*(1-$E$80),C89*F89,0)</f>
        <v>0</v>
      </c>
      <c r="O89" s="90">
        <f aca="true" t="shared" si="21" ref="O89:O104">F89*H89</f>
        <v>1000</v>
      </c>
      <c r="P89" s="90">
        <f aca="true" t="shared" si="22" ref="P89:P104">SUM(J89:K89)*F89</f>
        <v>0</v>
      </c>
      <c r="Q89" s="92">
        <f>G89+N89+O89-P89-M89+IF($E$24-1=A89,$H$113,0)</f>
        <v>3217.6879724694368</v>
      </c>
      <c r="R89" s="93"/>
      <c r="S89" s="63"/>
      <c r="T89" s="63"/>
      <c r="U89" s="63"/>
      <c r="V89" s="63"/>
      <c r="W89" s="63"/>
      <c r="X89" s="63"/>
      <c r="Y89" s="66">
        <v>0</v>
      </c>
      <c r="Z89" s="66">
        <v>0</v>
      </c>
      <c r="AA89" s="90">
        <f>E73</f>
        <v>1000</v>
      </c>
      <c r="AB89" s="90">
        <f>E74</f>
        <v>1500</v>
      </c>
      <c r="AC89" s="63"/>
      <c r="AD89" s="63"/>
      <c r="AE89" s="63"/>
    </row>
    <row r="90" spans="1:31" ht="12.75">
      <c r="A90" s="66">
        <f aca="true" t="shared" si="23" ref="A90:A104">A89+1</f>
        <v>1</v>
      </c>
      <c r="B90" s="66">
        <f t="shared" si="13"/>
        <v>0</v>
      </c>
      <c r="C90" s="90">
        <f t="shared" si="14"/>
        <v>3073.0227499613125</v>
      </c>
      <c r="D90" s="90">
        <f>IF(A90&lt;=(E69-1),C90*E71,IF(AND(A90&gt;=E69,E70=2),0,C90*E71))</f>
        <v>645.3347774918756</v>
      </c>
      <c r="E90" s="90">
        <f>IF(OR(E70=1,A90&lt;=(E69-1)),C90-D90,0)</f>
        <v>2427.6879724694368</v>
      </c>
      <c r="F90" s="91">
        <f t="shared" si="15"/>
        <v>0.962000962000962</v>
      </c>
      <c r="G90" s="90">
        <f t="shared" si="16"/>
        <v>2335.438164953763</v>
      </c>
      <c r="H90" s="90">
        <f>IF(A90&gt;=$E$24,0,IF(AND(E$70=2,A90&lt;E$69),H89+(H89*E$76),VLOOKUP(A90,Y85:AB100,4)))</f>
        <v>1030</v>
      </c>
      <c r="I90" s="90">
        <f t="shared" si="17"/>
        <v>0</v>
      </c>
      <c r="J90" s="90">
        <f aca="true" t="shared" si="24" ref="J90:J104">IF(B90&gt;$E$81,0,IF(C90&lt;&gt;$E$78,PPMT($E$68,B90,$E$81,$E$79*$E$80),0))</f>
        <v>0</v>
      </c>
      <c r="K90" s="90">
        <f aca="true" t="shared" si="25" ref="K90:K104">IF(B90&gt;$E$81,0,IF(C90&lt;&gt;$E$78,IPMT($E$68,B90,$E$81,$E$79*$E$80),0))</f>
        <v>0</v>
      </c>
      <c r="L90" s="90">
        <f t="shared" si="18"/>
        <v>216.29999999999998</v>
      </c>
      <c r="M90" s="90">
        <f t="shared" si="19"/>
        <v>208.08080808080805</v>
      </c>
      <c r="N90" s="90">
        <f t="shared" si="20"/>
        <v>0</v>
      </c>
      <c r="O90" s="90">
        <f t="shared" si="21"/>
        <v>990.8609908609908</v>
      </c>
      <c r="P90" s="90">
        <f t="shared" si="22"/>
        <v>0</v>
      </c>
      <c r="Q90" s="92">
        <f>IF(H90=0,0,G90+N90+O90-P90-M90+IF($E$24-1=A90,$H$113,0)+Q89)</f>
        <v>6335.906320203383</v>
      </c>
      <c r="R90" s="93"/>
      <c r="S90" s="63"/>
      <c r="T90" s="63"/>
      <c r="U90" s="63"/>
      <c r="V90" s="63"/>
      <c r="W90" s="63"/>
      <c r="X90" s="63"/>
      <c r="Y90" s="66">
        <v>1</v>
      </c>
      <c r="Z90" s="101">
        <f>1+$E$76</f>
        <v>1.03</v>
      </c>
      <c r="AA90" s="90">
        <f>$AA$89*Z90</f>
        <v>1030</v>
      </c>
      <c r="AB90" s="90">
        <f>$AB$89*Z90</f>
        <v>1545</v>
      </c>
      <c r="AC90" s="63"/>
      <c r="AD90" s="63"/>
      <c r="AE90" s="63"/>
    </row>
    <row r="91" spans="1:31" ht="12.75">
      <c r="A91" s="66">
        <f t="shared" si="23"/>
        <v>2</v>
      </c>
      <c r="B91" s="66">
        <f t="shared" si="13"/>
        <v>0</v>
      </c>
      <c r="C91" s="90">
        <f t="shared" si="14"/>
        <v>3073.0227499613125</v>
      </c>
      <c r="D91" s="90">
        <f>IF(A91&lt;=(E69-1),C91*E71,IF(AND(A91&gt;=E69,E70=2),0,C91*E71))</f>
        <v>645.3347774918756</v>
      </c>
      <c r="E91" s="90">
        <f>IF(OR(E70=1,A91&lt;=(E69-1)),C91-D91,0)</f>
        <v>2427.6879724694368</v>
      </c>
      <c r="F91" s="91">
        <f t="shared" si="15"/>
        <v>0.9254458508907761</v>
      </c>
      <c r="G91" s="90">
        <f t="shared" si="16"/>
        <v>2246.693761379281</v>
      </c>
      <c r="H91" s="90">
        <f aca="true" t="shared" si="26" ref="H91:H104">IF(A91&gt;=$E$24,0,IF(AND(E$70=2,A91&lt;E$69),H90+(H90*E$76),VLOOKUP(A91,Y86:AB101,4)))</f>
        <v>1060.9</v>
      </c>
      <c r="I91" s="90">
        <f t="shared" si="17"/>
        <v>0</v>
      </c>
      <c r="J91" s="90">
        <f t="shared" si="24"/>
        <v>0</v>
      </c>
      <c r="K91" s="90">
        <f t="shared" si="25"/>
        <v>0</v>
      </c>
      <c r="L91" s="90">
        <f t="shared" si="18"/>
        <v>222.78900000000002</v>
      </c>
      <c r="M91" s="90">
        <f t="shared" si="19"/>
        <v>206.17915567410515</v>
      </c>
      <c r="N91" s="90">
        <f t="shared" si="20"/>
        <v>0</v>
      </c>
      <c r="O91" s="90">
        <f t="shared" si="21"/>
        <v>981.8055032100245</v>
      </c>
      <c r="P91" s="90">
        <f t="shared" si="22"/>
        <v>0</v>
      </c>
      <c r="Q91" s="92">
        <f aca="true" t="shared" si="27" ref="Q91:Q104">IF(H91=0,0,G91+N91+O91-P91-M91+IF($E$24-1=A91,$H$113,0)+Q90)</f>
        <v>9358.226429118584</v>
      </c>
      <c r="R91" s="90">
        <f>Q91*($E$8/(1-(1/(1+$E$8)^(A91+1))))</f>
        <v>3436.4208945308155</v>
      </c>
      <c r="S91" s="63"/>
      <c r="T91" s="63"/>
      <c r="U91" s="63"/>
      <c r="V91" s="63"/>
      <c r="W91" s="63"/>
      <c r="X91" s="63"/>
      <c r="Y91" s="66">
        <v>2</v>
      </c>
      <c r="Z91" s="101">
        <f>Z90*(1+$E$76)</f>
        <v>1.0609</v>
      </c>
      <c r="AA91" s="90">
        <f>$AA$89*Z91</f>
        <v>1060.8999999999999</v>
      </c>
      <c r="AB91" s="90">
        <f>$AB$89*Z91</f>
        <v>1591.35</v>
      </c>
      <c r="AC91" s="63"/>
      <c r="AD91" s="63"/>
      <c r="AE91" s="63"/>
    </row>
    <row r="92" spans="1:31" ht="12.75">
      <c r="A92" s="66">
        <f t="shared" si="23"/>
        <v>3</v>
      </c>
      <c r="B92" s="66">
        <f t="shared" si="13"/>
        <v>0</v>
      </c>
      <c r="C92" s="90">
        <f t="shared" si="14"/>
        <v>3073.0227499613125</v>
      </c>
      <c r="D92" s="90">
        <f>IF(A92&lt;=(E69-1),C92*E71,IF(AND(A92&gt;=E69,E70=2),0,C92*E71))</f>
        <v>645.3347774918756</v>
      </c>
      <c r="E92" s="90">
        <f>IF(OR(E70=1,A92&lt;=(E69-1)),C92-D92,0)</f>
        <v>2427.6879724694368</v>
      </c>
      <c r="F92" s="91">
        <f t="shared" si="15"/>
        <v>0.8902797988367254</v>
      </c>
      <c r="G92" s="90">
        <f t="shared" si="16"/>
        <v>2161.321559768428</v>
      </c>
      <c r="H92" s="90">
        <f t="shared" si="26"/>
        <v>1092.727</v>
      </c>
      <c r="I92" s="90">
        <f t="shared" si="17"/>
        <v>0</v>
      </c>
      <c r="J92" s="90">
        <f t="shared" si="24"/>
        <v>0</v>
      </c>
      <c r="K92" s="90">
        <f t="shared" si="25"/>
        <v>0</v>
      </c>
      <c r="L92" s="90">
        <f t="shared" si="18"/>
        <v>229.47267000000002</v>
      </c>
      <c r="M92" s="90">
        <f t="shared" si="19"/>
        <v>204.29488248612628</v>
      </c>
      <c r="N92" s="90">
        <f t="shared" si="20"/>
        <v>0</v>
      </c>
      <c r="O92" s="90">
        <f t="shared" si="21"/>
        <v>972.8327737434585</v>
      </c>
      <c r="P92" s="90">
        <f t="shared" si="22"/>
        <v>0</v>
      </c>
      <c r="Q92" s="92">
        <f t="shared" si="27"/>
        <v>12288.085880144343</v>
      </c>
      <c r="R92" s="90">
        <f aca="true" t="shared" si="28" ref="R92:R104">Q92*($E$8/(1-(1/(1+$E$8)^(A92+1))))</f>
        <v>3465.3856182482405</v>
      </c>
      <c r="S92" s="63"/>
      <c r="T92" s="63"/>
      <c r="U92" s="63"/>
      <c r="V92" s="63"/>
      <c r="W92" s="63"/>
      <c r="X92" s="63"/>
      <c r="Y92" s="66">
        <v>3</v>
      </c>
      <c r="Z92" s="101">
        <f aca="true" t="shared" si="29" ref="Z92:Z104">Z91*(1+$E$76)</f>
        <v>1.092727</v>
      </c>
      <c r="AA92" s="90">
        <f>$AA$89*Z92</f>
        <v>1092.727</v>
      </c>
      <c r="AB92" s="90">
        <f>$AB$89*Z92</f>
        <v>1639.0905</v>
      </c>
      <c r="AC92" s="63"/>
      <c r="AD92" s="63"/>
      <c r="AE92" s="63"/>
    </row>
    <row r="93" spans="1:31" ht="12.75">
      <c r="A93" s="66">
        <f t="shared" si="23"/>
        <v>4</v>
      </c>
      <c r="B93" s="66">
        <f t="shared" si="13"/>
        <v>0</v>
      </c>
      <c r="C93" s="90">
        <f t="shared" si="14"/>
        <v>3073.0227499613125</v>
      </c>
      <c r="D93" s="90">
        <f>IF(A93&lt;=(E69-1),C93*E71,IF(AND(A93&gt;=E69,E70=2),0,C93*E71))</f>
        <v>645.3347774918756</v>
      </c>
      <c r="E93" s="90">
        <f>IF(OR(E70=1,A93&lt;=(E69-1)),C93-D93,0)</f>
        <v>2427.6879724694368</v>
      </c>
      <c r="F93" s="91">
        <f t="shared" si="15"/>
        <v>0.8564500229309527</v>
      </c>
      <c r="G93" s="90">
        <f t="shared" si="16"/>
        <v>2079.1934196906473</v>
      </c>
      <c r="H93" s="90">
        <f t="shared" si="26"/>
        <v>1125.50881</v>
      </c>
      <c r="I93" s="90">
        <f t="shared" si="17"/>
        <v>0</v>
      </c>
      <c r="J93" s="90">
        <f t="shared" si="24"/>
        <v>0</v>
      </c>
      <c r="K93" s="90">
        <f t="shared" si="25"/>
        <v>0</v>
      </c>
      <c r="L93" s="90">
        <f t="shared" si="18"/>
        <v>236.3568501</v>
      </c>
      <c r="M93" s="90">
        <f t="shared" si="19"/>
        <v>202.42782968803277</v>
      </c>
      <c r="N93" s="90">
        <f t="shared" si="20"/>
        <v>0</v>
      </c>
      <c r="O93" s="90">
        <f t="shared" si="21"/>
        <v>963.9420461334894</v>
      </c>
      <c r="P93" s="90">
        <f t="shared" si="22"/>
        <v>0</v>
      </c>
      <c r="Q93" s="92">
        <f t="shared" si="27"/>
        <v>15128.793516280446</v>
      </c>
      <c r="R93" s="90">
        <f t="shared" si="28"/>
        <v>3494.370028347127</v>
      </c>
      <c r="S93" s="63"/>
      <c r="T93" s="63"/>
      <c r="U93" s="63"/>
      <c r="V93" s="63"/>
      <c r="W93" s="63"/>
      <c r="X93" s="63"/>
      <c r="Y93" s="66">
        <v>4</v>
      </c>
      <c r="Z93" s="101">
        <f t="shared" si="29"/>
        <v>1.1255088100000001</v>
      </c>
      <c r="AA93" s="90">
        <f>$AA$89*Z93</f>
        <v>1125.50881</v>
      </c>
      <c r="AB93" s="90">
        <f>$AB$89*Z93</f>
        <v>1688.2632150000002</v>
      </c>
      <c r="AC93" s="63"/>
      <c r="AD93" s="63"/>
      <c r="AE93" s="63"/>
    </row>
    <row r="94" spans="1:31" ht="12.75">
      <c r="A94" s="66">
        <f t="shared" si="23"/>
        <v>5</v>
      </c>
      <c r="B94" s="66">
        <f t="shared" si="13"/>
        <v>1</v>
      </c>
      <c r="C94" s="90">
        <f t="shared" si="14"/>
        <v>1079.9999999999998</v>
      </c>
      <c r="D94" s="90">
        <f>IF(A94&lt;=(E69-1),C94*E71,IF(AND(A94&gt;=E69,E70=2),0,C94*E71))</f>
        <v>0</v>
      </c>
      <c r="E94" s="90">
        <f>IF(OR(E70=1,A94&lt;=(E69-1)),C94-D94,0)</f>
        <v>0</v>
      </c>
      <c r="F94" s="91">
        <f t="shared" si="15"/>
        <v>0.8239057459653225</v>
      </c>
      <c r="G94" s="90">
        <f t="shared" si="16"/>
        <v>0</v>
      </c>
      <c r="H94" s="90">
        <f t="shared" si="26"/>
        <v>1738.9111114500001</v>
      </c>
      <c r="I94" s="90">
        <f t="shared" si="17"/>
        <v>729</v>
      </c>
      <c r="J94" s="90">
        <f t="shared" si="24"/>
        <v>-751.2077999867356</v>
      </c>
      <c r="K94" s="90">
        <f t="shared" si="25"/>
        <v>-302.40000000000003</v>
      </c>
      <c r="L94" s="90">
        <f t="shared" si="18"/>
        <v>581.7653334045</v>
      </c>
      <c r="M94" s="90">
        <f t="shared" si="19"/>
        <v>479.31980099539913</v>
      </c>
      <c r="N94" s="90">
        <f t="shared" si="20"/>
        <v>889.8182056425482</v>
      </c>
      <c r="O94" s="90">
        <f t="shared" si="21"/>
        <v>1432.6988564466005</v>
      </c>
      <c r="P94" s="90">
        <f>SUM(J94:K94)*F94</f>
        <v>-868.0735204029538</v>
      </c>
      <c r="Q94" s="92">
        <f t="shared" si="27"/>
        <v>17840.06429777715</v>
      </c>
      <c r="R94" s="90">
        <f t="shared" si="28"/>
        <v>3514.804298871018</v>
      </c>
      <c r="S94" s="63"/>
      <c r="T94" s="63"/>
      <c r="U94" s="63"/>
      <c r="V94" s="63"/>
      <c r="W94" s="63"/>
      <c r="X94" s="63"/>
      <c r="Y94" s="66">
        <v>5</v>
      </c>
      <c r="Z94" s="101">
        <f t="shared" si="29"/>
        <v>1.1592740743</v>
      </c>
      <c r="AA94" s="90">
        <f>$AA$89*Z94</f>
        <v>1159.2740743000002</v>
      </c>
      <c r="AB94" s="90">
        <f>$AB$89*Z94</f>
        <v>1738.9111114500001</v>
      </c>
      <c r="AC94" s="63"/>
      <c r="AD94" s="63"/>
      <c r="AE94" s="63"/>
    </row>
    <row r="95" spans="1:31" ht="12.75">
      <c r="A95" s="66">
        <f t="shared" si="23"/>
        <v>6</v>
      </c>
      <c r="B95" s="66">
        <f t="shared" si="13"/>
        <v>2</v>
      </c>
      <c r="C95" s="90">
        <f t="shared" si="14"/>
        <v>0</v>
      </c>
      <c r="D95" s="90">
        <f>IF(A95&lt;=(E69-1),C95*E71,IF(AND(A95&gt;=E69,E70=2),0,C95*E71))</f>
        <v>0</v>
      </c>
      <c r="E95" s="90">
        <f>IF(OR(E70=1,A95&lt;=(E69-1)),C95-D95,0)</f>
        <v>0</v>
      </c>
      <c r="F95" s="91">
        <f t="shared" si="15"/>
        <v>0.7925981202167602</v>
      </c>
      <c r="G95" s="90">
        <f t="shared" si="16"/>
        <v>0</v>
      </c>
      <c r="H95" s="90">
        <f t="shared" si="26"/>
        <v>1791.0784447935002</v>
      </c>
      <c r="I95" s="90">
        <f t="shared" si="17"/>
        <v>1239.3</v>
      </c>
      <c r="J95" s="90">
        <f t="shared" si="24"/>
        <v>-803.7923459858072</v>
      </c>
      <c r="K95" s="90">
        <f t="shared" si="25"/>
        <v>-249.8154540009285</v>
      </c>
      <c r="L95" s="90">
        <f t="shared" si="18"/>
        <v>688.84071874683</v>
      </c>
      <c r="M95" s="90">
        <f t="shared" si="19"/>
        <v>545.9738588074995</v>
      </c>
      <c r="N95" s="90">
        <f t="shared" si="20"/>
        <v>0</v>
      </c>
      <c r="O95" s="90">
        <f t="shared" si="21"/>
        <v>1419.6054085040867</v>
      </c>
      <c r="P95" s="90">
        <f t="shared" si="22"/>
        <v>-835.087561715203</v>
      </c>
      <c r="Q95" s="92">
        <f t="shared" si="27"/>
        <v>19548.783409188938</v>
      </c>
      <c r="R95" s="90">
        <f t="shared" si="28"/>
        <v>3378.417199619546</v>
      </c>
      <c r="S95" s="63"/>
      <c r="T95" s="63"/>
      <c r="U95" s="63"/>
      <c r="V95" s="63"/>
      <c r="W95" s="63"/>
      <c r="X95" s="63"/>
      <c r="Y95" s="66">
        <v>6</v>
      </c>
      <c r="Z95" s="101">
        <f t="shared" si="29"/>
        <v>1.1940522965290001</v>
      </c>
      <c r="AA95" s="90">
        <f>$AA$89*Z95</f>
        <v>1194.0522965290002</v>
      </c>
      <c r="AB95" s="90">
        <f>$AB$89*Z95</f>
        <v>1791.0784447935002</v>
      </c>
      <c r="AC95" s="63"/>
      <c r="AD95" s="63"/>
      <c r="AE95" s="63"/>
    </row>
    <row r="96" spans="1:31" ht="12.75">
      <c r="A96" s="66">
        <f t="shared" si="23"/>
        <v>7</v>
      </c>
      <c r="B96" s="66">
        <f t="shared" si="13"/>
        <v>3</v>
      </c>
      <c r="C96" s="90">
        <f t="shared" si="14"/>
        <v>0</v>
      </c>
      <c r="D96" s="90">
        <f>IF(A96&lt;=(E69-1),C96*E71,IF(AND(A96&gt;=E69,E70=2),0,C96*E71))</f>
        <v>0</v>
      </c>
      <c r="E96" s="90">
        <f>IF(OR(E70=1,A96&lt;=(E69-1)),C96-D96,0)</f>
        <v>0</v>
      </c>
      <c r="F96" s="91">
        <f t="shared" si="15"/>
        <v>0.7624801541286774</v>
      </c>
      <c r="G96" s="90">
        <f t="shared" si="16"/>
        <v>0</v>
      </c>
      <c r="H96" s="90">
        <f t="shared" si="26"/>
        <v>1844.8107981373053</v>
      </c>
      <c r="I96" s="90">
        <f t="shared" si="17"/>
        <v>867.51</v>
      </c>
      <c r="J96" s="90">
        <f t="shared" si="24"/>
        <v>-860.0578102048137</v>
      </c>
      <c r="K96" s="90">
        <f t="shared" si="25"/>
        <v>-193.549989781922</v>
      </c>
      <c r="L96" s="90">
        <f t="shared" si="18"/>
        <v>610.2328654630377</v>
      </c>
      <c r="M96" s="90">
        <f t="shared" si="19"/>
        <v>465.29044931264144</v>
      </c>
      <c r="N96" s="90">
        <f t="shared" si="20"/>
        <v>0</v>
      </c>
      <c r="O96" s="90">
        <f t="shared" si="21"/>
        <v>1406.631621701981</v>
      </c>
      <c r="P96" s="90">
        <f t="shared" si="22"/>
        <v>-803.355037725063</v>
      </c>
      <c r="Q96" s="92">
        <f t="shared" si="27"/>
        <v>21293.47961930334</v>
      </c>
      <c r="R96" s="90">
        <f t="shared" si="28"/>
        <v>3294.5657851426786</v>
      </c>
      <c r="S96" s="63"/>
      <c r="T96" s="63"/>
      <c r="U96" s="63"/>
      <c r="V96" s="63"/>
      <c r="W96" s="63"/>
      <c r="X96" s="63"/>
      <c r="Y96" s="66">
        <v>7</v>
      </c>
      <c r="Z96" s="101">
        <f t="shared" si="29"/>
        <v>1.2298738654248702</v>
      </c>
      <c r="AA96" s="90">
        <f>$AA$89*Z96</f>
        <v>1229.8738654248702</v>
      </c>
      <c r="AB96" s="90">
        <f>$AB$89*Z96</f>
        <v>1844.8107981373053</v>
      </c>
      <c r="AC96" s="63"/>
      <c r="AD96" s="63"/>
      <c r="AE96" s="63"/>
    </row>
    <row r="97" spans="1:31" ht="12.75">
      <c r="A97" s="66">
        <f t="shared" si="23"/>
        <v>8</v>
      </c>
      <c r="B97" s="66">
        <f t="shared" si="13"/>
        <v>4</v>
      </c>
      <c r="C97" s="90">
        <f t="shared" si="14"/>
        <v>0</v>
      </c>
      <c r="D97" s="90">
        <f>IF(A97&lt;=(E69-1),C97*E71,IF(AND(A97&gt;=E69,E70=2),0,C97*E71))</f>
        <v>0</v>
      </c>
      <c r="E97" s="90">
        <f>IF(OR(E70=1,A97&lt;=(E69-1)),C97-D97,0)</f>
        <v>0</v>
      </c>
      <c r="F97" s="91">
        <f t="shared" si="15"/>
        <v>0.7335066417784294</v>
      </c>
      <c r="G97" s="90">
        <f t="shared" si="16"/>
        <v>0</v>
      </c>
      <c r="H97" s="90">
        <f t="shared" si="26"/>
        <v>1900.1551220814245</v>
      </c>
      <c r="I97" s="90">
        <f t="shared" si="17"/>
        <v>809.676</v>
      </c>
      <c r="J97" s="90">
        <f t="shared" si="24"/>
        <v>-920.2618569191507</v>
      </c>
      <c r="K97" s="90">
        <f t="shared" si="25"/>
        <v>-133.34594306758498</v>
      </c>
      <c r="L97" s="90">
        <f t="shared" si="18"/>
        <v>597.0671836812919</v>
      </c>
      <c r="M97" s="90">
        <f t="shared" si="19"/>
        <v>437.9527448181691</v>
      </c>
      <c r="N97" s="90">
        <f t="shared" si="20"/>
        <v>0</v>
      </c>
      <c r="O97" s="90">
        <f t="shared" si="21"/>
        <v>1393.7764024560272</v>
      </c>
      <c r="P97" s="90">
        <f t="shared" si="22"/>
        <v>-772.8283191198296</v>
      </c>
      <c r="Q97" s="92">
        <f t="shared" si="27"/>
        <v>23022.131596061026</v>
      </c>
      <c r="R97" s="90">
        <f t="shared" si="28"/>
        <v>3238.9855354629367</v>
      </c>
      <c r="S97" s="63"/>
      <c r="T97" s="63"/>
      <c r="U97" s="63"/>
      <c r="V97" s="63"/>
      <c r="W97" s="63"/>
      <c r="X97" s="63"/>
      <c r="Y97" s="66">
        <v>8</v>
      </c>
      <c r="Z97" s="101">
        <f t="shared" si="29"/>
        <v>1.2667700813876164</v>
      </c>
      <c r="AA97" s="90">
        <f>$AA$89*Z97</f>
        <v>1266.7700813876163</v>
      </c>
      <c r="AB97" s="90">
        <f>$AB$89*Z97</f>
        <v>1900.1551220814245</v>
      </c>
      <c r="AC97" s="63"/>
      <c r="AD97" s="63"/>
      <c r="AE97" s="63"/>
    </row>
    <row r="98" spans="1:31" ht="12.75">
      <c r="A98" s="66">
        <f t="shared" si="23"/>
        <v>9</v>
      </c>
      <c r="B98" s="66">
        <f t="shared" si="13"/>
        <v>5</v>
      </c>
      <c r="C98" s="90">
        <f t="shared" si="14"/>
        <v>0</v>
      </c>
      <c r="D98" s="90">
        <f aca="true" t="shared" si="30" ref="D98:D104">IF(A98&lt;=(E$69-1),C98*E$71,IF(AND(A98&gt;=E$69,E$70=2),0,C98*E$71))</f>
        <v>0</v>
      </c>
      <c r="E98" s="90">
        <f aca="true" t="shared" si="31" ref="E98:E104">IF(OR(E$70=1,A98&lt;=(E$69-1)),C98-D98,0)</f>
        <v>0</v>
      </c>
      <c r="F98" s="91">
        <f t="shared" si="15"/>
        <v>0.7056340950249441</v>
      </c>
      <c r="G98" s="90">
        <f t="shared" si="16"/>
        <v>0</v>
      </c>
      <c r="H98" s="90">
        <f t="shared" si="26"/>
        <v>1957.1597757438674</v>
      </c>
      <c r="I98" s="90">
        <f t="shared" si="17"/>
        <v>809.676</v>
      </c>
      <c r="J98" s="90">
        <f t="shared" si="24"/>
        <v>-984.6801869034912</v>
      </c>
      <c r="K98" s="90">
        <f t="shared" si="25"/>
        <v>-68.92761308324448</v>
      </c>
      <c r="L98" s="90">
        <f t="shared" si="18"/>
        <v>595.5103116536935</v>
      </c>
      <c r="M98" s="90">
        <f t="shared" si="19"/>
        <v>420.21237984177645</v>
      </c>
      <c r="N98" s="90">
        <f t="shared" si="20"/>
        <v>0</v>
      </c>
      <c r="O98" s="90">
        <f t="shared" si="21"/>
        <v>1381.0386671762465</v>
      </c>
      <c r="P98" s="90">
        <f t="shared" si="22"/>
        <v>-743.4615864548625</v>
      </c>
      <c r="Q98" s="92">
        <f t="shared" si="27"/>
        <v>24726.41946985036</v>
      </c>
      <c r="R98" s="90">
        <f t="shared" si="28"/>
        <v>3202.184443860563</v>
      </c>
      <c r="S98" s="63"/>
      <c r="T98" s="63"/>
      <c r="U98" s="63"/>
      <c r="V98" s="63"/>
      <c r="W98" s="63"/>
      <c r="X98" s="63"/>
      <c r="Y98" s="66">
        <v>9</v>
      </c>
      <c r="Z98" s="101">
        <f t="shared" si="29"/>
        <v>1.304773183829245</v>
      </c>
      <c r="AA98" s="90">
        <f>$AA$89*Z98</f>
        <v>1304.773183829245</v>
      </c>
      <c r="AB98" s="90">
        <f>$AB$89*Z98</f>
        <v>1957.1597757438674</v>
      </c>
      <c r="AC98" s="63"/>
      <c r="AD98" s="63"/>
      <c r="AE98" s="63"/>
    </row>
    <row r="99" spans="1:31" ht="12.75">
      <c r="A99" s="66">
        <f t="shared" si="23"/>
        <v>10</v>
      </c>
      <c r="B99" s="66">
        <f t="shared" si="13"/>
        <v>6</v>
      </c>
      <c r="C99" s="90">
        <f t="shared" si="14"/>
        <v>0</v>
      </c>
      <c r="D99" s="90">
        <f t="shared" si="30"/>
        <v>0</v>
      </c>
      <c r="E99" s="90">
        <f t="shared" si="31"/>
        <v>0</v>
      </c>
      <c r="F99" s="91">
        <f t="shared" si="15"/>
        <v>0.6788206782346743</v>
      </c>
      <c r="G99" s="90">
        <f t="shared" si="16"/>
        <v>0</v>
      </c>
      <c r="H99" s="90">
        <f t="shared" si="26"/>
        <v>2015.8745690161834</v>
      </c>
      <c r="I99" s="90">
        <f t="shared" si="17"/>
        <v>404.838</v>
      </c>
      <c r="J99" s="90">
        <f t="shared" si="24"/>
        <v>0</v>
      </c>
      <c r="K99" s="90">
        <f t="shared" si="25"/>
        <v>0</v>
      </c>
      <c r="L99" s="90">
        <f t="shared" si="18"/>
        <v>508.3496394933985</v>
      </c>
      <c r="M99" s="90">
        <f t="shared" si="19"/>
        <v>345.0782470612609</v>
      </c>
      <c r="N99" s="90">
        <f t="shared" si="20"/>
        <v>0</v>
      </c>
      <c r="O99" s="90">
        <f t="shared" si="21"/>
        <v>1368.4173421755972</v>
      </c>
      <c r="P99" s="90">
        <f t="shared" si="22"/>
        <v>0</v>
      </c>
      <c r="Q99" s="92">
        <f t="shared" si="27"/>
        <v>25749.758564964697</v>
      </c>
      <c r="R99" s="90">
        <f t="shared" si="28"/>
        <v>3099.9848897884353</v>
      </c>
      <c r="S99" s="63"/>
      <c r="T99" s="63"/>
      <c r="U99" s="63"/>
      <c r="V99" s="63"/>
      <c r="W99" s="63"/>
      <c r="X99" s="63"/>
      <c r="Y99" s="66">
        <v>10</v>
      </c>
      <c r="Z99" s="101">
        <f t="shared" si="29"/>
        <v>1.3439163793441222</v>
      </c>
      <c r="AA99" s="90">
        <f>$AA$89*Z99</f>
        <v>1343.9163793441223</v>
      </c>
      <c r="AB99" s="90">
        <f>$AB$89*Z99</f>
        <v>2015.8745690161834</v>
      </c>
      <c r="AC99" s="63"/>
      <c r="AD99" s="63"/>
      <c r="AE99" s="63"/>
    </row>
    <row r="100" spans="1:31" ht="12.75">
      <c r="A100" s="66">
        <f t="shared" si="23"/>
        <v>11</v>
      </c>
      <c r="B100" s="66">
        <f t="shared" si="13"/>
        <v>7</v>
      </c>
      <c r="C100" s="90">
        <f t="shared" si="14"/>
        <v>0</v>
      </c>
      <c r="D100" s="90">
        <f t="shared" si="30"/>
        <v>0</v>
      </c>
      <c r="E100" s="90">
        <f t="shared" si="31"/>
        <v>0</v>
      </c>
      <c r="F100" s="91">
        <f t="shared" si="15"/>
        <v>0.653026145487902</v>
      </c>
      <c r="G100" s="90">
        <f t="shared" si="16"/>
        <v>0</v>
      </c>
      <c r="H100" s="90">
        <f t="shared" si="26"/>
        <v>2076.350806086669</v>
      </c>
      <c r="I100" s="90">
        <f t="shared" si="17"/>
        <v>0</v>
      </c>
      <c r="J100" s="90">
        <f t="shared" si="24"/>
        <v>0</v>
      </c>
      <c r="K100" s="90">
        <f t="shared" si="25"/>
        <v>0</v>
      </c>
      <c r="L100" s="90">
        <f t="shared" si="18"/>
        <v>436.0336692782004</v>
      </c>
      <c r="M100" s="90">
        <f t="shared" si="19"/>
        <v>284.74138635168987</v>
      </c>
      <c r="N100" s="90">
        <f t="shared" si="20"/>
        <v>0</v>
      </c>
      <c r="O100" s="90">
        <f t="shared" si="21"/>
        <v>1355.9113635794756</v>
      </c>
      <c r="P100" s="90">
        <f t="shared" si="22"/>
        <v>0</v>
      </c>
      <c r="Q100" s="92">
        <f t="shared" si="27"/>
        <v>26820.928542192483</v>
      </c>
      <c r="R100" s="90">
        <f t="shared" si="28"/>
        <v>3026.0822599118574</v>
      </c>
      <c r="S100" s="63"/>
      <c r="T100" s="63"/>
      <c r="U100" s="63"/>
      <c r="V100" s="63"/>
      <c r="W100" s="63"/>
      <c r="X100" s="63"/>
      <c r="Y100" s="66">
        <v>11</v>
      </c>
      <c r="Z100" s="101">
        <f t="shared" si="29"/>
        <v>1.384233870724446</v>
      </c>
      <c r="AA100" s="90">
        <f>$AA$89*Z100</f>
        <v>1384.233870724446</v>
      </c>
      <c r="AB100" s="90">
        <f>$AB$89*Z100</f>
        <v>2076.350806086669</v>
      </c>
      <c r="AC100" s="63"/>
      <c r="AD100" s="63"/>
      <c r="AE100" s="63"/>
    </row>
    <row r="101" spans="1:31" ht="12.75">
      <c r="A101" s="66">
        <f t="shared" si="23"/>
        <v>12</v>
      </c>
      <c r="B101" s="66">
        <f t="shared" si="13"/>
        <v>8</v>
      </c>
      <c r="C101" s="90">
        <f t="shared" si="14"/>
        <v>0</v>
      </c>
      <c r="D101" s="90">
        <f t="shared" si="30"/>
        <v>0</v>
      </c>
      <c r="E101" s="90">
        <f t="shared" si="31"/>
        <v>0</v>
      </c>
      <c r="F101" s="91">
        <f t="shared" si="15"/>
        <v>0.628211780171142</v>
      </c>
      <c r="G101" s="90">
        <f t="shared" si="16"/>
        <v>0</v>
      </c>
      <c r="H101" s="90">
        <f t="shared" si="26"/>
        <v>2138.641330269269</v>
      </c>
      <c r="I101" s="90">
        <f t="shared" si="17"/>
        <v>0</v>
      </c>
      <c r="J101" s="90">
        <f t="shared" si="24"/>
        <v>0</v>
      </c>
      <c r="K101" s="90">
        <f t="shared" si="25"/>
        <v>0</v>
      </c>
      <c r="L101" s="90">
        <f t="shared" si="18"/>
        <v>449.1146793565465</v>
      </c>
      <c r="M101" s="90">
        <f t="shared" si="19"/>
        <v>282.1391322195677</v>
      </c>
      <c r="N101" s="90">
        <f t="shared" si="20"/>
        <v>0</v>
      </c>
      <c r="O101" s="90">
        <f t="shared" si="21"/>
        <v>1343.5196772360366</v>
      </c>
      <c r="P101" s="90">
        <f t="shared" si="22"/>
        <v>0</v>
      </c>
      <c r="Q101" s="92">
        <f t="shared" si="27"/>
        <v>27882.309087208952</v>
      </c>
      <c r="R101" s="90">
        <f t="shared" si="28"/>
        <v>2968.2325485219144</v>
      </c>
      <c r="S101" s="63"/>
      <c r="T101" s="63"/>
      <c r="U101" s="63"/>
      <c r="V101" s="63"/>
      <c r="W101" s="63"/>
      <c r="X101" s="63"/>
      <c r="Y101" s="66">
        <v>12</v>
      </c>
      <c r="Z101" s="101">
        <f t="shared" si="29"/>
        <v>1.4257608868461793</v>
      </c>
      <c r="AA101" s="90">
        <f>$AA$89*Z101</f>
        <v>1425.7608868461793</v>
      </c>
      <c r="AB101" s="90">
        <f>$AB$89*Z101</f>
        <v>2138.641330269269</v>
      </c>
      <c r="AC101" s="63"/>
      <c r="AD101" s="63"/>
      <c r="AE101" s="63"/>
    </row>
    <row r="102" spans="1:31" ht="12.75">
      <c r="A102" s="66">
        <f t="shared" si="23"/>
        <v>13</v>
      </c>
      <c r="B102" s="66">
        <f t="shared" si="13"/>
        <v>9</v>
      </c>
      <c r="C102" s="90">
        <f>IF(A102&gt;=$E$24,0,IF(OR(E$70=1,A102&lt;=E$69-1),E$78,IF(AND(A102=E$69,E$70=2),E$79*(1-E$80),0)))</f>
        <v>0</v>
      </c>
      <c r="D102" s="90">
        <f t="shared" si="30"/>
        <v>0</v>
      </c>
      <c r="E102" s="90">
        <f t="shared" si="31"/>
        <v>0</v>
      </c>
      <c r="F102" s="91">
        <f t="shared" si="15"/>
        <v>0.6043403368649755</v>
      </c>
      <c r="G102" s="90">
        <f t="shared" si="16"/>
        <v>0</v>
      </c>
      <c r="H102" s="90">
        <f t="shared" si="26"/>
        <v>2202.8005701773473</v>
      </c>
      <c r="I102" s="90">
        <f t="shared" si="17"/>
        <v>0</v>
      </c>
      <c r="J102" s="90">
        <f t="shared" si="24"/>
        <v>0</v>
      </c>
      <c r="K102" s="90">
        <f t="shared" si="25"/>
        <v>0</v>
      </c>
      <c r="L102" s="90">
        <f t="shared" si="18"/>
        <v>462.5881197372429</v>
      </c>
      <c r="M102" s="90">
        <f t="shared" si="19"/>
        <v>279.56066011174096</v>
      </c>
      <c r="N102" s="90">
        <f t="shared" si="20"/>
        <v>0</v>
      </c>
      <c r="O102" s="90">
        <f t="shared" si="21"/>
        <v>1331.2412386273381</v>
      </c>
      <c r="P102" s="90">
        <f t="shared" si="22"/>
        <v>0</v>
      </c>
      <c r="Q102" s="92">
        <f t="shared" si="27"/>
        <v>28933.989665724548</v>
      </c>
      <c r="R102" s="90">
        <f t="shared" si="28"/>
        <v>2923.0264882668407</v>
      </c>
      <c r="S102" s="63"/>
      <c r="T102" s="63"/>
      <c r="U102" s="63"/>
      <c r="V102" s="63"/>
      <c r="W102" s="63"/>
      <c r="X102" s="63"/>
      <c r="Y102" s="66">
        <v>13</v>
      </c>
      <c r="Z102" s="101">
        <f t="shared" si="29"/>
        <v>1.4685337134515648</v>
      </c>
      <c r="AA102" s="90">
        <f>$AA$89*Z102</f>
        <v>1468.5337134515648</v>
      </c>
      <c r="AB102" s="90">
        <f>$AB$89*Z102</f>
        <v>2202.8005701773473</v>
      </c>
      <c r="AC102" s="63"/>
      <c r="AD102" s="63"/>
      <c r="AE102" s="63"/>
    </row>
    <row r="103" spans="1:31" ht="12.75">
      <c r="A103" s="66">
        <f t="shared" si="23"/>
        <v>14</v>
      </c>
      <c r="B103" s="66">
        <f t="shared" si="13"/>
        <v>10</v>
      </c>
      <c r="C103" s="90">
        <f>IF(A103&gt;=$E$24,0,IF(OR(E$70=1,A103&lt;=E$69-1),E$78,IF(AND(A103=E$69,E$70=2),E$79*(1-E$80),0)))</f>
        <v>0</v>
      </c>
      <c r="D103" s="90">
        <f t="shared" si="30"/>
        <v>0</v>
      </c>
      <c r="E103" s="90">
        <f t="shared" si="31"/>
        <v>0</v>
      </c>
      <c r="F103" s="91">
        <f t="shared" si="15"/>
        <v>0.5813759854400917</v>
      </c>
      <c r="G103" s="90">
        <f t="shared" si="16"/>
        <v>0</v>
      </c>
      <c r="H103" s="90">
        <f t="shared" si="26"/>
        <v>2268.884587282668</v>
      </c>
      <c r="I103" s="90">
        <f t="shared" si="17"/>
        <v>0</v>
      </c>
      <c r="J103" s="90">
        <f t="shared" si="24"/>
        <v>0</v>
      </c>
      <c r="K103" s="90">
        <f t="shared" si="25"/>
        <v>0</v>
      </c>
      <c r="L103" s="90">
        <f t="shared" si="18"/>
        <v>476.46576332936024</v>
      </c>
      <c r="M103" s="90">
        <f t="shared" si="19"/>
        <v>277.0057526840723</v>
      </c>
      <c r="N103" s="90">
        <f t="shared" si="20"/>
        <v>0</v>
      </c>
      <c r="O103" s="90">
        <f t="shared" si="21"/>
        <v>1319.075012781297</v>
      </c>
      <c r="P103" s="90">
        <f t="shared" si="22"/>
        <v>0</v>
      </c>
      <c r="Q103" s="92">
        <f t="shared" si="27"/>
        <v>29662.115893684124</v>
      </c>
      <c r="R103" s="90">
        <f t="shared" si="28"/>
        <v>2857.7161005280545</v>
      </c>
      <c r="S103" s="63"/>
      <c r="T103" s="63"/>
      <c r="U103" s="63"/>
      <c r="V103" s="63"/>
      <c r="W103" s="63"/>
      <c r="X103" s="63"/>
      <c r="Y103" s="66">
        <v>14</v>
      </c>
      <c r="Z103" s="101">
        <f t="shared" si="29"/>
        <v>1.512589724855112</v>
      </c>
      <c r="AA103" s="90">
        <f>$AA$89*Z103</f>
        <v>1512.5897248551119</v>
      </c>
      <c r="AB103" s="90">
        <f>$AB$89*Z103</f>
        <v>2268.884587282668</v>
      </c>
      <c r="AC103" s="63"/>
      <c r="AD103" s="63"/>
      <c r="AE103" s="63"/>
    </row>
    <row r="104" spans="1:31" ht="13.5" thickBot="1">
      <c r="A104" s="23">
        <f t="shared" si="23"/>
        <v>15</v>
      </c>
      <c r="B104" s="23">
        <f t="shared" si="13"/>
        <v>11</v>
      </c>
      <c r="C104" s="94">
        <f>IF(A104&gt;=$E$24,0,IF(OR(E$70=1,A104&lt;=E$69-1),E$78,IF(AND(A104=E$69,E$70=2),E$79*(1-E$80),0)))</f>
        <v>0</v>
      </c>
      <c r="D104" s="95">
        <f t="shared" si="30"/>
        <v>0</v>
      </c>
      <c r="E104" s="95">
        <f t="shared" si="31"/>
        <v>0</v>
      </c>
      <c r="F104" s="96">
        <f t="shared" si="15"/>
        <v>0.5592842572776254</v>
      </c>
      <c r="G104" s="95">
        <f t="shared" si="16"/>
        <v>0</v>
      </c>
      <c r="H104" s="94">
        <f t="shared" si="26"/>
        <v>0</v>
      </c>
      <c r="I104" s="94">
        <f t="shared" si="17"/>
        <v>0</v>
      </c>
      <c r="J104" s="94">
        <f t="shared" si="24"/>
        <v>0</v>
      </c>
      <c r="K104" s="94">
        <f t="shared" si="25"/>
        <v>0</v>
      </c>
      <c r="L104" s="95">
        <f t="shared" si="18"/>
        <v>0</v>
      </c>
      <c r="M104" s="95">
        <f t="shared" si="19"/>
        <v>0</v>
      </c>
      <c r="N104" s="94">
        <f t="shared" si="20"/>
        <v>0</v>
      </c>
      <c r="O104" s="95">
        <f t="shared" si="21"/>
        <v>0</v>
      </c>
      <c r="P104" s="95">
        <f t="shared" si="22"/>
        <v>0</v>
      </c>
      <c r="Q104" s="94">
        <f t="shared" si="27"/>
        <v>0</v>
      </c>
      <c r="R104" s="94">
        <f t="shared" si="28"/>
        <v>0</v>
      </c>
      <c r="S104" s="63"/>
      <c r="T104" s="63"/>
      <c r="U104" s="63"/>
      <c r="V104" s="63"/>
      <c r="W104" s="63"/>
      <c r="X104" s="63"/>
      <c r="Y104" s="66">
        <v>15</v>
      </c>
      <c r="Z104" s="101">
        <f t="shared" si="29"/>
        <v>1.5579674166007653</v>
      </c>
      <c r="AA104" s="90">
        <f>$AA$89*Z104</f>
        <v>1557.9674166007653</v>
      </c>
      <c r="AB104" s="90">
        <f>$AB$89*Z104</f>
        <v>2336.951124901148</v>
      </c>
      <c r="AC104" s="63"/>
      <c r="AD104" s="63"/>
      <c r="AE104" s="63"/>
    </row>
    <row r="105" spans="1:31" ht="12.75">
      <c r="A105" s="66"/>
      <c r="B105" s="66"/>
      <c r="C105" s="66"/>
      <c r="D105" s="66"/>
      <c r="E105" s="66"/>
      <c r="F105" s="66"/>
      <c r="G105" s="90">
        <f aca="true" t="shared" si="32" ref="G105:N105">SUM(G89:G104)</f>
        <v>11250.334878261558</v>
      </c>
      <c r="H105" s="90">
        <f t="shared" si="32"/>
        <v>25243.80292503823</v>
      </c>
      <c r="I105" s="90">
        <f t="shared" si="32"/>
        <v>4860</v>
      </c>
      <c r="J105" s="90">
        <f t="shared" si="32"/>
        <v>-4319.999999999998</v>
      </c>
      <c r="K105" s="90">
        <f t="shared" si="32"/>
        <v>-948.0389999336801</v>
      </c>
      <c r="L105" s="90">
        <f t="shared" si="32"/>
        <v>6520.886804244102</v>
      </c>
      <c r="M105" s="90">
        <f t="shared" si="32"/>
        <v>4848.257088132889</v>
      </c>
      <c r="N105" s="90">
        <f t="shared" si="32"/>
        <v>889.8182056425482</v>
      </c>
      <c r="O105" s="90">
        <f>SUM(O89:O104)</f>
        <v>18661.35690463265</v>
      </c>
      <c r="P105" s="90">
        <f>SUM(P89:P104)</f>
        <v>-4022.8060254179118</v>
      </c>
      <c r="Q105" s="92"/>
      <c r="R105" s="90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ht="12.75">
      <c r="A106" s="63"/>
      <c r="B106" s="63"/>
      <c r="C106" s="63"/>
      <c r="D106" s="63"/>
      <c r="E106" s="63"/>
      <c r="F106" s="5"/>
      <c r="G106" s="5"/>
      <c r="H106" s="63"/>
      <c r="I106" s="9"/>
      <c r="J106" s="9"/>
      <c r="K106" s="63"/>
      <c r="L106" s="63"/>
      <c r="M106" s="63"/>
      <c r="N106" s="63"/>
      <c r="O106" s="63"/>
      <c r="P106" s="63"/>
      <c r="Q106" s="7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ht="12.75">
      <c r="A107" s="63"/>
      <c r="B107" s="63"/>
      <c r="C107" s="63"/>
      <c r="D107" s="63"/>
      <c r="E107" s="63"/>
      <c r="F107" s="9"/>
      <c r="G107" s="9"/>
      <c r="H107" s="9"/>
      <c r="I107" s="9"/>
      <c r="J107" s="9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ht="12.75">
      <c r="A108" s="62" t="s">
        <v>244</v>
      </c>
      <c r="B108" s="63"/>
      <c r="C108" s="63"/>
      <c r="D108" s="62" t="s">
        <v>245</v>
      </c>
      <c r="E108" s="63"/>
      <c r="F108" s="63"/>
      <c r="G108" s="63"/>
      <c r="H108" s="5">
        <f>G105</f>
        <v>11250.334878261558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ht="12.75">
      <c r="A109" s="63"/>
      <c r="B109" s="63"/>
      <c r="C109" s="63"/>
      <c r="D109" s="62" t="s">
        <v>246</v>
      </c>
      <c r="E109" s="63"/>
      <c r="F109" s="63"/>
      <c r="G109" s="63"/>
      <c r="H109" s="5">
        <f>N105</f>
        <v>889.8182056425482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ht="12.75">
      <c r="A110" s="63"/>
      <c r="B110" s="63"/>
      <c r="C110" s="63"/>
      <c r="D110" s="62" t="s">
        <v>247</v>
      </c>
      <c r="E110" s="63"/>
      <c r="F110" s="63"/>
      <c r="G110" s="63"/>
      <c r="H110" s="5">
        <f>O105</f>
        <v>18661.35690463265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ht="12.75">
      <c r="A111" s="63"/>
      <c r="B111" s="63"/>
      <c r="C111" s="63"/>
      <c r="D111" s="62" t="s">
        <v>248</v>
      </c>
      <c r="E111" s="63"/>
      <c r="F111" s="63"/>
      <c r="G111" s="63"/>
      <c r="H111" s="5">
        <f>-P105</f>
        <v>4022.8060254179118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ht="12.75">
      <c r="A112" s="63"/>
      <c r="B112" s="63"/>
      <c r="C112" s="63"/>
      <c r="D112" s="62" t="s">
        <v>249</v>
      </c>
      <c r="E112" s="63"/>
      <c r="F112" s="63"/>
      <c r="G112" s="63"/>
      <c r="H112" s="5">
        <f>-M105</f>
        <v>-4848.257088132889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ht="13.5" thickBot="1">
      <c r="A113" s="63"/>
      <c r="B113" s="63"/>
      <c r="C113" s="63"/>
      <c r="D113" s="62" t="s">
        <v>250</v>
      </c>
      <c r="E113" s="63"/>
      <c r="F113" s="63"/>
      <c r="G113" s="63"/>
      <c r="H113" s="34">
        <f>-IF(E70=1,0,E79*E75*HLOOKUP(1,F89:F104,$E$24))</f>
        <v>-313.94303213764954</v>
      </c>
      <c r="I113" s="63"/>
      <c r="J113" s="63"/>
      <c r="K113" s="74" t="s">
        <v>251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ht="15.75">
      <c r="A114" s="63"/>
      <c r="B114" s="63"/>
      <c r="C114" s="63"/>
      <c r="D114" s="63"/>
      <c r="E114" s="25" t="s">
        <v>252</v>
      </c>
      <c r="F114" s="63"/>
      <c r="G114" s="63"/>
      <c r="H114" s="87">
        <f>-SUM(H108:H113)</f>
        <v>-29662.115893684128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ht="12.75">
      <c r="A115" s="63"/>
      <c r="B115" s="63"/>
      <c r="C115" s="63"/>
      <c r="D115" s="63"/>
      <c r="E115" s="63"/>
      <c r="F115" s="62"/>
      <c r="G115" s="63"/>
      <c r="H115" s="5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ht="15.75">
      <c r="A118" s="25" t="s">
        <v>253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ht="12.75">
      <c r="A119" s="62" t="s">
        <v>254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ht="12.75">
      <c r="A120" s="62" t="s">
        <v>255</v>
      </c>
      <c r="B120" s="63"/>
      <c r="C120" s="63"/>
      <c r="D120" s="63"/>
      <c r="E120" s="63"/>
      <c r="F120" s="63"/>
      <c r="G120" s="63"/>
      <c r="H120" s="12" t="s">
        <v>161</v>
      </c>
      <c r="I120" s="66"/>
      <c r="J120" s="74" t="s">
        <v>251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ht="12.75">
      <c r="A121" s="62" t="s">
        <v>256</v>
      </c>
      <c r="B121" s="63"/>
      <c r="C121" s="63"/>
      <c r="D121" s="12" t="s">
        <v>163</v>
      </c>
      <c r="E121" s="12" t="s">
        <v>163</v>
      </c>
      <c r="F121" s="12" t="s">
        <v>219</v>
      </c>
      <c r="G121" s="12" t="s">
        <v>176</v>
      </c>
      <c r="H121" s="12" t="s">
        <v>167</v>
      </c>
      <c r="I121" s="66" t="s">
        <v>168</v>
      </c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ht="12.75">
      <c r="A122" s="63"/>
      <c r="B122" s="63"/>
      <c r="C122" s="63"/>
      <c r="D122" s="12" t="s">
        <v>257</v>
      </c>
      <c r="E122" s="12" t="s">
        <v>258</v>
      </c>
      <c r="F122" s="12" t="s">
        <v>259</v>
      </c>
      <c r="G122" s="12" t="s">
        <v>225</v>
      </c>
      <c r="H122" s="12" t="s">
        <v>177</v>
      </c>
      <c r="I122" s="66" t="s">
        <v>179</v>
      </c>
      <c r="J122" s="66" t="s">
        <v>163</v>
      </c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ht="13.5" thickBot="1">
      <c r="A123" s="63"/>
      <c r="B123" s="63"/>
      <c r="C123" s="23" t="s">
        <v>260</v>
      </c>
      <c r="D123" s="12" t="s">
        <v>182</v>
      </c>
      <c r="E123" s="23" t="s">
        <v>261</v>
      </c>
      <c r="F123" s="23" t="s">
        <v>262</v>
      </c>
      <c r="G123" s="12" t="s">
        <v>239</v>
      </c>
      <c r="H123" s="26">
        <f>E33</f>
        <v>0.03950000000000001</v>
      </c>
      <c r="I123" s="67" t="s">
        <v>188</v>
      </c>
      <c r="J123" s="67" t="s">
        <v>189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ht="14.25" thickBot="1" thickTop="1">
      <c r="A124" s="63"/>
      <c r="B124" s="63"/>
      <c r="C124" s="1">
        <v>0</v>
      </c>
      <c r="D124" s="45">
        <v>0</v>
      </c>
      <c r="E124" s="61">
        <v>0</v>
      </c>
      <c r="F124" s="35">
        <f aca="true" t="shared" si="33" ref="F124:F139">E$71*(D124+E124)</f>
        <v>0</v>
      </c>
      <c r="G124" s="35">
        <f aca="true" t="shared" si="34" ref="G124:G139">D124+E124-F124</f>
        <v>0</v>
      </c>
      <c r="H124" s="8">
        <f aca="true" t="shared" si="35" ref="H124:H139">1/(1+(E$8*(1-E$7)))^C124</f>
        <v>1</v>
      </c>
      <c r="I124" s="55">
        <f>G124*H124</f>
        <v>0</v>
      </c>
      <c r="J124" s="48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ht="13.5" thickTop="1">
      <c r="A125" s="63"/>
      <c r="B125" s="63"/>
      <c r="C125" s="1">
        <f aca="true" t="shared" si="36" ref="C125:C139">C124+1</f>
        <v>1</v>
      </c>
      <c r="D125" s="5">
        <f>IF(C125&gt;=$E$24,0,D124+(D124*E$76))</f>
        <v>0</v>
      </c>
      <c r="E125" s="9">
        <f>IF(C125&gt;=$E$24,0,E124+(E124*E$76))</f>
        <v>0</v>
      </c>
      <c r="F125" s="9">
        <f t="shared" si="33"/>
        <v>0</v>
      </c>
      <c r="G125" s="9">
        <f t="shared" si="34"/>
        <v>0</v>
      </c>
      <c r="H125" s="8">
        <f t="shared" si="35"/>
        <v>0.962000962000962</v>
      </c>
      <c r="I125" s="56">
        <f>IF(C125&gt;=$E$24,0,G125*H125+I124)</f>
        <v>0</v>
      </c>
      <c r="J125" s="48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ht="12.75">
      <c r="A126" s="63"/>
      <c r="B126" s="63"/>
      <c r="C126" s="1">
        <f t="shared" si="36"/>
        <v>2</v>
      </c>
      <c r="D126" s="5">
        <f aca="true" t="shared" si="37" ref="D126:D139">IF(C126&gt;=$E$24,0,D125+(D125*E$76))</f>
        <v>0</v>
      </c>
      <c r="E126" s="9">
        <f aca="true" t="shared" si="38" ref="E126:E139">IF(C126&gt;=$E$24,0,E125+(E125*E$76))</f>
        <v>0</v>
      </c>
      <c r="F126" s="9">
        <f t="shared" si="33"/>
        <v>0</v>
      </c>
      <c r="G126" s="9">
        <f t="shared" si="34"/>
        <v>0</v>
      </c>
      <c r="H126" s="8">
        <f t="shared" si="35"/>
        <v>0.9254458508907761</v>
      </c>
      <c r="I126" s="56">
        <f aca="true" t="shared" si="39" ref="I126:I139">IF(C126&gt;=$E$24,0,G126*H126+I125)</f>
        <v>0</v>
      </c>
      <c r="J126" s="5">
        <f>I126*($E$8/(1-(1/(1+$E$8)^(C126+1))))</f>
        <v>0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ht="12.75">
      <c r="A127" s="63"/>
      <c r="B127" s="63"/>
      <c r="C127" s="1">
        <f t="shared" si="36"/>
        <v>3</v>
      </c>
      <c r="D127" s="5">
        <f t="shared" si="37"/>
        <v>0</v>
      </c>
      <c r="E127" s="9">
        <f t="shared" si="38"/>
        <v>0</v>
      </c>
      <c r="F127" s="9">
        <f t="shared" si="33"/>
        <v>0</v>
      </c>
      <c r="G127" s="9">
        <f t="shared" si="34"/>
        <v>0</v>
      </c>
      <c r="H127" s="8">
        <f t="shared" si="35"/>
        <v>0.8902797988367254</v>
      </c>
      <c r="I127" s="56">
        <f t="shared" si="39"/>
        <v>0</v>
      </c>
      <c r="J127" s="5">
        <f aca="true" t="shared" si="40" ref="J127:J139">I127*($E$8/(1-(1/(1+$E$8)^(C127+1))))</f>
        <v>0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ht="12.75">
      <c r="A128" s="63"/>
      <c r="B128" s="63"/>
      <c r="C128" s="1">
        <f t="shared" si="36"/>
        <v>4</v>
      </c>
      <c r="D128" s="5">
        <f t="shared" si="37"/>
        <v>0</v>
      </c>
      <c r="E128" s="9">
        <f t="shared" si="38"/>
        <v>0</v>
      </c>
      <c r="F128" s="9">
        <f t="shared" si="33"/>
        <v>0</v>
      </c>
      <c r="G128" s="9">
        <f t="shared" si="34"/>
        <v>0</v>
      </c>
      <c r="H128" s="8">
        <f t="shared" si="35"/>
        <v>0.8564500229309527</v>
      </c>
      <c r="I128" s="56">
        <f t="shared" si="39"/>
        <v>0</v>
      </c>
      <c r="J128" s="5">
        <f t="shared" si="40"/>
        <v>0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ht="12.75">
      <c r="A129" s="63"/>
      <c r="B129" s="63"/>
      <c r="C129" s="1">
        <f t="shared" si="36"/>
        <v>5</v>
      </c>
      <c r="D129" s="5">
        <f t="shared" si="37"/>
        <v>0</v>
      </c>
      <c r="E129" s="9">
        <f t="shared" si="38"/>
        <v>0</v>
      </c>
      <c r="F129" s="9">
        <f t="shared" si="33"/>
        <v>0</v>
      </c>
      <c r="G129" s="9">
        <f t="shared" si="34"/>
        <v>0</v>
      </c>
      <c r="H129" s="8">
        <f t="shared" si="35"/>
        <v>0.8239057459653225</v>
      </c>
      <c r="I129" s="56">
        <f t="shared" si="39"/>
        <v>0</v>
      </c>
      <c r="J129" s="5">
        <f t="shared" si="40"/>
        <v>0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ht="12.75">
      <c r="A130" s="63"/>
      <c r="B130" s="63"/>
      <c r="C130" s="1">
        <f t="shared" si="36"/>
        <v>6</v>
      </c>
      <c r="D130" s="5">
        <f t="shared" si="37"/>
        <v>0</v>
      </c>
      <c r="E130" s="9">
        <f t="shared" si="38"/>
        <v>0</v>
      </c>
      <c r="F130" s="9">
        <f t="shared" si="33"/>
        <v>0</v>
      </c>
      <c r="G130" s="9">
        <f t="shared" si="34"/>
        <v>0</v>
      </c>
      <c r="H130" s="8">
        <f t="shared" si="35"/>
        <v>0.7925981202167602</v>
      </c>
      <c r="I130" s="56">
        <f t="shared" si="39"/>
        <v>0</v>
      </c>
      <c r="J130" s="5">
        <f t="shared" si="40"/>
        <v>0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ht="12.75">
      <c r="A131" s="63"/>
      <c r="B131" s="63"/>
      <c r="C131" s="1">
        <f t="shared" si="36"/>
        <v>7</v>
      </c>
      <c r="D131" s="5">
        <f t="shared" si="37"/>
        <v>0</v>
      </c>
      <c r="E131" s="9">
        <f t="shared" si="38"/>
        <v>0</v>
      </c>
      <c r="F131" s="9">
        <f t="shared" si="33"/>
        <v>0</v>
      </c>
      <c r="G131" s="9">
        <f t="shared" si="34"/>
        <v>0</v>
      </c>
      <c r="H131" s="8">
        <f t="shared" si="35"/>
        <v>0.7624801541286774</v>
      </c>
      <c r="I131" s="56">
        <f t="shared" si="39"/>
        <v>0</v>
      </c>
      <c r="J131" s="5">
        <f t="shared" si="40"/>
        <v>0</v>
      </c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ht="12.75">
      <c r="A132" s="63"/>
      <c r="B132" s="63"/>
      <c r="C132" s="1">
        <f t="shared" si="36"/>
        <v>8</v>
      </c>
      <c r="D132" s="5">
        <f t="shared" si="37"/>
        <v>0</v>
      </c>
      <c r="E132" s="9">
        <f t="shared" si="38"/>
        <v>0</v>
      </c>
      <c r="F132" s="9">
        <f t="shared" si="33"/>
        <v>0</v>
      </c>
      <c r="G132" s="9">
        <f t="shared" si="34"/>
        <v>0</v>
      </c>
      <c r="H132" s="8">
        <f t="shared" si="35"/>
        <v>0.7335066417784294</v>
      </c>
      <c r="I132" s="56">
        <f t="shared" si="39"/>
        <v>0</v>
      </c>
      <c r="J132" s="5">
        <f t="shared" si="40"/>
        <v>0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ht="12.75">
      <c r="A133" s="63"/>
      <c r="B133" s="63"/>
      <c r="C133" s="1">
        <f t="shared" si="36"/>
        <v>9</v>
      </c>
      <c r="D133" s="5">
        <f t="shared" si="37"/>
        <v>0</v>
      </c>
      <c r="E133" s="9">
        <f t="shared" si="38"/>
        <v>0</v>
      </c>
      <c r="F133" s="9">
        <f t="shared" si="33"/>
        <v>0</v>
      </c>
      <c r="G133" s="9">
        <f t="shared" si="34"/>
        <v>0</v>
      </c>
      <c r="H133" s="8">
        <f t="shared" si="35"/>
        <v>0.7056340950249441</v>
      </c>
      <c r="I133" s="56">
        <f t="shared" si="39"/>
        <v>0</v>
      </c>
      <c r="J133" s="5">
        <f t="shared" si="40"/>
        <v>0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ht="12.75">
      <c r="A134" s="63"/>
      <c r="B134" s="63"/>
      <c r="C134" s="1">
        <f t="shared" si="36"/>
        <v>10</v>
      </c>
      <c r="D134" s="5">
        <f t="shared" si="37"/>
        <v>0</v>
      </c>
      <c r="E134" s="9">
        <f t="shared" si="38"/>
        <v>0</v>
      </c>
      <c r="F134" s="9">
        <f t="shared" si="33"/>
        <v>0</v>
      </c>
      <c r="G134" s="9">
        <f t="shared" si="34"/>
        <v>0</v>
      </c>
      <c r="H134" s="8">
        <f t="shared" si="35"/>
        <v>0.6788206782346743</v>
      </c>
      <c r="I134" s="56">
        <f t="shared" si="39"/>
        <v>0</v>
      </c>
      <c r="J134" s="5">
        <f t="shared" si="40"/>
        <v>0</v>
      </c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ht="12.75">
      <c r="A135" s="63"/>
      <c r="B135" s="63"/>
      <c r="C135" s="1">
        <f t="shared" si="36"/>
        <v>11</v>
      </c>
      <c r="D135" s="5">
        <f t="shared" si="37"/>
        <v>0</v>
      </c>
      <c r="E135" s="9">
        <f t="shared" si="38"/>
        <v>0</v>
      </c>
      <c r="F135" s="9">
        <f t="shared" si="33"/>
        <v>0</v>
      </c>
      <c r="G135" s="9">
        <f t="shared" si="34"/>
        <v>0</v>
      </c>
      <c r="H135" s="8">
        <f t="shared" si="35"/>
        <v>0.653026145487902</v>
      </c>
      <c r="I135" s="56">
        <f t="shared" si="39"/>
        <v>0</v>
      </c>
      <c r="J135" s="5">
        <f t="shared" si="40"/>
        <v>0</v>
      </c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ht="12.75">
      <c r="A136" s="63"/>
      <c r="B136" s="63"/>
      <c r="C136" s="1">
        <f t="shared" si="36"/>
        <v>12</v>
      </c>
      <c r="D136" s="5">
        <f t="shared" si="37"/>
        <v>0</v>
      </c>
      <c r="E136" s="9">
        <f t="shared" si="38"/>
        <v>0</v>
      </c>
      <c r="F136" s="9">
        <f t="shared" si="33"/>
        <v>0</v>
      </c>
      <c r="G136" s="9">
        <f t="shared" si="34"/>
        <v>0</v>
      </c>
      <c r="H136" s="8">
        <f t="shared" si="35"/>
        <v>0.628211780171142</v>
      </c>
      <c r="I136" s="56">
        <f t="shared" si="39"/>
        <v>0</v>
      </c>
      <c r="J136" s="5">
        <f t="shared" si="40"/>
        <v>0</v>
      </c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ht="12.75">
      <c r="A137" s="63"/>
      <c r="B137" s="63"/>
      <c r="C137" s="1">
        <f t="shared" si="36"/>
        <v>13</v>
      </c>
      <c r="D137" s="5">
        <f t="shared" si="37"/>
        <v>0</v>
      </c>
      <c r="E137" s="9">
        <f t="shared" si="38"/>
        <v>0</v>
      </c>
      <c r="F137" s="9">
        <f t="shared" si="33"/>
        <v>0</v>
      </c>
      <c r="G137" s="9">
        <f t="shared" si="34"/>
        <v>0</v>
      </c>
      <c r="H137" s="8">
        <f t="shared" si="35"/>
        <v>0.6043403368649755</v>
      </c>
      <c r="I137" s="56">
        <f t="shared" si="39"/>
        <v>0</v>
      </c>
      <c r="J137" s="5">
        <f t="shared" si="40"/>
        <v>0</v>
      </c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ht="12.75">
      <c r="A138" s="63"/>
      <c r="B138" s="63"/>
      <c r="C138" s="1">
        <f t="shared" si="36"/>
        <v>14</v>
      </c>
      <c r="D138" s="5">
        <f t="shared" si="37"/>
        <v>0</v>
      </c>
      <c r="E138" s="9">
        <f t="shared" si="38"/>
        <v>0</v>
      </c>
      <c r="F138" s="9">
        <f t="shared" si="33"/>
        <v>0</v>
      </c>
      <c r="G138" s="9">
        <f t="shared" si="34"/>
        <v>0</v>
      </c>
      <c r="H138" s="8">
        <f t="shared" si="35"/>
        <v>0.5813759854400917</v>
      </c>
      <c r="I138" s="56">
        <f t="shared" si="39"/>
        <v>0</v>
      </c>
      <c r="J138" s="5">
        <f t="shared" si="40"/>
        <v>0</v>
      </c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ht="13.5" thickBot="1">
      <c r="A139" s="63"/>
      <c r="B139" s="63"/>
      <c r="C139" s="16">
        <f t="shared" si="36"/>
        <v>15</v>
      </c>
      <c r="D139" s="53">
        <f t="shared" si="37"/>
        <v>0</v>
      </c>
      <c r="E139" s="52">
        <f t="shared" si="38"/>
        <v>0</v>
      </c>
      <c r="F139" s="33">
        <f t="shared" si="33"/>
        <v>0</v>
      </c>
      <c r="G139" s="33">
        <f t="shared" si="34"/>
        <v>0</v>
      </c>
      <c r="H139" s="28">
        <f t="shared" si="35"/>
        <v>0.5592842572776254</v>
      </c>
      <c r="I139" s="57">
        <f t="shared" si="39"/>
        <v>0</v>
      </c>
      <c r="J139" s="53">
        <f t="shared" si="40"/>
        <v>0</v>
      </c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ht="12.75">
      <c r="A140" s="63"/>
      <c r="B140" s="63"/>
      <c r="C140" s="63"/>
      <c r="D140" s="63"/>
      <c r="E140" s="63"/>
      <c r="F140" s="63"/>
      <c r="G140" s="62"/>
      <c r="H140" s="63"/>
      <c r="I140" s="5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ht="12.75">
      <c r="A144" s="63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ht="12.75">
      <c r="A145" s="63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ht="12.75">
      <c r="A146" s="63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ht="12.75">
      <c r="A147" s="63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ht="12.75">
      <c r="A148" s="63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ht="12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ht="12.75">
      <c r="A151" s="10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157"/>
  <sheetViews>
    <sheetView showGridLines="0" workbookViewId="0" topLeftCell="A1">
      <selection activeCell="E16" sqref="E16"/>
    </sheetView>
  </sheetViews>
  <sheetFormatPr defaultColWidth="9.140625" defaultRowHeight="12.75"/>
  <cols>
    <col min="2" max="2" width="11.7109375" style="0" customWidth="1"/>
    <col min="3" max="4" width="14.7109375" style="0" customWidth="1"/>
    <col min="5" max="5" width="18.7109375" style="0" customWidth="1"/>
    <col min="6" max="6" width="12.7109375" style="0" customWidth="1"/>
    <col min="7" max="8" width="15.7109375" style="0" customWidth="1"/>
    <col min="9" max="9" width="14.7109375" style="0" customWidth="1"/>
    <col min="10" max="10" width="13.421875" style="0" customWidth="1"/>
    <col min="11" max="13" width="13.7109375" style="0" customWidth="1"/>
    <col min="17" max="17" width="11.7109375" style="0" customWidth="1"/>
    <col min="18" max="18" width="11.28125" style="0" customWidth="1"/>
  </cols>
  <sheetData>
    <row r="1" spans="1:33" ht="12.75">
      <c r="A1" s="62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 t="s">
        <v>112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4.25" thickBot="1" thickTop="1">
      <c r="A3" s="63"/>
      <c r="B3" s="14"/>
      <c r="C3" s="62" t="s">
        <v>113</v>
      </c>
      <c r="D3" s="63"/>
      <c r="E3" s="63"/>
      <c r="F3" s="75" t="s">
        <v>114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3.5" thickTop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13.5" thickBot="1">
      <c r="A5" s="63"/>
      <c r="B5" s="15" t="s">
        <v>115</v>
      </c>
      <c r="C5" s="16"/>
      <c r="D5" s="16"/>
      <c r="E5" s="16"/>
      <c r="F5" s="63"/>
      <c r="G5" s="63"/>
      <c r="H5" s="63"/>
      <c r="I5" s="63"/>
      <c r="J5" s="63"/>
      <c r="K5" s="63"/>
      <c r="L5" s="63"/>
      <c r="M5" s="66" t="s">
        <v>116</v>
      </c>
      <c r="N5" s="64" t="s">
        <v>117</v>
      </c>
      <c r="O5" s="64" t="s">
        <v>118</v>
      </c>
      <c r="P5" s="64" t="s">
        <v>118</v>
      </c>
      <c r="Q5" s="64" t="s">
        <v>118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3.5" thickTop="1">
      <c r="A6" s="63"/>
      <c r="B6" s="17" t="s">
        <v>119</v>
      </c>
      <c r="C6" s="63"/>
      <c r="D6" s="63"/>
      <c r="E6" s="60" t="s">
        <v>268</v>
      </c>
      <c r="F6" s="63"/>
      <c r="G6" s="63"/>
      <c r="H6" s="63"/>
      <c r="I6" s="63"/>
      <c r="J6" s="63"/>
      <c r="K6" s="63"/>
      <c r="L6" s="63"/>
      <c r="M6" s="66" t="s">
        <v>120</v>
      </c>
      <c r="N6" s="64" t="s">
        <v>121</v>
      </c>
      <c r="O6" s="64" t="s">
        <v>121</v>
      </c>
      <c r="P6" s="64" t="s">
        <v>121</v>
      </c>
      <c r="Q6" s="64" t="s">
        <v>121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12.75">
      <c r="A7" s="63"/>
      <c r="B7" s="17" t="s">
        <v>122</v>
      </c>
      <c r="C7" s="63"/>
      <c r="D7" s="63"/>
      <c r="E7" s="42">
        <v>0.21</v>
      </c>
      <c r="F7" s="63"/>
      <c r="G7" s="63"/>
      <c r="H7" s="63"/>
      <c r="I7" s="63"/>
      <c r="J7" s="63"/>
      <c r="K7" s="63"/>
      <c r="L7" s="63"/>
      <c r="M7" s="63"/>
      <c r="N7" s="63">
        <v>1</v>
      </c>
      <c r="O7" s="63">
        <v>2</v>
      </c>
      <c r="P7" s="63">
        <v>3</v>
      </c>
      <c r="Q7" s="63">
        <v>4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ht="12.75">
      <c r="A8" s="63"/>
      <c r="B8" s="17" t="s">
        <v>123</v>
      </c>
      <c r="C8" s="63"/>
      <c r="D8" s="63"/>
      <c r="E8" s="42">
        <v>0.05</v>
      </c>
      <c r="F8" s="63"/>
      <c r="G8" s="63"/>
      <c r="H8" s="63"/>
      <c r="I8" s="63"/>
      <c r="J8" s="63"/>
      <c r="K8" s="63"/>
      <c r="L8" s="63"/>
      <c r="M8" s="1">
        <v>1</v>
      </c>
      <c r="N8" s="2">
        <v>1</v>
      </c>
      <c r="O8" s="2">
        <v>1</v>
      </c>
      <c r="P8" s="2">
        <v>1</v>
      </c>
      <c r="Q8" s="2">
        <v>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12.75">
      <c r="A9" s="63"/>
      <c r="B9" s="17" t="s">
        <v>124</v>
      </c>
      <c r="C9" s="63"/>
      <c r="D9" s="63"/>
      <c r="E9" s="43">
        <v>0</v>
      </c>
      <c r="F9" s="63"/>
      <c r="G9" s="62" t="s">
        <v>125</v>
      </c>
      <c r="H9" s="63"/>
      <c r="I9" s="63"/>
      <c r="J9" s="63"/>
      <c r="K9" s="63"/>
      <c r="L9" s="63"/>
      <c r="M9" s="1">
        <v>2</v>
      </c>
      <c r="N9" s="2">
        <v>0.625</v>
      </c>
      <c r="O9" s="2">
        <v>0.566</v>
      </c>
      <c r="P9" s="2">
        <v>0.531</v>
      </c>
      <c r="Q9" s="2">
        <v>0.496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3" ht="12.75">
      <c r="A10" s="63"/>
      <c r="B10" s="17" t="s">
        <v>126</v>
      </c>
      <c r="C10" s="63"/>
      <c r="D10" s="63"/>
      <c r="E10" s="43">
        <v>0</v>
      </c>
      <c r="F10" s="63"/>
      <c r="G10" s="62" t="s">
        <v>127</v>
      </c>
      <c r="H10" s="63"/>
      <c r="I10" s="63"/>
      <c r="J10" s="63"/>
      <c r="K10" s="63"/>
      <c r="L10" s="63"/>
      <c r="M10" s="1">
        <v>3</v>
      </c>
      <c r="N10" s="2">
        <v>0.575</v>
      </c>
      <c r="O10" s="2">
        <v>0.501</v>
      </c>
      <c r="P10" s="2">
        <v>0.47</v>
      </c>
      <c r="Q10" s="2">
        <v>0.439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ht="12.75">
      <c r="A11" s="63"/>
      <c r="B11" s="17" t="s">
        <v>128</v>
      </c>
      <c r="C11" s="63"/>
      <c r="D11" s="63"/>
      <c r="E11" s="43">
        <v>0</v>
      </c>
      <c r="F11" s="63"/>
      <c r="G11" s="62" t="s">
        <v>129</v>
      </c>
      <c r="H11" s="63"/>
      <c r="I11" s="63"/>
      <c r="J11" s="63"/>
      <c r="K11" s="63"/>
      <c r="L11" s="63"/>
      <c r="M11" s="1">
        <v>4</v>
      </c>
      <c r="N11" s="2">
        <v>0.528</v>
      </c>
      <c r="O11" s="2">
        <v>0.444</v>
      </c>
      <c r="P11" s="2">
        <v>0.416</v>
      </c>
      <c r="Q11" s="2">
        <v>0.388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12.75">
      <c r="A12" s="63"/>
      <c r="B12" s="17" t="s">
        <v>130</v>
      </c>
      <c r="C12" s="63"/>
      <c r="D12" s="63"/>
      <c r="E12" s="39">
        <v>1</v>
      </c>
      <c r="F12" s="63"/>
      <c r="G12" s="62" t="s">
        <v>131</v>
      </c>
      <c r="H12" s="63"/>
      <c r="I12" s="63"/>
      <c r="J12" s="63"/>
      <c r="K12" s="63"/>
      <c r="L12" s="63"/>
      <c r="M12" s="1">
        <v>5</v>
      </c>
      <c r="N12" s="2">
        <v>0.487</v>
      </c>
      <c r="O12" s="2">
        <v>0.393</v>
      </c>
      <c r="P12" s="2">
        <v>0.368</v>
      </c>
      <c r="Q12" s="2">
        <v>0.344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ht="12.75">
      <c r="A13" s="63"/>
      <c r="B13" s="17" t="s">
        <v>132</v>
      </c>
      <c r="C13" s="63"/>
      <c r="D13" s="63"/>
      <c r="E13" s="39">
        <v>1</v>
      </c>
      <c r="F13" s="63"/>
      <c r="G13" s="3">
        <f ca="1">NOW()</f>
        <v>38348.4459875</v>
      </c>
      <c r="H13" s="63"/>
      <c r="I13" s="63"/>
      <c r="J13" s="63"/>
      <c r="K13" s="63"/>
      <c r="L13" s="63"/>
      <c r="M13" s="1">
        <v>6</v>
      </c>
      <c r="N13" s="2">
        <v>0.448</v>
      </c>
      <c r="O13" s="2">
        <v>0.347</v>
      </c>
      <c r="P13" s="2">
        <v>0.326</v>
      </c>
      <c r="Q13" s="2">
        <v>0.304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33" ht="12.75">
      <c r="A14" s="63"/>
      <c r="B14" s="17" t="s">
        <v>133</v>
      </c>
      <c r="C14" s="63"/>
      <c r="D14" s="63"/>
      <c r="E14" s="39">
        <v>5</v>
      </c>
      <c r="F14" s="63"/>
      <c r="G14" s="63"/>
      <c r="H14" s="63"/>
      <c r="I14" s="63"/>
      <c r="J14" s="63"/>
      <c r="K14" s="63"/>
      <c r="L14" s="63"/>
      <c r="M14" s="1">
        <v>7</v>
      </c>
      <c r="N14" s="2">
        <v>0.412</v>
      </c>
      <c r="O14" s="2">
        <v>0.307</v>
      </c>
      <c r="P14" s="2">
        <v>0.288</v>
      </c>
      <c r="Q14" s="2">
        <v>0.269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12.75">
      <c r="A15" s="63"/>
      <c r="B15" s="17" t="s">
        <v>134</v>
      </c>
      <c r="C15" s="63"/>
      <c r="D15" s="63"/>
      <c r="E15" s="42">
        <v>0</v>
      </c>
      <c r="F15" s="63"/>
      <c r="G15" s="63"/>
      <c r="H15" s="63"/>
      <c r="I15" s="63"/>
      <c r="J15" s="63"/>
      <c r="K15" s="63"/>
      <c r="L15" s="63"/>
      <c r="M15" s="1">
        <v>8</v>
      </c>
      <c r="N15" s="2">
        <v>0.379</v>
      </c>
      <c r="O15" s="2">
        <v>0.272</v>
      </c>
      <c r="P15" s="2">
        <v>0.255</v>
      </c>
      <c r="Q15" s="2">
        <v>0.238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12.75">
      <c r="A16" s="63"/>
      <c r="B16" s="17" t="s">
        <v>135</v>
      </c>
      <c r="C16" s="63"/>
      <c r="D16" s="63"/>
      <c r="E16" s="43">
        <v>7100</v>
      </c>
      <c r="F16" s="63"/>
      <c r="G16" s="63"/>
      <c r="H16" s="63"/>
      <c r="I16" s="63"/>
      <c r="J16" s="63"/>
      <c r="K16" s="63"/>
      <c r="L16" s="63"/>
      <c r="M16" s="1">
        <v>9</v>
      </c>
      <c r="N16" s="2">
        <v>0.348</v>
      </c>
      <c r="O16" s="2">
        <v>0.241</v>
      </c>
      <c r="P16" s="2">
        <v>0.226</v>
      </c>
      <c r="Q16" s="2">
        <v>0.211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ht="13.5" thickBot="1">
      <c r="A17" s="63"/>
      <c r="B17" s="18" t="s">
        <v>136</v>
      </c>
      <c r="C17" s="16"/>
      <c r="D17" s="16"/>
      <c r="E17" s="44">
        <v>0.03</v>
      </c>
      <c r="F17" s="63"/>
      <c r="G17" s="63"/>
      <c r="H17" s="63"/>
      <c r="I17" s="63"/>
      <c r="J17" s="63"/>
      <c r="K17" s="63"/>
      <c r="L17" s="63"/>
      <c r="M17" s="1">
        <v>10</v>
      </c>
      <c r="N17" s="2">
        <v>0.3211</v>
      </c>
      <c r="O17" s="2">
        <v>0.213</v>
      </c>
      <c r="P17" s="2">
        <v>0.2</v>
      </c>
      <c r="Q17" s="2">
        <v>0.186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ht="13.5" thickBot="1">
      <c r="A18" s="63"/>
      <c r="B18" s="15" t="s">
        <v>137</v>
      </c>
      <c r="C18" s="16"/>
      <c r="D18" s="16"/>
      <c r="E18" s="16"/>
      <c r="F18" s="63"/>
      <c r="G18" s="63"/>
      <c r="H18" s="63"/>
      <c r="I18" s="63"/>
      <c r="J18" s="63"/>
      <c r="K18" s="63"/>
      <c r="L18" s="63"/>
      <c r="M18" s="1">
        <v>11</v>
      </c>
      <c r="N18" s="2">
        <v>0.294</v>
      </c>
      <c r="O18" s="2">
        <v>0.189</v>
      </c>
      <c r="P18" s="2">
        <v>0.177</v>
      </c>
      <c r="Q18" s="2">
        <v>0.165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ht="13.5" thickTop="1">
      <c r="A19" s="63"/>
      <c r="B19" s="17" t="s">
        <v>138</v>
      </c>
      <c r="C19" s="63"/>
      <c r="D19" s="64" t="s">
        <v>139</v>
      </c>
      <c r="E19" s="36">
        <v>57500</v>
      </c>
      <c r="F19" s="63"/>
      <c r="G19" s="63"/>
      <c r="H19" s="63"/>
      <c r="I19" s="63"/>
      <c r="J19" s="63"/>
      <c r="K19" s="63"/>
      <c r="L19" s="63"/>
      <c r="M19" s="1">
        <v>12</v>
      </c>
      <c r="N19" s="2">
        <v>0.27</v>
      </c>
      <c r="O19" s="2">
        <v>0.167</v>
      </c>
      <c r="P19" s="2">
        <v>0.156</v>
      </c>
      <c r="Q19" s="2">
        <v>0.146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3" ht="13.5" thickBot="1">
      <c r="A20" s="63"/>
      <c r="B20" s="18" t="s">
        <v>140</v>
      </c>
      <c r="C20" s="16"/>
      <c r="D20" s="19" t="s">
        <v>139</v>
      </c>
      <c r="E20" s="41">
        <v>50000</v>
      </c>
      <c r="F20" s="63"/>
      <c r="G20" s="63"/>
      <c r="H20" s="63"/>
      <c r="I20" s="63"/>
      <c r="J20" s="63"/>
      <c r="K20" s="63"/>
      <c r="L20" s="63"/>
      <c r="M20" s="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33" ht="13.5" thickBot="1">
      <c r="A21" s="63"/>
      <c r="B21" s="20" t="s">
        <v>141</v>
      </c>
      <c r="C21" s="21"/>
      <c r="D21" s="21"/>
      <c r="E21" s="6">
        <f>E19-E20</f>
        <v>7500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ht="13.5" thickTop="1">
      <c r="A22" s="63"/>
      <c r="B22" s="17" t="s">
        <v>142</v>
      </c>
      <c r="C22" s="63"/>
      <c r="D22" s="63"/>
      <c r="E22" s="38">
        <v>0.07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:33" ht="12.75">
      <c r="A23" s="63"/>
      <c r="B23" s="17" t="s">
        <v>143</v>
      </c>
      <c r="C23" s="63"/>
      <c r="D23" s="64" t="s">
        <v>144</v>
      </c>
      <c r="E23" s="39">
        <v>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3.5" thickBot="1">
      <c r="A24" s="63"/>
      <c r="B24" s="18" t="s">
        <v>145</v>
      </c>
      <c r="C24" s="16"/>
      <c r="D24" s="19" t="s">
        <v>144</v>
      </c>
      <c r="E24" s="40">
        <v>15</v>
      </c>
      <c r="F24" s="63" t="s">
        <v>146</v>
      </c>
      <c r="G24" s="63"/>
      <c r="H24" s="63"/>
      <c r="I24" s="63"/>
      <c r="J24" s="63"/>
      <c r="K24" s="63"/>
      <c r="L24" s="63"/>
      <c r="M24" s="62" t="s">
        <v>147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:33" ht="13.5" thickBot="1">
      <c r="A25" s="63"/>
      <c r="B25" s="62" t="s">
        <v>148</v>
      </c>
      <c r="C25" s="63"/>
      <c r="D25" s="63"/>
      <c r="E25" s="6">
        <f>PMT(E22,E23,-E20)</f>
        <v>12194.5347220687</v>
      </c>
      <c r="F25" s="63"/>
      <c r="G25" s="63"/>
      <c r="H25" s="63"/>
      <c r="I25" s="63"/>
      <c r="J25" s="65"/>
      <c r="K25" s="63"/>
      <c r="L25" s="63"/>
      <c r="M25" s="16"/>
      <c r="N25" s="22" t="s">
        <v>149</v>
      </c>
      <c r="O25" s="16"/>
      <c r="P25" s="16"/>
      <c r="Q25" s="16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3.5" thickBot="1">
      <c r="A26" s="63"/>
      <c r="B26" s="63"/>
      <c r="C26" s="63"/>
      <c r="D26" s="63"/>
      <c r="E26" s="63"/>
      <c r="F26" s="63"/>
      <c r="G26" s="63"/>
      <c r="H26" s="63"/>
      <c r="I26" s="63"/>
      <c r="J26" s="65"/>
      <c r="K26" s="63"/>
      <c r="L26" s="63"/>
      <c r="M26" s="23" t="s">
        <v>120</v>
      </c>
      <c r="N26" s="23" t="s">
        <v>150</v>
      </c>
      <c r="O26" s="23" t="s">
        <v>151</v>
      </c>
      <c r="P26" s="23" t="s">
        <v>152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13.5" thickTop="1">
      <c r="A27" s="63"/>
      <c r="B27" s="62" t="s">
        <v>153</v>
      </c>
      <c r="C27" s="63"/>
      <c r="D27" s="64" t="s">
        <v>139</v>
      </c>
      <c r="E27" s="36">
        <v>0</v>
      </c>
      <c r="F27" s="63"/>
      <c r="G27" s="63"/>
      <c r="H27" s="63"/>
      <c r="I27" s="63"/>
      <c r="J27" s="65"/>
      <c r="K27" s="63"/>
      <c r="L27" s="63"/>
      <c r="M27" s="24">
        <v>0</v>
      </c>
      <c r="N27" s="24">
        <v>3</v>
      </c>
      <c r="O27" s="24">
        <v>5</v>
      </c>
      <c r="P27" s="24">
        <v>7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13.5" thickBot="1">
      <c r="A28" s="63"/>
      <c r="B28" s="62" t="s">
        <v>154</v>
      </c>
      <c r="C28" s="63"/>
      <c r="D28" s="63"/>
      <c r="E28" s="37">
        <v>0</v>
      </c>
      <c r="F28" s="63"/>
      <c r="G28" s="63"/>
      <c r="H28" s="63"/>
      <c r="I28" s="63"/>
      <c r="J28" s="65"/>
      <c r="K28" s="63"/>
      <c r="L28" s="63"/>
      <c r="M28" s="1">
        <v>1</v>
      </c>
      <c r="N28" s="77">
        <v>0.25</v>
      </c>
      <c r="O28" s="77">
        <v>0.15</v>
      </c>
      <c r="P28" s="77">
        <v>0.1071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3" ht="13.5" thickTop="1">
      <c r="A29" s="63"/>
      <c r="B29" s="62" t="s">
        <v>155</v>
      </c>
      <c r="C29" s="63"/>
      <c r="D29" s="63"/>
      <c r="E29" s="6">
        <f>IF(E12=1,(E19-E27)*E28,IF(E12=2,(E20+E21+E10-E27)*E28,0))</f>
        <v>0</v>
      </c>
      <c r="F29" s="63"/>
      <c r="G29" s="63"/>
      <c r="H29" s="63"/>
      <c r="I29" s="63"/>
      <c r="J29" s="65"/>
      <c r="K29" s="63"/>
      <c r="L29" s="63"/>
      <c r="M29" s="1">
        <v>2</v>
      </c>
      <c r="N29" s="77">
        <v>0.375</v>
      </c>
      <c r="O29" s="77">
        <v>0.255</v>
      </c>
      <c r="P29" s="77">
        <v>0.1913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3" ht="12.75">
      <c r="A30" s="63"/>
      <c r="B30" s="62" t="s">
        <v>156</v>
      </c>
      <c r="C30" s="63"/>
      <c r="D30" s="63"/>
      <c r="E30" s="6">
        <f>IF(E12=1,E19-E29/2-E27,IF(E12=2,E20+E21+E10-E29/2-E27,0))</f>
        <v>57500</v>
      </c>
      <c r="F30" s="63"/>
      <c r="G30" s="63"/>
      <c r="H30" s="63"/>
      <c r="I30" s="63"/>
      <c r="J30" s="65"/>
      <c r="K30" s="63"/>
      <c r="L30" s="63"/>
      <c r="M30" s="1">
        <v>3</v>
      </c>
      <c r="N30" s="77">
        <v>0.25</v>
      </c>
      <c r="O30" s="77">
        <v>0.1785</v>
      </c>
      <c r="P30" s="77">
        <v>0.1503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ht="12.75">
      <c r="A31" s="63"/>
      <c r="B31" s="62" t="s">
        <v>157</v>
      </c>
      <c r="C31" s="63"/>
      <c r="D31" s="63"/>
      <c r="E31" s="6">
        <f>Y33</f>
        <v>11194.228499145021</v>
      </c>
      <c r="F31" s="63"/>
      <c r="G31" s="63"/>
      <c r="H31" s="63"/>
      <c r="I31" s="63"/>
      <c r="J31" s="63"/>
      <c r="K31" s="63"/>
      <c r="L31" s="63"/>
      <c r="M31" s="1">
        <v>4</v>
      </c>
      <c r="N31" s="77">
        <v>0.125</v>
      </c>
      <c r="O31" s="77">
        <v>0.1666</v>
      </c>
      <c r="P31" s="77">
        <v>0.1225</v>
      </c>
      <c r="Q31" s="63"/>
      <c r="R31" s="63"/>
      <c r="S31" s="63"/>
      <c r="T31" s="63"/>
      <c r="U31" s="63"/>
      <c r="V31" s="63"/>
      <c r="W31" s="63"/>
      <c r="X31" s="63"/>
      <c r="Y31" s="6">
        <f>IF($E$13=1,0.68*0.92^$J$30,IF($E$13=2,0.56*0.885^$J$30,IF($E$13=3,0.6*0.885^$J$30,IF($E$13=4,0.64*0.885^$J$30,0))))*$E$19</f>
        <v>39100</v>
      </c>
      <c r="Z31" s="63"/>
      <c r="AA31" s="63"/>
      <c r="AB31" s="63"/>
      <c r="AC31" s="63"/>
      <c r="AD31" s="63"/>
      <c r="AE31" s="63"/>
      <c r="AF31" s="63"/>
      <c r="AG31" s="63"/>
    </row>
    <row r="32" spans="1:33" ht="12.75">
      <c r="A32" s="63"/>
      <c r="B32" s="63"/>
      <c r="C32" s="63"/>
      <c r="D32" s="63"/>
      <c r="E32" s="63"/>
      <c r="F32" s="63"/>
      <c r="G32" s="63"/>
      <c r="H32" s="63"/>
      <c r="I32" s="63"/>
      <c r="J32" s="6"/>
      <c r="K32" s="63"/>
      <c r="L32" s="63"/>
      <c r="M32" s="1">
        <v>5</v>
      </c>
      <c r="N32" s="77"/>
      <c r="O32" s="77">
        <v>0.1666</v>
      </c>
      <c r="P32" s="77">
        <v>0.1225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12.75">
      <c r="A33" s="63"/>
      <c r="B33" s="62" t="s">
        <v>158</v>
      </c>
      <c r="C33" s="63"/>
      <c r="D33" s="63"/>
      <c r="E33" s="4">
        <f>E8*(1-E7)</f>
        <v>0.03950000000000001</v>
      </c>
      <c r="F33" s="63"/>
      <c r="G33" s="63"/>
      <c r="H33" s="63"/>
      <c r="I33" s="63"/>
      <c r="J33" s="63"/>
      <c r="K33" s="63"/>
      <c r="L33" s="63"/>
      <c r="M33" s="1">
        <v>6</v>
      </c>
      <c r="N33" s="77"/>
      <c r="O33" s="77">
        <v>0.0833</v>
      </c>
      <c r="P33" s="77">
        <v>0.1225</v>
      </c>
      <c r="Q33" s="63"/>
      <c r="R33" s="63"/>
      <c r="S33" s="63"/>
      <c r="T33" s="63"/>
      <c r="U33" s="63"/>
      <c r="V33" s="63"/>
      <c r="W33" s="63"/>
      <c r="X33" s="63"/>
      <c r="Y33" s="6">
        <f>IF($E$13=1,0.68*0.92^E24,IF($E$13=2,0.56*0.885^E24,IF($E$13=3,0.6*0.885^E24,IF($E$13=4,0.64*0.885^E24,0))))*$E$19</f>
        <v>11194.228499145021</v>
      </c>
      <c r="Z33" s="63"/>
      <c r="AA33" s="63"/>
      <c r="AB33" s="63"/>
      <c r="AC33" s="63"/>
      <c r="AD33" s="63"/>
      <c r="AE33" s="63"/>
      <c r="AF33" s="63"/>
      <c r="AG33" s="63"/>
    </row>
    <row r="34" spans="1:33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">
        <v>7</v>
      </c>
      <c r="N34" s="77"/>
      <c r="O34" s="77"/>
      <c r="P34" s="77">
        <v>0.1225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">
        <v>8</v>
      </c>
      <c r="N35" s="77"/>
      <c r="O35" s="77"/>
      <c r="P35" s="77">
        <v>0.0613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ht="15.75">
      <c r="A36" s="25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ht="12.75">
      <c r="A37" s="63"/>
      <c r="B37" s="63"/>
      <c r="C37" s="63"/>
      <c r="D37" s="66" t="s">
        <v>160</v>
      </c>
      <c r="E37" s="63"/>
      <c r="F37" s="63"/>
      <c r="G37" s="63"/>
      <c r="H37" s="63"/>
      <c r="I37" s="12" t="s">
        <v>161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ht="12.75">
      <c r="A38" s="63"/>
      <c r="B38" s="62" t="s">
        <v>141</v>
      </c>
      <c r="C38" s="63"/>
      <c r="D38" s="66" t="s">
        <v>162</v>
      </c>
      <c r="E38" s="12" t="s">
        <v>163</v>
      </c>
      <c r="F38" s="66" t="s">
        <v>164</v>
      </c>
      <c r="G38" s="62" t="s">
        <v>165</v>
      </c>
      <c r="H38" s="12" t="s">
        <v>166</v>
      </c>
      <c r="I38" s="12" t="s">
        <v>167</v>
      </c>
      <c r="J38" s="63"/>
      <c r="K38" s="66" t="s">
        <v>168</v>
      </c>
      <c r="L38" s="66"/>
      <c r="M38" s="63"/>
      <c r="N38" s="62" t="s">
        <v>169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3" ht="12.75">
      <c r="A39" s="66" t="s">
        <v>120</v>
      </c>
      <c r="B39" s="66" t="s">
        <v>170</v>
      </c>
      <c r="C39" s="66" t="s">
        <v>171</v>
      </c>
      <c r="D39" s="12" t="s">
        <v>172</v>
      </c>
      <c r="E39" s="12" t="s">
        <v>173</v>
      </c>
      <c r="F39" s="66" t="s">
        <v>174</v>
      </c>
      <c r="G39" s="66" t="s">
        <v>175</v>
      </c>
      <c r="H39" s="12" t="s">
        <v>176</v>
      </c>
      <c r="I39" s="12" t="s">
        <v>177</v>
      </c>
      <c r="J39" s="66" t="s">
        <v>178</v>
      </c>
      <c r="K39" s="66" t="s">
        <v>179</v>
      </c>
      <c r="L39" s="66" t="s">
        <v>163</v>
      </c>
      <c r="M39" s="63"/>
      <c r="N39" s="62" t="s">
        <v>180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ht="13.5" thickBot="1">
      <c r="A40" s="16"/>
      <c r="B40" s="23" t="s">
        <v>181</v>
      </c>
      <c r="C40" s="23" t="s">
        <v>182</v>
      </c>
      <c r="D40" s="23" t="s">
        <v>183</v>
      </c>
      <c r="E40" s="23" t="s">
        <v>184</v>
      </c>
      <c r="F40" s="23" t="s">
        <v>185</v>
      </c>
      <c r="G40" s="23" t="s">
        <v>186</v>
      </c>
      <c r="H40" s="23" t="s">
        <v>187</v>
      </c>
      <c r="I40" s="26">
        <f>E33</f>
        <v>0.03950000000000001</v>
      </c>
      <c r="J40" s="23" t="s">
        <v>188</v>
      </c>
      <c r="K40" s="67" t="s">
        <v>188</v>
      </c>
      <c r="L40" s="67" t="s">
        <v>189</v>
      </c>
      <c r="M40" s="63"/>
      <c r="N40" s="62" t="s">
        <v>190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">
        <f>-E15*(E9-E11)-(E9-E10)+E27</f>
        <v>0</v>
      </c>
      <c r="Z40" s="63"/>
      <c r="AA40" s="63"/>
      <c r="AB40" s="63"/>
      <c r="AC40" s="63"/>
      <c r="AD40" s="63"/>
      <c r="AE40" s="63"/>
      <c r="AF40" s="63"/>
      <c r="AG40" s="63"/>
    </row>
    <row r="41" spans="1:33" ht="12.75">
      <c r="A41" s="1">
        <v>0</v>
      </c>
      <c r="B41" s="7">
        <f>E21</f>
        <v>7500</v>
      </c>
      <c r="C41" s="48"/>
      <c r="D41" s="7">
        <f>E$30*HLOOKUP(+E$14,M$27:P$35,A41+1+1)+E27</f>
        <v>8625</v>
      </c>
      <c r="E41" s="7">
        <f>E16</f>
        <v>7100</v>
      </c>
      <c r="F41" s="48"/>
      <c r="G41" s="7">
        <f>-(D41+E41+Y40)*E7</f>
        <v>-3302.25</v>
      </c>
      <c r="H41" s="7">
        <f>B41+E41+G41</f>
        <v>11297.75</v>
      </c>
      <c r="I41" s="8">
        <f aca="true" t="shared" si="0" ref="I41:I56">1/(1+(E$8*(1-E$7)))^A41</f>
        <v>1</v>
      </c>
      <c r="J41" s="7">
        <f aca="true" t="shared" si="1" ref="J41:J56">H41*I41</f>
        <v>11297.75</v>
      </c>
      <c r="K41" s="68">
        <f>J41</f>
        <v>11297.75</v>
      </c>
      <c r="L41" s="48"/>
      <c r="M41" s="63"/>
      <c r="N41" s="62" t="s">
        <v>191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ht="12.75">
      <c r="A42" s="1">
        <f>A41+1</f>
        <v>1</v>
      </c>
      <c r="B42" s="7">
        <f>-IF(A42&gt;$E$23,0,PPMT($E$22,A42,$E$23,$E$20))</f>
        <v>8694.5347220687</v>
      </c>
      <c r="C42" s="7">
        <f>-IF(A42&gt;$E$23,0,IPMT($E$22,A42,$E$23,$E$20))</f>
        <v>3500.0000000000005</v>
      </c>
      <c r="D42" s="7">
        <f aca="true" t="shared" si="2" ref="D42:D48">E$30*HLOOKUP(+E$14,M$27:P$35,A42+1+1)</f>
        <v>14662.5</v>
      </c>
      <c r="E42" s="7">
        <f>IF(A42=$E$24,0,E41*(1+E$17))</f>
        <v>7313</v>
      </c>
      <c r="F42" s="7">
        <f>-E29</f>
        <v>0</v>
      </c>
      <c r="G42" s="7">
        <f aca="true" t="shared" si="3" ref="G42:G56">-(+C42+D42+E42+F42)*$E$7</f>
        <v>-5349.855</v>
      </c>
      <c r="H42" s="7">
        <f aca="true" t="shared" si="4" ref="H42:H56">(B42+C42+E42+F42+G42)</f>
        <v>14157.6797220687</v>
      </c>
      <c r="I42" s="8">
        <f t="shared" si="0"/>
        <v>0.962000962000962</v>
      </c>
      <c r="J42" s="7">
        <f t="shared" si="1"/>
        <v>13619.701512331601</v>
      </c>
      <c r="K42" s="68">
        <f>K41+J42</f>
        <v>24917.4515123316</v>
      </c>
      <c r="L42" s="48"/>
      <c r="M42" s="63"/>
      <c r="N42" s="62" t="s">
        <v>192</v>
      </c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>
        <f aca="true" t="shared" si="5" ref="Y42:Y49">PV($E$22,$E$23-A42,-$E$25)</f>
        <v>41305.46527793128</v>
      </c>
      <c r="Z42" s="63"/>
      <c r="AA42" s="63"/>
      <c r="AB42" s="63"/>
      <c r="AC42" s="63"/>
      <c r="AD42" s="63"/>
      <c r="AE42" s="63"/>
      <c r="AF42" s="63"/>
      <c r="AG42" s="63"/>
    </row>
    <row r="43" spans="1:33" ht="12.75">
      <c r="A43" s="1">
        <f>A42+1</f>
        <v>2</v>
      </c>
      <c r="B43" s="7">
        <f aca="true" t="shared" si="6" ref="B43:B56">-IF(A43&gt;$E$23,0,PPMT($E$22,A43,$E$23,$E$20))</f>
        <v>9303.15215261351</v>
      </c>
      <c r="C43" s="7">
        <f aca="true" t="shared" si="7" ref="C43:C56">-IF(A43&gt;$E$23,0,IPMT($E$22,A43,$E$23,$E$20))</f>
        <v>2891.3825694551906</v>
      </c>
      <c r="D43" s="7">
        <f t="shared" si="2"/>
        <v>10263.75</v>
      </c>
      <c r="E43" s="7">
        <f aca="true" t="shared" si="8" ref="E43:E56">IF(A43=$E$24,0,E42*(1+E$17))</f>
        <v>7532.39</v>
      </c>
      <c r="F43" s="7">
        <f>-IF($E$24=A43+1,$E$31-$Y$56,0)</f>
        <v>0</v>
      </c>
      <c r="G43" s="7">
        <f t="shared" si="3"/>
        <v>-4344.37973958559</v>
      </c>
      <c r="H43" s="7">
        <f t="shared" si="4"/>
        <v>15382.544982483108</v>
      </c>
      <c r="I43" s="8">
        <f t="shared" si="0"/>
        <v>0.9254458508907761</v>
      </c>
      <c r="J43" s="7">
        <f t="shared" si="1"/>
        <v>14235.71243017972</v>
      </c>
      <c r="K43" s="68">
        <f>IF(E43=0,0,K42+J43)</f>
        <v>39153.163942511324</v>
      </c>
      <c r="L43" s="5">
        <f>K43*($E$8/(1-(1/(1+$E$8)^(A43+1))))</f>
        <v>14377.377132101397</v>
      </c>
      <c r="M43" s="63"/>
      <c r="N43" s="62" t="s">
        <v>193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f t="shared" si="5"/>
        <v>32002.31312531778</v>
      </c>
      <c r="Z43" s="63"/>
      <c r="AA43" s="63"/>
      <c r="AB43" s="63"/>
      <c r="AC43" s="63"/>
      <c r="AD43" s="63"/>
      <c r="AE43" s="63"/>
      <c r="AF43" s="63"/>
      <c r="AG43" s="63"/>
    </row>
    <row r="44" spans="1:33" ht="12.75">
      <c r="A44" s="1">
        <f aca="true" t="shared" si="9" ref="A44:A56">A43+1</f>
        <v>3</v>
      </c>
      <c r="B44" s="7">
        <f t="shared" si="6"/>
        <v>9954.372803296454</v>
      </c>
      <c r="C44" s="7">
        <f t="shared" si="7"/>
        <v>2240.1619187722454</v>
      </c>
      <c r="D44" s="7">
        <f t="shared" si="2"/>
        <v>9579.5</v>
      </c>
      <c r="E44" s="7">
        <f t="shared" si="8"/>
        <v>7758.3617</v>
      </c>
      <c r="F44" s="7">
        <f aca="true" t="shared" si="10" ref="F44:F56">-IF($E$24=A44+1,$E$31-$Y$56,0)</f>
        <v>0</v>
      </c>
      <c r="G44" s="7">
        <f t="shared" si="3"/>
        <v>-4111.384959942172</v>
      </c>
      <c r="H44" s="7">
        <f t="shared" si="4"/>
        <v>15841.51146212653</v>
      </c>
      <c r="I44" s="8">
        <f t="shared" si="0"/>
        <v>0.8902797988367254</v>
      </c>
      <c r="J44" s="7">
        <f t="shared" si="1"/>
        <v>14103.377637771686</v>
      </c>
      <c r="K44" s="68">
        <f aca="true" t="shared" si="11" ref="K44:K56">IF(E44=0,0,K43+J44)</f>
        <v>53256.54158028301</v>
      </c>
      <c r="L44" s="5">
        <f aca="true" t="shared" si="12" ref="L44:L56">K44*($E$8/(1-(1/(1+$E$8)^(A44+1))))</f>
        <v>15018.974889178126</v>
      </c>
      <c r="M44" s="63"/>
      <c r="N44" s="62" t="s">
        <v>194</v>
      </c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>
        <f t="shared" si="5"/>
        <v>22047.94032202132</v>
      </c>
      <c r="Z44" s="63"/>
      <c r="AA44" s="63"/>
      <c r="AB44" s="63"/>
      <c r="AC44" s="63"/>
      <c r="AD44" s="63"/>
      <c r="AE44" s="63"/>
      <c r="AF44" s="63"/>
      <c r="AG44" s="63"/>
    </row>
    <row r="45" spans="1:33" ht="12.75">
      <c r="A45" s="1">
        <f t="shared" si="9"/>
        <v>4</v>
      </c>
      <c r="B45" s="7">
        <f t="shared" si="6"/>
        <v>10651.178899527207</v>
      </c>
      <c r="C45" s="7">
        <f t="shared" si="7"/>
        <v>1543.3558225414936</v>
      </c>
      <c r="D45" s="7">
        <f t="shared" si="2"/>
        <v>9579.5</v>
      </c>
      <c r="E45" s="7">
        <f t="shared" si="8"/>
        <v>7991.112551</v>
      </c>
      <c r="F45" s="7">
        <f t="shared" si="10"/>
        <v>0</v>
      </c>
      <c r="G45" s="7">
        <f t="shared" si="3"/>
        <v>-4013.9333584437136</v>
      </c>
      <c r="H45" s="7">
        <f t="shared" si="4"/>
        <v>16171.713914624988</v>
      </c>
      <c r="I45" s="8">
        <f t="shared" si="0"/>
        <v>0.8564500229309527</v>
      </c>
      <c r="J45" s="7">
        <f t="shared" si="1"/>
        <v>13850.264753013378</v>
      </c>
      <c r="K45" s="68">
        <f t="shared" si="11"/>
        <v>67106.8063332964</v>
      </c>
      <c r="L45" s="5">
        <f t="shared" si="12"/>
        <v>15499.981045865918</v>
      </c>
      <c r="M45" s="63"/>
      <c r="N45" s="62" t="s">
        <v>195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>
        <f t="shared" si="5"/>
        <v>11396.76142249412</v>
      </c>
      <c r="Z45" s="63"/>
      <c r="AA45" s="63"/>
      <c r="AB45" s="63"/>
      <c r="AC45" s="63"/>
      <c r="AD45" s="63"/>
      <c r="AE45" s="63"/>
      <c r="AF45" s="63"/>
      <c r="AG45" s="63"/>
    </row>
    <row r="46" spans="1:33" ht="12.75">
      <c r="A46" s="1">
        <f t="shared" si="9"/>
        <v>5</v>
      </c>
      <c r="B46" s="7">
        <f t="shared" si="6"/>
        <v>11396.76142249411</v>
      </c>
      <c r="C46" s="7">
        <f t="shared" si="7"/>
        <v>797.7732995745896</v>
      </c>
      <c r="D46" s="7">
        <f t="shared" si="2"/>
        <v>4789.75</v>
      </c>
      <c r="E46" s="7">
        <f t="shared" si="8"/>
        <v>8230.845927530001</v>
      </c>
      <c r="F46" s="7">
        <f t="shared" si="10"/>
        <v>0</v>
      </c>
      <c r="G46" s="7">
        <f t="shared" si="3"/>
        <v>-2901.857537691964</v>
      </c>
      <c r="H46" s="7">
        <f t="shared" si="4"/>
        <v>17523.523111906736</v>
      </c>
      <c r="I46" s="8">
        <f t="shared" si="0"/>
        <v>0.8239057459653225</v>
      </c>
      <c r="J46" s="7">
        <f t="shared" si="1"/>
        <v>14437.73138145609</v>
      </c>
      <c r="K46" s="68">
        <f t="shared" si="11"/>
        <v>81544.53771475249</v>
      </c>
      <c r="L46" s="5">
        <f t="shared" si="12"/>
        <v>16065.698358776293</v>
      </c>
      <c r="M46" s="63"/>
      <c r="N46" s="62" t="s">
        <v>196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>
        <f t="shared" si="5"/>
        <v>0</v>
      </c>
      <c r="Z46" s="63"/>
      <c r="AA46" s="63"/>
      <c r="AB46" s="63"/>
      <c r="AC46" s="63"/>
      <c r="AD46" s="63"/>
      <c r="AE46" s="63"/>
      <c r="AF46" s="63"/>
      <c r="AG46" s="63"/>
    </row>
    <row r="47" spans="1:33" ht="12.75">
      <c r="A47" s="1">
        <f t="shared" si="9"/>
        <v>6</v>
      </c>
      <c r="B47" s="7">
        <f t="shared" si="6"/>
        <v>0</v>
      </c>
      <c r="C47" s="7">
        <f t="shared" si="7"/>
        <v>0</v>
      </c>
      <c r="D47" s="7">
        <f t="shared" si="2"/>
        <v>0</v>
      </c>
      <c r="E47" s="7">
        <f t="shared" si="8"/>
        <v>8477.771305355902</v>
      </c>
      <c r="F47" s="7">
        <f t="shared" si="10"/>
        <v>0</v>
      </c>
      <c r="G47" s="7">
        <f t="shared" si="3"/>
        <v>-1780.3319741247394</v>
      </c>
      <c r="H47" s="7">
        <f t="shared" si="4"/>
        <v>6697.439331231162</v>
      </c>
      <c r="I47" s="8">
        <f t="shared" si="0"/>
        <v>0.7925981202167602</v>
      </c>
      <c r="J47" s="7">
        <f t="shared" si="1"/>
        <v>5308.377824199615</v>
      </c>
      <c r="K47" s="68">
        <f t="shared" si="11"/>
        <v>86852.9155389521</v>
      </c>
      <c r="L47" s="5">
        <f t="shared" si="12"/>
        <v>15009.9050949623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>
        <f t="shared" si="5"/>
        <v>-12194.5347220687</v>
      </c>
      <c r="Z47" s="63"/>
      <c r="AA47" s="63"/>
      <c r="AB47" s="63"/>
      <c r="AC47" s="63"/>
      <c r="AD47" s="63"/>
      <c r="AE47" s="63"/>
      <c r="AF47" s="63"/>
      <c r="AG47" s="63"/>
    </row>
    <row r="48" spans="1:33" ht="12.75">
      <c r="A48" s="1">
        <f t="shared" si="9"/>
        <v>7</v>
      </c>
      <c r="B48" s="7">
        <f t="shared" si="6"/>
        <v>0</v>
      </c>
      <c r="C48" s="7">
        <f t="shared" si="7"/>
        <v>0</v>
      </c>
      <c r="D48" s="7">
        <f t="shared" si="2"/>
        <v>0</v>
      </c>
      <c r="E48" s="7">
        <f t="shared" si="8"/>
        <v>8732.104444516579</v>
      </c>
      <c r="F48" s="7">
        <f t="shared" si="10"/>
        <v>0</v>
      </c>
      <c r="G48" s="7">
        <f t="shared" si="3"/>
        <v>-1833.7419333484816</v>
      </c>
      <c r="H48" s="7">
        <f t="shared" si="4"/>
        <v>6898.362511168098</v>
      </c>
      <c r="I48" s="8">
        <f t="shared" si="0"/>
        <v>0.7624801541286774</v>
      </c>
      <c r="J48" s="7">
        <f t="shared" si="1"/>
        <v>5259.864510750941</v>
      </c>
      <c r="K48" s="68">
        <f t="shared" si="11"/>
        <v>92112.78004970304</v>
      </c>
      <c r="L48" s="5">
        <f t="shared" si="12"/>
        <v>14251.856387577742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>
        <f t="shared" si="5"/>
        <v>-25242.686874682222</v>
      </c>
      <c r="Z48" s="63"/>
      <c r="AA48" s="63"/>
      <c r="AB48" s="63"/>
      <c r="AC48" s="63"/>
      <c r="AD48" s="63"/>
      <c r="AE48" s="63"/>
      <c r="AF48" s="63"/>
      <c r="AG48" s="63"/>
    </row>
    <row r="49" spans="1:33" ht="12.75">
      <c r="A49" s="1">
        <f t="shared" si="9"/>
        <v>8</v>
      </c>
      <c r="B49" s="7">
        <f t="shared" si="6"/>
        <v>0</v>
      </c>
      <c r="C49" s="7">
        <f t="shared" si="7"/>
        <v>0</v>
      </c>
      <c r="D49" s="46"/>
      <c r="E49" s="7">
        <f t="shared" si="8"/>
        <v>8994.067577852076</v>
      </c>
      <c r="F49" s="7">
        <f t="shared" si="10"/>
        <v>0</v>
      </c>
      <c r="G49" s="7">
        <f t="shared" si="3"/>
        <v>-1888.754191348936</v>
      </c>
      <c r="H49" s="7">
        <f t="shared" si="4"/>
        <v>7105.3133865031405</v>
      </c>
      <c r="I49" s="8">
        <f t="shared" si="0"/>
        <v>0.7335066417784294</v>
      </c>
      <c r="J49" s="7">
        <f t="shared" si="1"/>
        <v>5211.794560917238</v>
      </c>
      <c r="K49" s="68">
        <f t="shared" si="11"/>
        <v>97324.57461062027</v>
      </c>
      <c r="L49" s="5">
        <f t="shared" si="12"/>
        <v>13692.60218557769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>
        <f t="shared" si="5"/>
        <v>-39204.20967797869</v>
      </c>
      <c r="Z49" s="63"/>
      <c r="AA49" s="63"/>
      <c r="AB49" s="63"/>
      <c r="AC49" s="63"/>
      <c r="AD49" s="63"/>
      <c r="AE49" s="63"/>
      <c r="AF49" s="63"/>
      <c r="AG49" s="63"/>
    </row>
    <row r="50" spans="1:33" ht="12.75">
      <c r="A50" s="1">
        <f t="shared" si="9"/>
        <v>9</v>
      </c>
      <c r="B50" s="7">
        <f t="shared" si="6"/>
        <v>0</v>
      </c>
      <c r="C50" s="7">
        <f>-IF(A50&gt;$E$23,0,IPMT($E$22,A50,$E$23,$E$20))</f>
        <v>0</v>
      </c>
      <c r="D50" s="47"/>
      <c r="E50" s="7">
        <f t="shared" si="8"/>
        <v>9263.889605187638</v>
      </c>
      <c r="F50" s="7">
        <f t="shared" si="10"/>
        <v>0</v>
      </c>
      <c r="G50" s="7">
        <f t="shared" si="3"/>
        <v>-1945.416817089404</v>
      </c>
      <c r="H50" s="7">
        <f t="shared" si="4"/>
        <v>7318.472788098234</v>
      </c>
      <c r="I50" s="8">
        <f t="shared" si="0"/>
        <v>0.7056340950249441</v>
      </c>
      <c r="J50" s="7">
        <f t="shared" si="1"/>
        <v>5164.163922794377</v>
      </c>
      <c r="K50" s="68">
        <f t="shared" si="11"/>
        <v>102488.73853341465</v>
      </c>
      <c r="L50" s="5">
        <f t="shared" si="12"/>
        <v>13272.760522515686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ht="12.75">
      <c r="A51" s="1">
        <f t="shared" si="9"/>
        <v>10</v>
      </c>
      <c r="B51" s="7">
        <f t="shared" si="6"/>
        <v>0</v>
      </c>
      <c r="C51" s="7">
        <f t="shared" si="7"/>
        <v>0</v>
      </c>
      <c r="D51" s="47"/>
      <c r="E51" s="7">
        <f t="shared" si="8"/>
        <v>9541.806293343268</v>
      </c>
      <c r="F51" s="7">
        <f t="shared" si="10"/>
        <v>0</v>
      </c>
      <c r="G51" s="7">
        <f t="shared" si="3"/>
        <v>-2003.7793216020864</v>
      </c>
      <c r="H51" s="7">
        <f t="shared" si="4"/>
        <v>7538.026971741182</v>
      </c>
      <c r="I51" s="8">
        <f t="shared" si="0"/>
        <v>0.6788206782346743</v>
      </c>
      <c r="J51" s="7">
        <f t="shared" si="1"/>
        <v>5116.968581508617</v>
      </c>
      <c r="K51" s="68">
        <f t="shared" si="11"/>
        <v>107605.70711492327</v>
      </c>
      <c r="L51" s="5">
        <f t="shared" si="12"/>
        <v>12954.531797635105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ht="12.75">
      <c r="A52" s="1">
        <f t="shared" si="9"/>
        <v>11</v>
      </c>
      <c r="B52" s="7">
        <f t="shared" si="6"/>
        <v>0</v>
      </c>
      <c r="C52" s="7">
        <f t="shared" si="7"/>
        <v>0</v>
      </c>
      <c r="D52" s="48"/>
      <c r="E52" s="7">
        <f t="shared" si="8"/>
        <v>9828.060482143566</v>
      </c>
      <c r="F52" s="7">
        <f t="shared" si="10"/>
        <v>0</v>
      </c>
      <c r="G52" s="7">
        <f t="shared" si="3"/>
        <v>-2063.892701250149</v>
      </c>
      <c r="H52" s="7">
        <f t="shared" si="4"/>
        <v>7764.167780893417</v>
      </c>
      <c r="I52" s="8">
        <f t="shared" si="0"/>
        <v>0.653026145487902</v>
      </c>
      <c r="J52" s="7">
        <f t="shared" si="1"/>
        <v>5070.204558878187</v>
      </c>
      <c r="K52" s="68">
        <f t="shared" si="11"/>
        <v>112675.91167380146</v>
      </c>
      <c r="L52" s="5">
        <f t="shared" si="12"/>
        <v>12712.705934065829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ht="12.75">
      <c r="A53" s="1">
        <f t="shared" si="9"/>
        <v>12</v>
      </c>
      <c r="B53" s="7">
        <f t="shared" si="6"/>
        <v>0</v>
      </c>
      <c r="C53" s="7">
        <f t="shared" si="7"/>
        <v>0</v>
      </c>
      <c r="D53" s="48"/>
      <c r="E53" s="7">
        <f t="shared" si="8"/>
        <v>10122.902296607874</v>
      </c>
      <c r="F53" s="7">
        <f t="shared" si="10"/>
        <v>0</v>
      </c>
      <c r="G53" s="7">
        <f t="shared" si="3"/>
        <v>-2125.8094822876533</v>
      </c>
      <c r="H53" s="7">
        <f t="shared" si="4"/>
        <v>7997.09281432022</v>
      </c>
      <c r="I53" s="8">
        <f t="shared" si="0"/>
        <v>0.628211780171142</v>
      </c>
      <c r="J53" s="7">
        <f t="shared" si="1"/>
        <v>5023.867913077953</v>
      </c>
      <c r="K53" s="68">
        <f t="shared" si="11"/>
        <v>117699.7795868794</v>
      </c>
      <c r="L53" s="5">
        <f t="shared" si="12"/>
        <v>12529.820095994137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ht="12.75">
      <c r="A54" s="1">
        <f t="shared" si="9"/>
        <v>13</v>
      </c>
      <c r="B54" s="7">
        <f t="shared" si="6"/>
        <v>0</v>
      </c>
      <c r="C54" s="7">
        <f t="shared" si="7"/>
        <v>0</v>
      </c>
      <c r="D54" s="48"/>
      <c r="E54" s="7">
        <f t="shared" si="8"/>
        <v>10426.58936550611</v>
      </c>
      <c r="F54" s="7">
        <f t="shared" si="10"/>
        <v>0</v>
      </c>
      <c r="G54" s="7">
        <f t="shared" si="3"/>
        <v>-2189.5837667562832</v>
      </c>
      <c r="H54" s="7">
        <f t="shared" si="4"/>
        <v>8237.005598749827</v>
      </c>
      <c r="I54" s="8">
        <f t="shared" si="0"/>
        <v>0.6043403368649755</v>
      </c>
      <c r="J54" s="7">
        <f t="shared" si="1"/>
        <v>4977.9547383071595</v>
      </c>
      <c r="K54" s="68">
        <f t="shared" si="11"/>
        <v>122677.73432518657</v>
      </c>
      <c r="L54" s="5">
        <f t="shared" si="12"/>
        <v>12393.391685553537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ht="12.75">
      <c r="A55" s="1">
        <f t="shared" si="9"/>
        <v>14</v>
      </c>
      <c r="B55" s="7">
        <f t="shared" si="6"/>
        <v>0</v>
      </c>
      <c r="C55" s="7">
        <f t="shared" si="7"/>
        <v>0</v>
      </c>
      <c r="D55" s="48"/>
      <c r="E55" s="7">
        <f t="shared" si="8"/>
        <v>10739.387046471293</v>
      </c>
      <c r="F55" s="7">
        <f t="shared" si="10"/>
        <v>-11194.228499145021</v>
      </c>
      <c r="G55" s="7">
        <f t="shared" si="3"/>
        <v>95.51670506148304</v>
      </c>
      <c r="H55" s="7">
        <f t="shared" si="4"/>
        <v>-359.32474761224574</v>
      </c>
      <c r="I55" s="8">
        <f t="shared" si="0"/>
        <v>0.5813759854400917</v>
      </c>
      <c r="J55" s="7">
        <f t="shared" si="1"/>
        <v>-208.9027792360816</v>
      </c>
      <c r="K55" s="68">
        <f t="shared" si="11"/>
        <v>122468.83154595048</v>
      </c>
      <c r="L55" s="5">
        <f t="shared" si="12"/>
        <v>11798.927391968062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ht="13.5" thickBot="1">
      <c r="A56" s="16">
        <f t="shared" si="9"/>
        <v>15</v>
      </c>
      <c r="B56" s="51">
        <f t="shared" si="6"/>
        <v>0</v>
      </c>
      <c r="C56" s="51">
        <f t="shared" si="7"/>
        <v>0</v>
      </c>
      <c r="D56" s="49"/>
      <c r="E56" s="51">
        <f t="shared" si="8"/>
        <v>0</v>
      </c>
      <c r="F56" s="51">
        <f t="shared" si="10"/>
        <v>0</v>
      </c>
      <c r="G56" s="27">
        <f t="shared" si="3"/>
        <v>0</v>
      </c>
      <c r="H56" s="27">
        <f t="shared" si="4"/>
        <v>0</v>
      </c>
      <c r="I56" s="28">
        <f t="shared" si="0"/>
        <v>0.5592842572776254</v>
      </c>
      <c r="J56" s="27">
        <f t="shared" si="1"/>
        <v>0</v>
      </c>
      <c r="K56" s="69">
        <f t="shared" si="11"/>
        <v>0</v>
      </c>
      <c r="L56" s="53">
        <f t="shared" si="12"/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">
        <f>IF(E24&lt;5,F42/5*(5-E24),0)</f>
        <v>0</v>
      </c>
      <c r="Z56" s="63"/>
      <c r="AA56" s="63"/>
      <c r="AB56" s="63"/>
      <c r="AC56" s="63"/>
      <c r="AD56" s="63"/>
      <c r="AE56" s="63"/>
      <c r="AF56" s="63"/>
      <c r="AG56" s="63"/>
    </row>
    <row r="57" spans="1:33" ht="12.75">
      <c r="A57" s="63"/>
      <c r="B57" s="62" t="s">
        <v>197</v>
      </c>
      <c r="C57" s="63"/>
      <c r="D57" s="5">
        <f>SUM(D41:D51)</f>
        <v>57500</v>
      </c>
      <c r="E57" s="63"/>
      <c r="F57" s="63"/>
      <c r="G57" s="63"/>
      <c r="H57" s="29" t="s">
        <v>198</v>
      </c>
      <c r="I57" s="30"/>
      <c r="J57" s="76">
        <f>-SUM(J41:J56)</f>
        <v>-122468.83154595048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ht="12.75">
      <c r="A58" s="63"/>
      <c r="B58" s="63"/>
      <c r="C58" s="63"/>
      <c r="D58" s="63"/>
      <c r="E58" s="63"/>
      <c r="F58" s="63"/>
      <c r="G58" s="63"/>
      <c r="H58" s="62"/>
      <c r="I58" s="63"/>
      <c r="J58" s="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ht="12.75">
      <c r="A60" s="63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ht="12.75">
      <c r="A61" s="63"/>
      <c r="B61" s="6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ht="12.75">
      <c r="A62" s="63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ht="19.5">
      <c r="A64" s="31" t="s">
        <v>199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33" ht="13.5" thickBot="1">
      <c r="A65" s="62" t="s">
        <v>200</v>
      </c>
      <c r="B65" s="63"/>
      <c r="C65" s="63"/>
      <c r="D65" s="63"/>
      <c r="E65" s="70" t="str">
        <f>E6</f>
        <v>Tractor 85 hp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3" ht="13.5" thickTop="1">
      <c r="A66" s="62" t="s">
        <v>201</v>
      </c>
      <c r="B66" s="63"/>
      <c r="C66" s="63"/>
      <c r="D66" s="63"/>
      <c r="E66" s="36">
        <v>57500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3" ht="12.75">
      <c r="A67" s="62" t="s">
        <v>202</v>
      </c>
      <c r="B67" s="63"/>
      <c r="C67" s="63"/>
      <c r="D67" s="63"/>
      <c r="E67" s="42">
        <v>0.3</v>
      </c>
      <c r="F67" s="62" t="s">
        <v>203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3" ht="12.75">
      <c r="A68" s="62" t="s">
        <v>204</v>
      </c>
      <c r="B68" s="63"/>
      <c r="C68" s="63"/>
      <c r="D68" s="63"/>
      <c r="E68" s="42">
        <v>0.07</v>
      </c>
      <c r="F68" s="62" t="s">
        <v>203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ht="12.75">
      <c r="A69" s="62" t="s">
        <v>205</v>
      </c>
      <c r="B69" s="63"/>
      <c r="C69" s="63"/>
      <c r="D69" s="63"/>
      <c r="E69" s="39">
        <v>5</v>
      </c>
      <c r="F69" s="62" t="s">
        <v>206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:33" ht="13.5" thickBot="1">
      <c r="A70" s="62" t="s">
        <v>207</v>
      </c>
      <c r="B70" s="63"/>
      <c r="C70" s="63"/>
      <c r="D70" s="63"/>
      <c r="E70" s="40">
        <v>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ht="13.5" thickTop="1">
      <c r="A71" s="62" t="s">
        <v>122</v>
      </c>
      <c r="B71" s="63"/>
      <c r="C71" s="63"/>
      <c r="D71" s="63"/>
      <c r="E71" s="71">
        <f>E7</f>
        <v>0.21</v>
      </c>
      <c r="F71" s="62" t="s">
        <v>203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ht="13.5" thickBot="1">
      <c r="A72" s="62" t="s">
        <v>208</v>
      </c>
      <c r="B72" s="63"/>
      <c r="C72" s="63"/>
      <c r="D72" s="63"/>
      <c r="E72" s="71">
        <f>E8</f>
        <v>0.05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1:33" ht="13.5" thickTop="1">
      <c r="A73" s="62" t="s">
        <v>209</v>
      </c>
      <c r="B73" s="63"/>
      <c r="C73" s="63"/>
      <c r="D73" s="63"/>
      <c r="E73" s="36">
        <v>6500</v>
      </c>
      <c r="F73" s="62" t="s">
        <v>210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ht="12.75">
      <c r="A74" s="62" t="s">
        <v>211</v>
      </c>
      <c r="B74" s="63"/>
      <c r="C74" s="63"/>
      <c r="D74" s="63"/>
      <c r="E74" s="43">
        <v>8000</v>
      </c>
      <c r="F74" s="62" t="s">
        <v>210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1:33" ht="13.5" thickBot="1">
      <c r="A75" s="62" t="s">
        <v>212</v>
      </c>
      <c r="B75" s="63"/>
      <c r="C75" s="63"/>
      <c r="D75" s="63"/>
      <c r="E75" s="44">
        <v>0.1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3" ht="13.5" thickTop="1">
      <c r="A76" s="62" t="s">
        <v>136</v>
      </c>
      <c r="B76" s="63"/>
      <c r="C76" s="63"/>
      <c r="D76" s="63"/>
      <c r="E76" s="71">
        <f>E17</f>
        <v>0.03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</row>
    <row r="77" spans="1:33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ht="12.75">
      <c r="A78" s="62" t="s">
        <v>213</v>
      </c>
      <c r="B78" s="63"/>
      <c r="C78" s="63"/>
      <c r="D78" s="63"/>
      <c r="E78" s="5">
        <f>PMT(E68,E69,-(E66*(1-E67)))</f>
        <v>9816.600451265303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ht="13.5" thickBot="1">
      <c r="A79" s="62" t="s">
        <v>214</v>
      </c>
      <c r="B79" s="63"/>
      <c r="C79" s="63"/>
      <c r="D79" s="63"/>
      <c r="E79" s="5">
        <f>E66*E67</f>
        <v>17250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:33" ht="13.5" thickTop="1">
      <c r="A80" s="62" t="s">
        <v>215</v>
      </c>
      <c r="B80" s="63"/>
      <c r="C80" s="63"/>
      <c r="D80" s="63"/>
      <c r="E80" s="38">
        <v>0.8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</row>
    <row r="81" spans="1:33" ht="13.5" thickBot="1">
      <c r="A81" s="62" t="s">
        <v>216</v>
      </c>
      <c r="B81" s="63"/>
      <c r="C81" s="63"/>
      <c r="D81" s="63"/>
      <c r="E81" s="40">
        <v>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</row>
    <row r="82" spans="1:33" ht="13.5" thickTop="1">
      <c r="A82" s="62" t="s">
        <v>217</v>
      </c>
      <c r="B82" s="63"/>
      <c r="C82" s="63"/>
      <c r="D82" s="63"/>
      <c r="E82" s="5">
        <f>E79*(1-E75)</f>
        <v>15525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15.75">
      <c r="A83" s="63"/>
      <c r="B83" s="25" t="s">
        <v>218</v>
      </c>
      <c r="C83" s="63"/>
      <c r="D83" s="63"/>
      <c r="E83" s="32">
        <f>H114</f>
        <v>-130811.35919664647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12" t="s">
        <v>219</v>
      </c>
      <c r="M84" s="12" t="s">
        <v>220</v>
      </c>
      <c r="N84" s="66"/>
      <c r="O84" s="66" t="s">
        <v>178</v>
      </c>
      <c r="P84" s="66" t="s">
        <v>178</v>
      </c>
      <c r="Q84" s="66"/>
      <c r="R84" s="66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:33" ht="12.75">
      <c r="A85" s="66"/>
      <c r="B85" s="12"/>
      <c r="C85" s="82"/>
      <c r="D85" s="12"/>
      <c r="E85" s="12" t="s">
        <v>163</v>
      </c>
      <c r="F85" s="12" t="s">
        <v>161</v>
      </c>
      <c r="G85" s="12" t="s">
        <v>178</v>
      </c>
      <c r="H85" s="12" t="s">
        <v>163</v>
      </c>
      <c r="I85" s="12"/>
      <c r="J85" s="12"/>
      <c r="K85" s="12"/>
      <c r="L85" s="12" t="s">
        <v>221</v>
      </c>
      <c r="M85" s="12" t="s">
        <v>222</v>
      </c>
      <c r="N85" s="12" t="s">
        <v>220</v>
      </c>
      <c r="O85" s="66" t="s">
        <v>222</v>
      </c>
      <c r="P85" s="66" t="s">
        <v>222</v>
      </c>
      <c r="Q85" s="66"/>
      <c r="R85" s="66"/>
      <c r="S85" s="63"/>
      <c r="T85" s="63"/>
      <c r="U85" s="63"/>
      <c r="V85" s="63"/>
      <c r="W85" s="63"/>
      <c r="X85" s="63"/>
      <c r="Y85" s="66"/>
      <c r="Z85" s="66"/>
      <c r="AA85" s="66" t="s">
        <v>273</v>
      </c>
      <c r="AB85" s="66" t="s">
        <v>273</v>
      </c>
      <c r="AC85" s="63"/>
      <c r="AD85" s="63"/>
      <c r="AE85" s="63"/>
      <c r="AF85" s="63"/>
      <c r="AG85" s="63"/>
    </row>
    <row r="86" spans="1:33" ht="12.75">
      <c r="A86" s="66"/>
      <c r="B86" s="12" t="s">
        <v>223</v>
      </c>
      <c r="C86" s="82" t="s">
        <v>163</v>
      </c>
      <c r="D86" s="12" t="s">
        <v>219</v>
      </c>
      <c r="E86" s="12" t="s">
        <v>176</v>
      </c>
      <c r="F86" s="12" t="s">
        <v>167</v>
      </c>
      <c r="G86" s="12" t="s">
        <v>224</v>
      </c>
      <c r="H86" s="12" t="s">
        <v>225</v>
      </c>
      <c r="I86" s="12" t="s">
        <v>163</v>
      </c>
      <c r="J86" s="12" t="s">
        <v>163</v>
      </c>
      <c r="K86" s="12" t="s">
        <v>163</v>
      </c>
      <c r="L86" s="12" t="s">
        <v>226</v>
      </c>
      <c r="M86" s="12" t="s">
        <v>219</v>
      </c>
      <c r="N86" s="12" t="s">
        <v>222</v>
      </c>
      <c r="O86" s="66" t="s">
        <v>163</v>
      </c>
      <c r="P86" s="66" t="s">
        <v>227</v>
      </c>
      <c r="Q86" s="66" t="s">
        <v>228</v>
      </c>
      <c r="R86" s="66"/>
      <c r="S86" s="63"/>
      <c r="T86" s="63"/>
      <c r="U86" s="63"/>
      <c r="V86" s="63"/>
      <c r="W86" s="63"/>
      <c r="X86" s="63"/>
      <c r="Y86" s="66"/>
      <c r="Z86" s="66" t="s">
        <v>272</v>
      </c>
      <c r="AA86" s="66" t="s">
        <v>275</v>
      </c>
      <c r="AB86" s="66" t="s">
        <v>274</v>
      </c>
      <c r="AC86" s="63"/>
      <c r="AD86" s="63"/>
      <c r="AE86" s="63"/>
      <c r="AF86" s="63"/>
      <c r="AG86" s="63"/>
    </row>
    <row r="87" spans="1:33" ht="12.75">
      <c r="A87" s="12" t="s">
        <v>229</v>
      </c>
      <c r="B87" s="12" t="s">
        <v>230</v>
      </c>
      <c r="C87" s="82" t="s">
        <v>231</v>
      </c>
      <c r="D87" s="12" t="s">
        <v>232</v>
      </c>
      <c r="E87" s="12" t="s">
        <v>233</v>
      </c>
      <c r="F87" s="12" t="s">
        <v>177</v>
      </c>
      <c r="G87" s="12" t="s">
        <v>176</v>
      </c>
      <c r="H87" s="12" t="s">
        <v>234</v>
      </c>
      <c r="I87" s="12" t="s">
        <v>160</v>
      </c>
      <c r="J87" s="12" t="s">
        <v>227</v>
      </c>
      <c r="K87" s="12" t="s">
        <v>171</v>
      </c>
      <c r="L87" s="12" t="s">
        <v>235</v>
      </c>
      <c r="M87" s="12" t="s">
        <v>221</v>
      </c>
      <c r="N87" s="12" t="s">
        <v>236</v>
      </c>
      <c r="O87" s="66" t="s">
        <v>225</v>
      </c>
      <c r="P87" s="66" t="s">
        <v>237</v>
      </c>
      <c r="Q87" s="66" t="s">
        <v>238</v>
      </c>
      <c r="R87" s="66" t="s">
        <v>163</v>
      </c>
      <c r="S87" s="63"/>
      <c r="T87" s="63"/>
      <c r="U87" s="63"/>
      <c r="V87" s="63"/>
      <c r="W87" s="63"/>
      <c r="X87" s="63"/>
      <c r="Y87" s="66" t="s">
        <v>229</v>
      </c>
      <c r="Z87" s="66" t="s">
        <v>276</v>
      </c>
      <c r="AA87" s="66" t="s">
        <v>236</v>
      </c>
      <c r="AB87" s="66" t="s">
        <v>236</v>
      </c>
      <c r="AC87" s="63"/>
      <c r="AD87" s="63"/>
      <c r="AE87" s="63"/>
      <c r="AF87" s="63"/>
      <c r="AG87" s="63"/>
    </row>
    <row r="88" spans="1:33" ht="13.5" thickBot="1">
      <c r="A88" s="23" t="s">
        <v>120</v>
      </c>
      <c r="B88" s="23" t="s">
        <v>120</v>
      </c>
      <c r="C88" s="23" t="s">
        <v>239</v>
      </c>
      <c r="D88" s="23" t="s">
        <v>182</v>
      </c>
      <c r="E88" s="23" t="s">
        <v>182</v>
      </c>
      <c r="F88" s="89">
        <f>E72*(1-E71)</f>
        <v>0.03950000000000001</v>
      </c>
      <c r="G88" s="23" t="s">
        <v>240</v>
      </c>
      <c r="H88" s="23" t="s">
        <v>239</v>
      </c>
      <c r="I88" s="23" t="s">
        <v>184</v>
      </c>
      <c r="J88" s="23" t="s">
        <v>241</v>
      </c>
      <c r="K88" s="23" t="s">
        <v>182</v>
      </c>
      <c r="L88" s="23" t="s">
        <v>171</v>
      </c>
      <c r="M88" s="23" t="s">
        <v>242</v>
      </c>
      <c r="N88" s="23" t="s">
        <v>243</v>
      </c>
      <c r="O88" s="23" t="s">
        <v>234</v>
      </c>
      <c r="P88" s="23" t="s">
        <v>241</v>
      </c>
      <c r="Q88" s="54" t="s">
        <v>188</v>
      </c>
      <c r="R88" s="67" t="s">
        <v>189</v>
      </c>
      <c r="S88" s="63"/>
      <c r="T88" s="63"/>
      <c r="U88" s="63"/>
      <c r="V88" s="63"/>
      <c r="W88" s="63"/>
      <c r="X88" s="63"/>
      <c r="Y88" s="100" t="s">
        <v>120</v>
      </c>
      <c r="Z88" s="100" t="s">
        <v>177</v>
      </c>
      <c r="AA88" s="100" t="s">
        <v>277</v>
      </c>
      <c r="AB88" s="100" t="s">
        <v>278</v>
      </c>
      <c r="AC88" s="63"/>
      <c r="AD88" s="63"/>
      <c r="AE88" s="63"/>
      <c r="AF88" s="63"/>
      <c r="AG88" s="63"/>
    </row>
    <row r="89" spans="1:33" ht="12.75">
      <c r="A89" s="66">
        <v>0</v>
      </c>
      <c r="B89" s="66">
        <f aca="true" t="shared" si="13" ref="B89:B104">IF(A89&lt;E$69,0,(A89-E$69)+1)</f>
        <v>0</v>
      </c>
      <c r="C89" s="90">
        <f aca="true" t="shared" si="14" ref="C89:C101">IF(A89&gt;=$E$24,0,IF(OR(E$70=1,A89&lt;=E$69-1),E$78,IF(AND(A89=E$69,E$70=2),E$79*(1-E$80),0)))</f>
        <v>9816.600451265303</v>
      </c>
      <c r="D89" s="90">
        <f>IF(A89&lt;=(E69-1),C89*E71,IF(AND(A89&gt;=E69,E70=2),0,C89*E71))</f>
        <v>2061.4860947657135</v>
      </c>
      <c r="E89" s="90">
        <f>IF(OR(E70=1,A89&lt;=(E69-1)),C89-D89,0)</f>
        <v>7755.11435649959</v>
      </c>
      <c r="F89" s="91">
        <f aca="true" t="shared" si="15" ref="F89:F104">1/(1+(E$72*(1-E$71)))^A89</f>
        <v>1</v>
      </c>
      <c r="G89" s="90">
        <f aca="true" t="shared" si="16" ref="G89:G104">E89*F89</f>
        <v>7755.11435649959</v>
      </c>
      <c r="H89" s="90">
        <f>E73</f>
        <v>6500</v>
      </c>
      <c r="I89" s="90">
        <f aca="true" t="shared" si="17" ref="I89:I104">IF(A89&gt;=$E$24,0,IF(B89&gt;E$14+1,0,IF(AND(E$70=2,A89&gt;=E$69),E$82*HLOOKUP(E$14,M$27:P$35,(A89-E$69+1)+1),0)))</f>
        <v>0</v>
      </c>
      <c r="J89" s="90">
        <f>IF(B89&gt;$E$81,0,IF(C89&lt;&gt;$E$78,PPMT($E$68,B89,$E$81,$E$79*$E$80),0))</f>
        <v>0</v>
      </c>
      <c r="K89" s="90">
        <f>IF(B89&gt;$E$81,0,IF(C89&lt;&gt;$E$78,IPMT($E$68,B89,$E$81,$E$79*$E$80),0))</f>
        <v>0</v>
      </c>
      <c r="L89" s="90">
        <f aca="true" t="shared" si="18" ref="L89:L104">(H89+I89-K89)*E$71</f>
        <v>1365</v>
      </c>
      <c r="M89" s="90">
        <f aca="true" t="shared" si="19" ref="M89:M104">F89*L89</f>
        <v>1365</v>
      </c>
      <c r="N89" s="90">
        <f aca="true" t="shared" si="20" ref="N89:N104">IF(C89=E$79*(1-$E$80),C89*F89,0)</f>
        <v>0</v>
      </c>
      <c r="O89" s="90">
        <f aca="true" t="shared" si="21" ref="O89:O104">F89*H89</f>
        <v>6500</v>
      </c>
      <c r="P89" s="90">
        <f aca="true" t="shared" si="22" ref="P89:P104">SUM(J89:K89)*F89</f>
        <v>0</v>
      </c>
      <c r="Q89" s="92">
        <f>G89+N89+O89-P89-M89+IF($E$24-1=A89,$H$113,0)</f>
        <v>12890.114356499591</v>
      </c>
      <c r="R89" s="93"/>
      <c r="S89" s="63"/>
      <c r="T89" s="63"/>
      <c r="U89" s="63"/>
      <c r="V89" s="63"/>
      <c r="W89" s="63"/>
      <c r="X89" s="63"/>
      <c r="Y89" s="66">
        <v>0</v>
      </c>
      <c r="Z89" s="66">
        <v>0</v>
      </c>
      <c r="AA89" s="90">
        <f>E73</f>
        <v>6500</v>
      </c>
      <c r="AB89" s="90">
        <f>E74</f>
        <v>8000</v>
      </c>
      <c r="AC89" s="63"/>
      <c r="AD89" s="63"/>
      <c r="AE89" s="63"/>
      <c r="AF89" s="63"/>
      <c r="AG89" s="63"/>
    </row>
    <row r="90" spans="1:33" ht="12.75">
      <c r="A90" s="66">
        <f aca="true" t="shared" si="23" ref="A90:A104">A89+1</f>
        <v>1</v>
      </c>
      <c r="B90" s="66">
        <f t="shared" si="13"/>
        <v>0</v>
      </c>
      <c r="C90" s="90">
        <f t="shared" si="14"/>
        <v>9816.600451265303</v>
      </c>
      <c r="D90" s="90">
        <f>IF(A90&lt;=(E69-1),C90*E71,IF(AND(A90&gt;=E69,E70=2),0,C90*E71))</f>
        <v>2061.4860947657135</v>
      </c>
      <c r="E90" s="90">
        <f>IF(OR(E70=1,A90&lt;=(E69-1)),C90-D90,0)</f>
        <v>7755.11435649959</v>
      </c>
      <c r="F90" s="91">
        <f t="shared" si="15"/>
        <v>0.962000962000962</v>
      </c>
      <c r="G90" s="90">
        <f t="shared" si="16"/>
        <v>7460.427471380077</v>
      </c>
      <c r="H90" s="90">
        <f>IF(A90&gt;=$E$24,0,IF(AND(E$70=2,A90&lt;E$69),H89+(H89*E$76),VLOOKUP(A90,Y85:AB100,4)))</f>
        <v>6695</v>
      </c>
      <c r="I90" s="90">
        <f t="shared" si="17"/>
        <v>0</v>
      </c>
      <c r="J90" s="90">
        <f aca="true" t="shared" si="24" ref="J90:J104">IF(B90&gt;$E$81,0,IF(C90&lt;&gt;$E$78,PPMT($E$68,B90,$E$81,$E$79*$E$80),0))</f>
        <v>0</v>
      </c>
      <c r="K90" s="90">
        <f aca="true" t="shared" si="25" ref="K90:K104">IF(B90&gt;$E$81,0,IF(C90&lt;&gt;$E$78,IPMT($E$68,B90,$E$81,$E$79*$E$80),0))</f>
        <v>0</v>
      </c>
      <c r="L90" s="90">
        <f t="shared" si="18"/>
        <v>1405.95</v>
      </c>
      <c r="M90" s="90">
        <f t="shared" si="19"/>
        <v>1352.5252525252524</v>
      </c>
      <c r="N90" s="90">
        <f t="shared" si="20"/>
        <v>0</v>
      </c>
      <c r="O90" s="90">
        <f t="shared" si="21"/>
        <v>6440.5964405964405</v>
      </c>
      <c r="P90" s="90">
        <f t="shared" si="22"/>
        <v>0</v>
      </c>
      <c r="Q90" s="92">
        <f>IF(H90=0,0,G90+N90+O90-P90-M90+IF($E$24-1=A90,$H$113,0)+Q89)</f>
        <v>25438.613015950854</v>
      </c>
      <c r="R90" s="93"/>
      <c r="S90" s="63"/>
      <c r="T90" s="63"/>
      <c r="U90" s="63"/>
      <c r="V90" s="63"/>
      <c r="W90" s="63"/>
      <c r="X90" s="63"/>
      <c r="Y90" s="66">
        <v>1</v>
      </c>
      <c r="Z90" s="101">
        <f>1+$E$76</f>
        <v>1.03</v>
      </c>
      <c r="AA90" s="90">
        <f>$AA$89*Z90</f>
        <v>6695</v>
      </c>
      <c r="AB90" s="90">
        <f>$AB$89*Z90</f>
        <v>8240</v>
      </c>
      <c r="AC90" s="63"/>
      <c r="AD90" s="63"/>
      <c r="AE90" s="63"/>
      <c r="AF90" s="63"/>
      <c r="AG90" s="63"/>
    </row>
    <row r="91" spans="1:33" ht="12.75">
      <c r="A91" s="66">
        <f t="shared" si="23"/>
        <v>2</v>
      </c>
      <c r="B91" s="66">
        <f t="shared" si="13"/>
        <v>0</v>
      </c>
      <c r="C91" s="90">
        <f t="shared" si="14"/>
        <v>9816.600451265303</v>
      </c>
      <c r="D91" s="90">
        <f>IF(A91&lt;=(E69-1),C91*E71,IF(AND(A91&gt;=E69,E70=2),0,C91*E71))</f>
        <v>2061.4860947657135</v>
      </c>
      <c r="E91" s="90">
        <f>IF(OR(E70=1,A91&lt;=(E69-1)),C91-D91,0)</f>
        <v>7755.11435649959</v>
      </c>
      <c r="F91" s="91">
        <f t="shared" si="15"/>
        <v>0.9254458508907761</v>
      </c>
      <c r="G91" s="90">
        <f t="shared" si="16"/>
        <v>7176.938404406037</v>
      </c>
      <c r="H91" s="90">
        <f aca="true" t="shared" si="26" ref="H91:H104">IF(A91&gt;=$E$24,0,IF(AND(E$70=2,A91&lt;E$69),H90+(H90*E$76),VLOOKUP(A91,Y86:AB101,4)))</f>
        <v>6895.85</v>
      </c>
      <c r="I91" s="90">
        <f t="shared" si="17"/>
        <v>0</v>
      </c>
      <c r="J91" s="90">
        <f t="shared" si="24"/>
        <v>0</v>
      </c>
      <c r="K91" s="90">
        <f t="shared" si="25"/>
        <v>0</v>
      </c>
      <c r="L91" s="90">
        <f t="shared" si="18"/>
        <v>1448.1285</v>
      </c>
      <c r="M91" s="90">
        <f t="shared" si="19"/>
        <v>1340.1645118816834</v>
      </c>
      <c r="N91" s="90">
        <f t="shared" si="20"/>
        <v>0</v>
      </c>
      <c r="O91" s="90">
        <f t="shared" si="21"/>
        <v>6381.735770865159</v>
      </c>
      <c r="P91" s="90">
        <f t="shared" si="22"/>
        <v>0</v>
      </c>
      <c r="Q91" s="92">
        <f aca="true" t="shared" si="27" ref="Q91:Q104">IF(H91=0,0,G91+N91+O91-P91-M91+IF($E$24-1=A91,$H$113,0)+Q90)</f>
        <v>37657.12267934037</v>
      </c>
      <c r="R91" s="90">
        <f>Q91*($E$8/(1-(1/(1+$E$8)^(A91+1))))</f>
        <v>13828.017967223277</v>
      </c>
      <c r="S91" s="63"/>
      <c r="T91" s="63"/>
      <c r="U91" s="63"/>
      <c r="V91" s="63"/>
      <c r="W91" s="63"/>
      <c r="X91" s="63"/>
      <c r="Y91" s="66">
        <v>2</v>
      </c>
      <c r="Z91" s="101">
        <f>Z90*(1+$E$76)</f>
        <v>1.0609</v>
      </c>
      <c r="AA91" s="90">
        <f>$AA$89*Z91</f>
        <v>6895.849999999999</v>
      </c>
      <c r="AB91" s="90">
        <f>$AB$89*Z91</f>
        <v>8487.199999999999</v>
      </c>
      <c r="AC91" s="63"/>
      <c r="AD91" s="63"/>
      <c r="AE91" s="63"/>
      <c r="AF91" s="63"/>
      <c r="AG91" s="63"/>
    </row>
    <row r="92" spans="1:33" ht="12.75">
      <c r="A92" s="66">
        <f t="shared" si="23"/>
        <v>3</v>
      </c>
      <c r="B92" s="66">
        <f t="shared" si="13"/>
        <v>0</v>
      </c>
      <c r="C92" s="90">
        <f t="shared" si="14"/>
        <v>9816.600451265303</v>
      </c>
      <c r="D92" s="90">
        <f>IF(A92&lt;=(E69-1),C92*E71,IF(AND(A92&gt;=E69,E70=2),0,C92*E71))</f>
        <v>2061.4860947657135</v>
      </c>
      <c r="E92" s="90">
        <f>IF(OR(E70=1,A92&lt;=(E69-1)),C92-D92,0)</f>
        <v>7755.11435649959</v>
      </c>
      <c r="F92" s="91">
        <f t="shared" si="15"/>
        <v>0.8902797988367254</v>
      </c>
      <c r="G92" s="90">
        <f t="shared" si="16"/>
        <v>6904.221649260256</v>
      </c>
      <c r="H92" s="90">
        <f t="shared" si="26"/>
        <v>7102.7255000000005</v>
      </c>
      <c r="I92" s="90">
        <f t="shared" si="17"/>
        <v>0</v>
      </c>
      <c r="J92" s="90">
        <f t="shared" si="24"/>
        <v>0</v>
      </c>
      <c r="K92" s="90">
        <f t="shared" si="25"/>
        <v>0</v>
      </c>
      <c r="L92" s="90">
        <f t="shared" si="18"/>
        <v>1491.572355</v>
      </c>
      <c r="M92" s="90">
        <f t="shared" si="19"/>
        <v>1327.9167361598206</v>
      </c>
      <c r="N92" s="90">
        <f t="shared" si="20"/>
        <v>0</v>
      </c>
      <c r="O92" s="90">
        <f t="shared" si="21"/>
        <v>6323.41302933248</v>
      </c>
      <c r="P92" s="90">
        <f t="shared" si="22"/>
        <v>0</v>
      </c>
      <c r="Q92" s="92">
        <f t="shared" si="27"/>
        <v>49556.840621773285</v>
      </c>
      <c r="R92" s="90">
        <f aca="true" t="shared" si="28" ref="R92:R104">Q92*($E$8/(1-(1/(1+$E$8)^(A92+1))))</f>
        <v>13975.61544178401</v>
      </c>
      <c r="S92" s="63"/>
      <c r="T92" s="63"/>
      <c r="U92" s="63"/>
      <c r="V92" s="63"/>
      <c r="W92" s="63"/>
      <c r="X92" s="63"/>
      <c r="Y92" s="66">
        <v>3</v>
      </c>
      <c r="Z92" s="101">
        <f aca="true" t="shared" si="29" ref="Z92:Z104">Z91*(1+$E$76)</f>
        <v>1.092727</v>
      </c>
      <c r="AA92" s="90">
        <f>$AA$89*Z92</f>
        <v>7102.7255000000005</v>
      </c>
      <c r="AB92" s="90">
        <f>$AB$89*Z92</f>
        <v>8741.816</v>
      </c>
      <c r="AC92" s="63"/>
      <c r="AD92" s="63"/>
      <c r="AE92" s="63"/>
      <c r="AF92" s="63"/>
      <c r="AG92" s="63"/>
    </row>
    <row r="93" spans="1:33" ht="12.75">
      <c r="A93" s="66">
        <f t="shared" si="23"/>
        <v>4</v>
      </c>
      <c r="B93" s="66">
        <f t="shared" si="13"/>
        <v>0</v>
      </c>
      <c r="C93" s="90">
        <f t="shared" si="14"/>
        <v>9816.600451265303</v>
      </c>
      <c r="D93" s="90">
        <f>IF(A93&lt;=(E69-1),C93*E71,IF(AND(A93&gt;=E69,E70=2),0,C93*E71))</f>
        <v>2061.4860947657135</v>
      </c>
      <c r="E93" s="90">
        <f>IF(OR(E70=1,A93&lt;=(E69-1)),C93-D93,0)</f>
        <v>7755.11435649959</v>
      </c>
      <c r="F93" s="91">
        <f t="shared" si="15"/>
        <v>0.8564500229309527</v>
      </c>
      <c r="G93" s="90">
        <f t="shared" si="16"/>
        <v>6641.867868456235</v>
      </c>
      <c r="H93" s="90">
        <f t="shared" si="26"/>
        <v>7315.807265</v>
      </c>
      <c r="I93" s="90">
        <f t="shared" si="17"/>
        <v>0</v>
      </c>
      <c r="J93" s="90">
        <f t="shared" si="24"/>
        <v>0</v>
      </c>
      <c r="K93" s="90">
        <f t="shared" si="25"/>
        <v>0</v>
      </c>
      <c r="L93" s="90">
        <f t="shared" si="18"/>
        <v>1536.31952565</v>
      </c>
      <c r="M93" s="90">
        <f t="shared" si="19"/>
        <v>1315.780892972213</v>
      </c>
      <c r="N93" s="90">
        <f t="shared" si="20"/>
        <v>0</v>
      </c>
      <c r="O93" s="90">
        <f t="shared" si="21"/>
        <v>6265.6232998676805</v>
      </c>
      <c r="P93" s="90">
        <f t="shared" si="22"/>
        <v>0</v>
      </c>
      <c r="Q93" s="92">
        <f t="shared" si="27"/>
        <v>61148.55089712499</v>
      </c>
      <c r="R93" s="90">
        <f t="shared" si="28"/>
        <v>14123.77419929957</v>
      </c>
      <c r="S93" s="63"/>
      <c r="T93" s="63"/>
      <c r="U93" s="63"/>
      <c r="V93" s="63"/>
      <c r="W93" s="63"/>
      <c r="X93" s="63"/>
      <c r="Y93" s="66">
        <v>4</v>
      </c>
      <c r="Z93" s="101">
        <f t="shared" si="29"/>
        <v>1.1255088100000001</v>
      </c>
      <c r="AA93" s="90">
        <f>$AA$89*Z93</f>
        <v>7315.807265000001</v>
      </c>
      <c r="AB93" s="90">
        <f>$AB$89*Z93</f>
        <v>9004.07048</v>
      </c>
      <c r="AC93" s="63"/>
      <c r="AD93" s="63"/>
      <c r="AE93" s="63"/>
      <c r="AF93" s="63"/>
      <c r="AG93" s="63"/>
    </row>
    <row r="94" spans="1:33" ht="12.75">
      <c r="A94" s="66">
        <f t="shared" si="23"/>
        <v>5</v>
      </c>
      <c r="B94" s="66">
        <f t="shared" si="13"/>
        <v>1</v>
      </c>
      <c r="C94" s="90">
        <f t="shared" si="14"/>
        <v>3449.999999999999</v>
      </c>
      <c r="D94" s="90">
        <f>IF(A94&lt;=(E69-1),C94*E71,IF(AND(A94&gt;=E69,E70=2),0,C94*E71))</f>
        <v>0</v>
      </c>
      <c r="E94" s="90">
        <f>IF(OR(E70=1,A94&lt;=(E69-1)),C94-D94,0)</f>
        <v>0</v>
      </c>
      <c r="F94" s="91">
        <f t="shared" si="15"/>
        <v>0.8239057459653225</v>
      </c>
      <c r="G94" s="90">
        <f t="shared" si="16"/>
        <v>0</v>
      </c>
      <c r="H94" s="90">
        <f t="shared" si="26"/>
        <v>9274.192594400001</v>
      </c>
      <c r="I94" s="90">
        <f t="shared" si="17"/>
        <v>2328.75</v>
      </c>
      <c r="J94" s="90">
        <f t="shared" si="24"/>
        <v>-2399.6915832909613</v>
      </c>
      <c r="K94" s="90">
        <f t="shared" si="25"/>
        <v>-966.0000000000001</v>
      </c>
      <c r="L94" s="90">
        <f t="shared" si="18"/>
        <v>2639.477944824</v>
      </c>
      <c r="M94" s="90">
        <f t="shared" si="19"/>
        <v>2174.681045089234</v>
      </c>
      <c r="N94" s="90">
        <f t="shared" si="20"/>
        <v>2842.4748235803618</v>
      </c>
      <c r="O94" s="90">
        <f t="shared" si="21"/>
        <v>7641.0605677152025</v>
      </c>
      <c r="P94" s="90">
        <f>SUM(J94:K94)*F94</f>
        <v>-2773.012634620547</v>
      </c>
      <c r="Q94" s="92">
        <f t="shared" si="27"/>
        <v>72230.41787795187</v>
      </c>
      <c r="R94" s="90">
        <f t="shared" si="28"/>
        <v>14230.654050854955</v>
      </c>
      <c r="S94" s="63"/>
      <c r="T94" s="63"/>
      <c r="U94" s="63"/>
      <c r="V94" s="63"/>
      <c r="W94" s="63"/>
      <c r="X94" s="63"/>
      <c r="Y94" s="66">
        <v>5</v>
      </c>
      <c r="Z94" s="101">
        <f t="shared" si="29"/>
        <v>1.1592740743</v>
      </c>
      <c r="AA94" s="90">
        <f>$AA$89*Z94</f>
        <v>7535.28148295</v>
      </c>
      <c r="AB94" s="90">
        <f>$AB$89*Z94</f>
        <v>9274.192594400001</v>
      </c>
      <c r="AC94" s="63"/>
      <c r="AD94" s="63"/>
      <c r="AE94" s="63"/>
      <c r="AF94" s="63"/>
      <c r="AG94" s="63"/>
    </row>
    <row r="95" spans="1:33" ht="12.75">
      <c r="A95" s="66">
        <f t="shared" si="23"/>
        <v>6</v>
      </c>
      <c r="B95" s="66">
        <f t="shared" si="13"/>
        <v>2</v>
      </c>
      <c r="C95" s="90">
        <f t="shared" si="14"/>
        <v>0</v>
      </c>
      <c r="D95" s="90">
        <f>IF(A95&lt;=(E69-1),C95*E71,IF(AND(A95&gt;=E69,E70=2),0,C95*E71))</f>
        <v>0</v>
      </c>
      <c r="E95" s="90">
        <f>IF(OR(E70=1,A95&lt;=(E69-1)),C95-D95,0)</f>
        <v>0</v>
      </c>
      <c r="F95" s="91">
        <f t="shared" si="15"/>
        <v>0.7925981202167602</v>
      </c>
      <c r="G95" s="90">
        <f t="shared" si="16"/>
        <v>0</v>
      </c>
      <c r="H95" s="90">
        <f t="shared" si="26"/>
        <v>9552.418372232001</v>
      </c>
      <c r="I95" s="90">
        <f t="shared" si="17"/>
        <v>3958.875</v>
      </c>
      <c r="J95" s="90">
        <f t="shared" si="24"/>
        <v>-2567.6699941213287</v>
      </c>
      <c r="K95" s="90">
        <f t="shared" si="25"/>
        <v>-798.0215891696325</v>
      </c>
      <c r="L95" s="90">
        <f t="shared" si="18"/>
        <v>3004.9561418943426</v>
      </c>
      <c r="M95" s="90">
        <f t="shared" si="19"/>
        <v>2381.722589399264</v>
      </c>
      <c r="N95" s="90">
        <f t="shared" si="20"/>
        <v>0</v>
      </c>
      <c r="O95" s="90">
        <f t="shared" si="21"/>
        <v>7571.228845355129</v>
      </c>
      <c r="P95" s="90">
        <f t="shared" si="22"/>
        <v>-2667.6408221457873</v>
      </c>
      <c r="Q95" s="92">
        <f t="shared" si="27"/>
        <v>80087.56495605352</v>
      </c>
      <c r="R95" s="90">
        <f t="shared" si="28"/>
        <v>13840.718435501072</v>
      </c>
      <c r="S95" s="63"/>
      <c r="T95" s="63"/>
      <c r="U95" s="63"/>
      <c r="V95" s="63"/>
      <c r="W95" s="63"/>
      <c r="X95" s="63"/>
      <c r="Y95" s="66">
        <v>6</v>
      </c>
      <c r="Z95" s="101">
        <f t="shared" si="29"/>
        <v>1.1940522965290001</v>
      </c>
      <c r="AA95" s="90">
        <f>$AA$89*Z95</f>
        <v>7761.339927438501</v>
      </c>
      <c r="AB95" s="90">
        <f>$AB$89*Z95</f>
        <v>9552.418372232001</v>
      </c>
      <c r="AC95" s="63"/>
      <c r="AD95" s="63"/>
      <c r="AE95" s="63"/>
      <c r="AF95" s="63"/>
      <c r="AG95" s="63"/>
    </row>
    <row r="96" spans="1:33" ht="12.75">
      <c r="A96" s="66">
        <f t="shared" si="23"/>
        <v>7</v>
      </c>
      <c r="B96" s="66">
        <f t="shared" si="13"/>
        <v>3</v>
      </c>
      <c r="C96" s="90">
        <f t="shared" si="14"/>
        <v>0</v>
      </c>
      <c r="D96" s="90">
        <f>IF(A96&lt;=(E69-1),C96*E71,IF(AND(A96&gt;=E69,E70=2),0,C96*E71))</f>
        <v>0</v>
      </c>
      <c r="E96" s="90">
        <f>IF(OR(E70=1,A96&lt;=(E69-1)),C96-D96,0)</f>
        <v>0</v>
      </c>
      <c r="F96" s="91">
        <f t="shared" si="15"/>
        <v>0.7624801541286774</v>
      </c>
      <c r="G96" s="90">
        <f t="shared" si="16"/>
        <v>0</v>
      </c>
      <c r="H96" s="90">
        <f t="shared" si="26"/>
        <v>9838.990923398962</v>
      </c>
      <c r="I96" s="90">
        <f t="shared" si="17"/>
        <v>2771.2125</v>
      </c>
      <c r="J96" s="90">
        <f t="shared" si="24"/>
        <v>-2747.4068937098214</v>
      </c>
      <c r="K96" s="90">
        <f t="shared" si="25"/>
        <v>-618.2846895811398</v>
      </c>
      <c r="L96" s="90">
        <f t="shared" si="18"/>
        <v>2777.982503725821</v>
      </c>
      <c r="M96" s="90">
        <f t="shared" si="19"/>
        <v>2118.156527607633</v>
      </c>
      <c r="N96" s="90">
        <f t="shared" si="20"/>
        <v>0</v>
      </c>
      <c r="O96" s="90">
        <f t="shared" si="21"/>
        <v>7502.0353157438985</v>
      </c>
      <c r="P96" s="90">
        <f t="shared" si="22"/>
        <v>-2566.2730371772846</v>
      </c>
      <c r="Q96" s="92">
        <f t="shared" si="27"/>
        <v>88037.71678136708</v>
      </c>
      <c r="R96" s="90">
        <f t="shared" si="28"/>
        <v>13621.355208053257</v>
      </c>
      <c r="S96" s="63"/>
      <c r="T96" s="63"/>
      <c r="U96" s="63"/>
      <c r="V96" s="63"/>
      <c r="W96" s="63"/>
      <c r="X96" s="63"/>
      <c r="Y96" s="66">
        <v>7</v>
      </c>
      <c r="Z96" s="101">
        <f t="shared" si="29"/>
        <v>1.2298738654248702</v>
      </c>
      <c r="AA96" s="90">
        <f>$AA$89*Z96</f>
        <v>7994.180125261656</v>
      </c>
      <c r="AB96" s="90">
        <f>$AB$89*Z96</f>
        <v>9838.990923398962</v>
      </c>
      <c r="AC96" s="63"/>
      <c r="AD96" s="63"/>
      <c r="AE96" s="63"/>
      <c r="AF96" s="63"/>
      <c r="AG96" s="63"/>
    </row>
    <row r="97" spans="1:33" ht="12.75">
      <c r="A97" s="66">
        <f t="shared" si="23"/>
        <v>8</v>
      </c>
      <c r="B97" s="66">
        <f t="shared" si="13"/>
        <v>4</v>
      </c>
      <c r="C97" s="90">
        <f t="shared" si="14"/>
        <v>0</v>
      </c>
      <c r="D97" s="90">
        <f>IF(A97&lt;=(E69-1),C97*E71,IF(AND(A97&gt;=E69,E70=2),0,C97*E71))</f>
        <v>0</v>
      </c>
      <c r="E97" s="90">
        <f>IF(OR(E70=1,A97&lt;=(E69-1)),C97-D97,0)</f>
        <v>0</v>
      </c>
      <c r="F97" s="91">
        <f t="shared" si="15"/>
        <v>0.7335066417784294</v>
      </c>
      <c r="G97" s="90">
        <f t="shared" si="16"/>
        <v>0</v>
      </c>
      <c r="H97" s="90">
        <f t="shared" si="26"/>
        <v>10134.16065110093</v>
      </c>
      <c r="I97" s="90">
        <f t="shared" si="17"/>
        <v>2586.465</v>
      </c>
      <c r="J97" s="90">
        <f t="shared" si="24"/>
        <v>-2939.725376269509</v>
      </c>
      <c r="K97" s="90">
        <f t="shared" si="25"/>
        <v>-425.9662070214521</v>
      </c>
      <c r="L97" s="90">
        <f t="shared" si="18"/>
        <v>2760.7842902057005</v>
      </c>
      <c r="M97" s="90">
        <f t="shared" si="19"/>
        <v>2025.0536133834282</v>
      </c>
      <c r="N97" s="90">
        <f t="shared" si="20"/>
        <v>0</v>
      </c>
      <c r="O97" s="90">
        <f t="shared" si="21"/>
        <v>7433.474146432145</v>
      </c>
      <c r="P97" s="90">
        <f t="shared" si="22"/>
        <v>-2468.757130521678</v>
      </c>
      <c r="Q97" s="92">
        <f t="shared" si="27"/>
        <v>95914.89444493747</v>
      </c>
      <c r="R97" s="90">
        <f t="shared" si="28"/>
        <v>13494.274170327495</v>
      </c>
      <c r="S97" s="63"/>
      <c r="T97" s="63"/>
      <c r="U97" s="63"/>
      <c r="V97" s="63"/>
      <c r="W97" s="63"/>
      <c r="X97" s="63"/>
      <c r="Y97" s="66">
        <v>8</v>
      </c>
      <c r="Z97" s="101">
        <f t="shared" si="29"/>
        <v>1.2667700813876164</v>
      </c>
      <c r="AA97" s="90">
        <f>$AA$89*Z97</f>
        <v>8234.005529019507</v>
      </c>
      <c r="AB97" s="90">
        <f>$AB$89*Z97</f>
        <v>10134.16065110093</v>
      </c>
      <c r="AC97" s="63"/>
      <c r="AD97" s="63"/>
      <c r="AE97" s="63"/>
      <c r="AF97" s="63"/>
      <c r="AG97" s="63"/>
    </row>
    <row r="98" spans="1:33" ht="12.75">
      <c r="A98" s="66">
        <f t="shared" si="23"/>
        <v>9</v>
      </c>
      <c r="B98" s="66">
        <f t="shared" si="13"/>
        <v>5</v>
      </c>
      <c r="C98" s="90">
        <f t="shared" si="14"/>
        <v>0</v>
      </c>
      <c r="D98" s="90">
        <f aca="true" t="shared" si="30" ref="D98:D104">IF(A98&lt;=(E$69-1),C98*E$71,IF(AND(A98&gt;=E$69,E$70=2),0,C98*E$71))</f>
        <v>0</v>
      </c>
      <c r="E98" s="90">
        <f aca="true" t="shared" si="31" ref="E98:E104">IF(OR(E$70=1,A98&lt;=(E$69-1)),C98-D98,0)</f>
        <v>0</v>
      </c>
      <c r="F98" s="91">
        <f t="shared" si="15"/>
        <v>0.7056340950249441</v>
      </c>
      <c r="G98" s="90">
        <f t="shared" si="16"/>
        <v>0</v>
      </c>
      <c r="H98" s="90">
        <f t="shared" si="26"/>
        <v>10438.18547063396</v>
      </c>
      <c r="I98" s="90">
        <f t="shared" si="17"/>
        <v>2586.465</v>
      </c>
      <c r="J98" s="90">
        <f t="shared" si="24"/>
        <v>-3145.5061526083746</v>
      </c>
      <c r="K98" s="90">
        <f t="shared" si="25"/>
        <v>-220.18543068258683</v>
      </c>
      <c r="L98" s="90">
        <f t="shared" si="18"/>
        <v>2781.4155392764746</v>
      </c>
      <c r="M98" s="90">
        <f t="shared" si="19"/>
        <v>1962.6616369456722</v>
      </c>
      <c r="N98" s="90">
        <f t="shared" si="20"/>
        <v>0</v>
      </c>
      <c r="O98" s="90">
        <f t="shared" si="21"/>
        <v>7365.5395582733145</v>
      </c>
      <c r="P98" s="90">
        <f t="shared" si="22"/>
        <v>-2374.9467345085886</v>
      </c>
      <c r="Q98" s="92">
        <f t="shared" si="27"/>
        <v>103692.7191007737</v>
      </c>
      <c r="R98" s="90">
        <f t="shared" si="28"/>
        <v>13428.681514158188</v>
      </c>
      <c r="S98" s="63"/>
      <c r="T98" s="63"/>
      <c r="U98" s="63"/>
      <c r="V98" s="63"/>
      <c r="W98" s="63"/>
      <c r="X98" s="63"/>
      <c r="Y98" s="66">
        <v>9</v>
      </c>
      <c r="Z98" s="101">
        <f t="shared" si="29"/>
        <v>1.304773183829245</v>
      </c>
      <c r="AA98" s="90">
        <f>$AA$89*Z98</f>
        <v>8481.025694890091</v>
      </c>
      <c r="AB98" s="90">
        <f>$AB$89*Z98</f>
        <v>10438.18547063396</v>
      </c>
      <c r="AC98" s="63"/>
      <c r="AD98" s="63"/>
      <c r="AE98" s="63"/>
      <c r="AF98" s="63"/>
      <c r="AG98" s="63"/>
    </row>
    <row r="99" spans="1:33" ht="12.75">
      <c r="A99" s="66">
        <f t="shared" si="23"/>
        <v>10</v>
      </c>
      <c r="B99" s="66">
        <f t="shared" si="13"/>
        <v>6</v>
      </c>
      <c r="C99" s="90">
        <f t="shared" si="14"/>
        <v>0</v>
      </c>
      <c r="D99" s="90">
        <f t="shared" si="30"/>
        <v>0</v>
      </c>
      <c r="E99" s="90">
        <f t="shared" si="31"/>
        <v>0</v>
      </c>
      <c r="F99" s="91">
        <f t="shared" si="15"/>
        <v>0.6788206782346743</v>
      </c>
      <c r="G99" s="90">
        <f t="shared" si="16"/>
        <v>0</v>
      </c>
      <c r="H99" s="90">
        <f t="shared" si="26"/>
        <v>10751.331034752979</v>
      </c>
      <c r="I99" s="90">
        <f t="shared" si="17"/>
        <v>1293.2325</v>
      </c>
      <c r="J99" s="90">
        <f t="shared" si="24"/>
        <v>0</v>
      </c>
      <c r="K99" s="90">
        <f t="shared" si="25"/>
        <v>0</v>
      </c>
      <c r="L99" s="90">
        <f t="shared" si="18"/>
        <v>2529.3583422981255</v>
      </c>
      <c r="M99" s="90">
        <f t="shared" si="19"/>
        <v>1716.9807454173451</v>
      </c>
      <c r="N99" s="90">
        <f t="shared" si="20"/>
        <v>0</v>
      </c>
      <c r="O99" s="90">
        <f t="shared" si="21"/>
        <v>7298.2258249365195</v>
      </c>
      <c r="P99" s="90">
        <f t="shared" si="22"/>
        <v>0</v>
      </c>
      <c r="Q99" s="92">
        <f t="shared" si="27"/>
        <v>109273.96418029287</v>
      </c>
      <c r="R99" s="90">
        <f t="shared" si="28"/>
        <v>13155.371416456426</v>
      </c>
      <c r="S99" s="63"/>
      <c r="T99" s="63"/>
      <c r="U99" s="63"/>
      <c r="V99" s="63"/>
      <c r="W99" s="63"/>
      <c r="X99" s="63"/>
      <c r="Y99" s="66">
        <v>10</v>
      </c>
      <c r="Z99" s="101">
        <f t="shared" si="29"/>
        <v>1.3439163793441222</v>
      </c>
      <c r="AA99" s="90">
        <f>$AA$89*Z99</f>
        <v>8735.456465736794</v>
      </c>
      <c r="AB99" s="90">
        <f>$AB$89*Z99</f>
        <v>10751.331034752979</v>
      </c>
      <c r="AC99" s="63"/>
      <c r="AD99" s="63"/>
      <c r="AE99" s="63"/>
      <c r="AF99" s="63"/>
      <c r="AG99" s="63"/>
    </row>
    <row r="100" spans="1:33" ht="12.75">
      <c r="A100" s="66">
        <f t="shared" si="23"/>
        <v>11</v>
      </c>
      <c r="B100" s="66">
        <f t="shared" si="13"/>
        <v>7</v>
      </c>
      <c r="C100" s="90">
        <f t="shared" si="14"/>
        <v>0</v>
      </c>
      <c r="D100" s="90">
        <f t="shared" si="30"/>
        <v>0</v>
      </c>
      <c r="E100" s="90">
        <f t="shared" si="31"/>
        <v>0</v>
      </c>
      <c r="F100" s="91">
        <f t="shared" si="15"/>
        <v>0.653026145487902</v>
      </c>
      <c r="G100" s="90">
        <f t="shared" si="16"/>
        <v>0</v>
      </c>
      <c r="H100" s="90">
        <f t="shared" si="26"/>
        <v>11073.870965795568</v>
      </c>
      <c r="I100" s="90">
        <f t="shared" si="17"/>
        <v>0</v>
      </c>
      <c r="J100" s="90">
        <f t="shared" si="24"/>
        <v>0</v>
      </c>
      <c r="K100" s="90">
        <f t="shared" si="25"/>
        <v>0</v>
      </c>
      <c r="L100" s="90">
        <f t="shared" si="18"/>
        <v>2325.512902817069</v>
      </c>
      <c r="M100" s="90">
        <f t="shared" si="19"/>
        <v>1518.6207272090128</v>
      </c>
      <c r="N100" s="90">
        <f t="shared" si="20"/>
        <v>0</v>
      </c>
      <c r="O100" s="90">
        <f t="shared" si="21"/>
        <v>7231.527272423871</v>
      </c>
      <c r="P100" s="90">
        <f t="shared" si="22"/>
        <v>0</v>
      </c>
      <c r="Q100" s="92">
        <f t="shared" si="27"/>
        <v>114986.87072550773</v>
      </c>
      <c r="R100" s="90">
        <f t="shared" si="28"/>
        <v>12973.440836615904</v>
      </c>
      <c r="S100" s="63"/>
      <c r="T100" s="63"/>
      <c r="U100" s="63"/>
      <c r="V100" s="63"/>
      <c r="W100" s="63"/>
      <c r="X100" s="63"/>
      <c r="Y100" s="66">
        <v>11</v>
      </c>
      <c r="Z100" s="101">
        <f t="shared" si="29"/>
        <v>1.384233870724446</v>
      </c>
      <c r="AA100" s="90">
        <f>$AA$89*Z100</f>
        <v>8997.520159708898</v>
      </c>
      <c r="AB100" s="90">
        <f>$AB$89*Z100</f>
        <v>11073.870965795568</v>
      </c>
      <c r="AC100" s="63"/>
      <c r="AD100" s="63"/>
      <c r="AE100" s="63"/>
      <c r="AF100" s="63"/>
      <c r="AG100" s="63"/>
    </row>
    <row r="101" spans="1:33" ht="12.75">
      <c r="A101" s="66">
        <f t="shared" si="23"/>
        <v>12</v>
      </c>
      <c r="B101" s="66">
        <f t="shared" si="13"/>
        <v>8</v>
      </c>
      <c r="C101" s="90">
        <f t="shared" si="14"/>
        <v>0</v>
      </c>
      <c r="D101" s="90">
        <f t="shared" si="30"/>
        <v>0</v>
      </c>
      <c r="E101" s="90">
        <f t="shared" si="31"/>
        <v>0</v>
      </c>
      <c r="F101" s="91">
        <f t="shared" si="15"/>
        <v>0.628211780171142</v>
      </c>
      <c r="G101" s="90">
        <f t="shared" si="16"/>
        <v>0</v>
      </c>
      <c r="H101" s="90">
        <f t="shared" si="26"/>
        <v>11406.087094769435</v>
      </c>
      <c r="I101" s="90">
        <f t="shared" si="17"/>
        <v>0</v>
      </c>
      <c r="J101" s="90">
        <f t="shared" si="24"/>
        <v>0</v>
      </c>
      <c r="K101" s="90">
        <f t="shared" si="25"/>
        <v>0</v>
      </c>
      <c r="L101" s="90">
        <f t="shared" si="18"/>
        <v>2395.278289901581</v>
      </c>
      <c r="M101" s="90">
        <f t="shared" si="19"/>
        <v>1504.7420385043608</v>
      </c>
      <c r="N101" s="90">
        <f t="shared" si="20"/>
        <v>0</v>
      </c>
      <c r="O101" s="90">
        <f t="shared" si="21"/>
        <v>7165.438278592195</v>
      </c>
      <c r="P101" s="90">
        <f t="shared" si="22"/>
        <v>0</v>
      </c>
      <c r="Q101" s="92">
        <f t="shared" si="27"/>
        <v>120647.56696559557</v>
      </c>
      <c r="R101" s="90">
        <f t="shared" si="28"/>
        <v>12843.629056947137</v>
      </c>
      <c r="S101" s="63"/>
      <c r="T101" s="63"/>
      <c r="U101" s="63"/>
      <c r="V101" s="63"/>
      <c r="W101" s="63"/>
      <c r="X101" s="63"/>
      <c r="Y101" s="66">
        <v>12</v>
      </c>
      <c r="Z101" s="101">
        <f t="shared" si="29"/>
        <v>1.4257608868461793</v>
      </c>
      <c r="AA101" s="90">
        <f>$AA$89*Z101</f>
        <v>9267.445764500166</v>
      </c>
      <c r="AB101" s="90">
        <f>$AB$89*Z101</f>
        <v>11406.087094769435</v>
      </c>
      <c r="AC101" s="63"/>
      <c r="AD101" s="63"/>
      <c r="AE101" s="63"/>
      <c r="AF101" s="63"/>
      <c r="AG101" s="63"/>
    </row>
    <row r="102" spans="1:33" ht="12.75">
      <c r="A102" s="66">
        <f t="shared" si="23"/>
        <v>13</v>
      </c>
      <c r="B102" s="66">
        <f t="shared" si="13"/>
        <v>9</v>
      </c>
      <c r="C102" s="90">
        <f>IF(A102&gt;=$E$24,0,IF(OR(E$70=1,A102&lt;=E$69-1),E$78,IF(AND(A102=E$69,E$70=2),E$79*(1-E$80),0)))</f>
        <v>0</v>
      </c>
      <c r="D102" s="90">
        <f t="shared" si="30"/>
        <v>0</v>
      </c>
      <c r="E102" s="90">
        <f t="shared" si="31"/>
        <v>0</v>
      </c>
      <c r="F102" s="91">
        <f t="shared" si="15"/>
        <v>0.6043403368649755</v>
      </c>
      <c r="G102" s="90">
        <f t="shared" si="16"/>
        <v>0</v>
      </c>
      <c r="H102" s="90">
        <f t="shared" si="26"/>
        <v>11748.269707612519</v>
      </c>
      <c r="I102" s="90">
        <f t="shared" si="17"/>
        <v>0</v>
      </c>
      <c r="J102" s="90">
        <f t="shared" si="24"/>
        <v>0</v>
      </c>
      <c r="K102" s="90">
        <f t="shared" si="25"/>
        <v>0</v>
      </c>
      <c r="L102" s="90">
        <f t="shared" si="18"/>
        <v>2467.136638598629</v>
      </c>
      <c r="M102" s="90">
        <f t="shared" si="19"/>
        <v>1490.9901872626185</v>
      </c>
      <c r="N102" s="90">
        <f t="shared" si="20"/>
        <v>0</v>
      </c>
      <c r="O102" s="90">
        <f t="shared" si="21"/>
        <v>7099.953272679137</v>
      </c>
      <c r="P102" s="90">
        <f t="shared" si="22"/>
        <v>0</v>
      </c>
      <c r="Q102" s="92">
        <f t="shared" si="27"/>
        <v>126256.53005101209</v>
      </c>
      <c r="R102" s="90">
        <f t="shared" si="28"/>
        <v>12754.935835653108</v>
      </c>
      <c r="S102" s="63"/>
      <c r="T102" s="63"/>
      <c r="U102" s="63"/>
      <c r="V102" s="63"/>
      <c r="W102" s="63"/>
      <c r="X102" s="63"/>
      <c r="Y102" s="66">
        <v>13</v>
      </c>
      <c r="Z102" s="101">
        <f t="shared" si="29"/>
        <v>1.4685337134515648</v>
      </c>
      <c r="AA102" s="90">
        <f>$AA$89*Z102</f>
        <v>9545.469137435171</v>
      </c>
      <c r="AB102" s="90">
        <f>$AB$89*Z102</f>
        <v>11748.269707612519</v>
      </c>
      <c r="AC102" s="63"/>
      <c r="AD102" s="63"/>
      <c r="AE102" s="63"/>
      <c r="AF102" s="63"/>
      <c r="AG102" s="63"/>
    </row>
    <row r="103" spans="1:33" ht="12.75">
      <c r="A103" s="66">
        <f t="shared" si="23"/>
        <v>14</v>
      </c>
      <c r="B103" s="66">
        <f t="shared" si="13"/>
        <v>10</v>
      </c>
      <c r="C103" s="90">
        <f>IF(A103&gt;=$E$24,0,IF(OR(E$70=1,A103&lt;=E$69-1),E$78,IF(AND(A103=E$69,E$70=2),E$79*(1-E$80),0)))</f>
        <v>0</v>
      </c>
      <c r="D103" s="90">
        <f t="shared" si="30"/>
        <v>0</v>
      </c>
      <c r="E103" s="90">
        <f t="shared" si="31"/>
        <v>0</v>
      </c>
      <c r="F103" s="91">
        <f t="shared" si="15"/>
        <v>0.5813759854400917</v>
      </c>
      <c r="G103" s="90">
        <f t="shared" si="16"/>
        <v>0</v>
      </c>
      <c r="H103" s="90">
        <f t="shared" si="26"/>
        <v>12100.717798840895</v>
      </c>
      <c r="I103" s="90">
        <f t="shared" si="17"/>
        <v>0</v>
      </c>
      <c r="J103" s="90">
        <f t="shared" si="24"/>
        <v>0</v>
      </c>
      <c r="K103" s="90">
        <f t="shared" si="25"/>
        <v>0</v>
      </c>
      <c r="L103" s="90">
        <f t="shared" si="18"/>
        <v>2541.1507377565877</v>
      </c>
      <c r="M103" s="90">
        <f t="shared" si="19"/>
        <v>1477.3640143150521</v>
      </c>
      <c r="N103" s="90">
        <f t="shared" si="20"/>
        <v>0</v>
      </c>
      <c r="O103" s="90">
        <f t="shared" si="21"/>
        <v>7035.066734833583</v>
      </c>
      <c r="P103" s="90">
        <f t="shared" si="22"/>
        <v>0</v>
      </c>
      <c r="Q103" s="92">
        <f t="shared" si="27"/>
        <v>130811.35919664646</v>
      </c>
      <c r="R103" s="90">
        <f t="shared" si="28"/>
        <v>12602.665590279488</v>
      </c>
      <c r="S103" s="63"/>
      <c r="T103" s="63"/>
      <c r="U103" s="63"/>
      <c r="V103" s="63"/>
      <c r="W103" s="63"/>
      <c r="X103" s="63"/>
      <c r="Y103" s="66">
        <v>14</v>
      </c>
      <c r="Z103" s="101">
        <f t="shared" si="29"/>
        <v>1.512589724855112</v>
      </c>
      <c r="AA103" s="90">
        <f>$AA$89*Z103</f>
        <v>9831.833211558227</v>
      </c>
      <c r="AB103" s="90">
        <f>$AB$89*Z103</f>
        <v>12100.717798840895</v>
      </c>
      <c r="AC103" s="63"/>
      <c r="AD103" s="63"/>
      <c r="AE103" s="63"/>
      <c r="AF103" s="63"/>
      <c r="AG103" s="63"/>
    </row>
    <row r="104" spans="1:33" ht="13.5" thickBot="1">
      <c r="A104" s="23">
        <f t="shared" si="23"/>
        <v>15</v>
      </c>
      <c r="B104" s="23">
        <f t="shared" si="13"/>
        <v>11</v>
      </c>
      <c r="C104" s="94">
        <f>IF(A104&gt;=$E$24,0,IF(OR(E$70=1,A104&lt;=E$69-1),E$78,IF(AND(A104=E$69,E$70=2),E$79*(1-E$80),0)))</f>
        <v>0</v>
      </c>
      <c r="D104" s="95">
        <f t="shared" si="30"/>
        <v>0</v>
      </c>
      <c r="E104" s="95">
        <f t="shared" si="31"/>
        <v>0</v>
      </c>
      <c r="F104" s="96">
        <f t="shared" si="15"/>
        <v>0.5592842572776254</v>
      </c>
      <c r="G104" s="95">
        <f t="shared" si="16"/>
        <v>0</v>
      </c>
      <c r="H104" s="94">
        <f t="shared" si="26"/>
        <v>0</v>
      </c>
      <c r="I104" s="94">
        <f t="shared" si="17"/>
        <v>0</v>
      </c>
      <c r="J104" s="94">
        <f t="shared" si="24"/>
        <v>0</v>
      </c>
      <c r="K104" s="94">
        <f t="shared" si="25"/>
        <v>0</v>
      </c>
      <c r="L104" s="95">
        <f t="shared" si="18"/>
        <v>0</v>
      </c>
      <c r="M104" s="95">
        <f t="shared" si="19"/>
        <v>0</v>
      </c>
      <c r="N104" s="94">
        <f t="shared" si="20"/>
        <v>0</v>
      </c>
      <c r="O104" s="95">
        <f t="shared" si="21"/>
        <v>0</v>
      </c>
      <c r="P104" s="95">
        <f t="shared" si="22"/>
        <v>0</v>
      </c>
      <c r="Q104" s="94">
        <f t="shared" si="27"/>
        <v>0</v>
      </c>
      <c r="R104" s="94">
        <f t="shared" si="28"/>
        <v>0</v>
      </c>
      <c r="S104" s="63"/>
      <c r="T104" s="63"/>
      <c r="U104" s="63"/>
      <c r="V104" s="63"/>
      <c r="W104" s="63"/>
      <c r="X104" s="63"/>
      <c r="Y104" s="66">
        <v>15</v>
      </c>
      <c r="Z104" s="101">
        <f t="shared" si="29"/>
        <v>1.5579674166007653</v>
      </c>
      <c r="AA104" s="90">
        <f>$AA$89*Z104</f>
        <v>10126.788207904974</v>
      </c>
      <c r="AB104" s="90">
        <f>$AB$89*Z104</f>
        <v>12463.739332806123</v>
      </c>
      <c r="AC104" s="63"/>
      <c r="AD104" s="63"/>
      <c r="AE104" s="63"/>
      <c r="AF104" s="63"/>
      <c r="AG104" s="63"/>
    </row>
    <row r="105" spans="1:33" ht="12.75">
      <c r="A105" s="66"/>
      <c r="B105" s="66"/>
      <c r="C105" s="66"/>
      <c r="D105" s="66"/>
      <c r="E105" s="66"/>
      <c r="F105" s="66"/>
      <c r="G105" s="90">
        <f aca="true" t="shared" si="32" ref="G105:N105">SUM(G89:G104)</f>
        <v>35938.5697500022</v>
      </c>
      <c r="H105" s="90">
        <f t="shared" si="32"/>
        <v>140827.60737853724</v>
      </c>
      <c r="I105" s="90">
        <f t="shared" si="32"/>
        <v>15525</v>
      </c>
      <c r="J105" s="90">
        <f t="shared" si="32"/>
        <v>-13799.999999999996</v>
      </c>
      <c r="K105" s="90">
        <f t="shared" si="32"/>
        <v>-3028.4579164548113</v>
      </c>
      <c r="L105" s="90">
        <f t="shared" si="32"/>
        <v>33470.023711948335</v>
      </c>
      <c r="M105" s="90">
        <f t="shared" si="32"/>
        <v>25072.360518672594</v>
      </c>
      <c r="N105" s="90">
        <f t="shared" si="32"/>
        <v>2842.4748235803618</v>
      </c>
      <c r="O105" s="90">
        <f>SUM(O89:O104)</f>
        <v>105254.91835764676</v>
      </c>
      <c r="P105" s="90">
        <f>SUM(P89:P104)</f>
        <v>-12850.630358973887</v>
      </c>
      <c r="Q105" s="92"/>
      <c r="R105" s="90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1:33" ht="12.75">
      <c r="A106" s="63"/>
      <c r="B106" s="63"/>
      <c r="C106" s="63"/>
      <c r="D106" s="63"/>
      <c r="E106" s="63"/>
      <c r="F106" s="5"/>
      <c r="G106" s="5"/>
      <c r="H106" s="63"/>
      <c r="I106" s="9"/>
      <c r="J106" s="9"/>
      <c r="K106" s="63"/>
      <c r="L106" s="63"/>
      <c r="M106" s="63"/>
      <c r="N106" s="63"/>
      <c r="O106" s="63"/>
      <c r="P106" s="63"/>
      <c r="Q106" s="7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</row>
    <row r="107" spans="1:33" ht="12.75">
      <c r="A107" s="63"/>
      <c r="B107" s="63"/>
      <c r="C107" s="63"/>
      <c r="D107" s="63"/>
      <c r="E107" s="63"/>
      <c r="F107" s="9"/>
      <c r="G107" s="9"/>
      <c r="H107" s="9"/>
      <c r="I107" s="9"/>
      <c r="J107" s="9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</row>
    <row r="108" spans="1:33" ht="12.75">
      <c r="A108" s="62" t="s">
        <v>244</v>
      </c>
      <c r="B108" s="63"/>
      <c r="C108" s="63"/>
      <c r="D108" s="62" t="s">
        <v>245</v>
      </c>
      <c r="E108" s="63"/>
      <c r="F108" s="63"/>
      <c r="G108" s="63"/>
      <c r="H108" s="5">
        <f>G105</f>
        <v>35938.5697500022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ht="12.75">
      <c r="A109" s="63"/>
      <c r="B109" s="63"/>
      <c r="C109" s="63"/>
      <c r="D109" s="62" t="s">
        <v>246</v>
      </c>
      <c r="E109" s="63"/>
      <c r="F109" s="63"/>
      <c r="G109" s="63"/>
      <c r="H109" s="5">
        <f>N105</f>
        <v>2842.4748235803618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</row>
    <row r="110" spans="1:33" ht="12.75">
      <c r="A110" s="63"/>
      <c r="B110" s="63"/>
      <c r="C110" s="63"/>
      <c r="D110" s="62" t="s">
        <v>247</v>
      </c>
      <c r="E110" s="63"/>
      <c r="F110" s="63"/>
      <c r="G110" s="63"/>
      <c r="H110" s="5">
        <f>O105</f>
        <v>105254.91835764676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</row>
    <row r="111" spans="1:33" ht="12.75">
      <c r="A111" s="63"/>
      <c r="B111" s="63"/>
      <c r="C111" s="63"/>
      <c r="D111" s="62" t="s">
        <v>248</v>
      </c>
      <c r="E111" s="63"/>
      <c r="F111" s="63"/>
      <c r="G111" s="63"/>
      <c r="H111" s="5">
        <f>-P105</f>
        <v>12850.630358973887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</row>
    <row r="112" spans="1:33" ht="12.75">
      <c r="A112" s="63"/>
      <c r="B112" s="63"/>
      <c r="C112" s="63"/>
      <c r="D112" s="62" t="s">
        <v>249</v>
      </c>
      <c r="E112" s="63"/>
      <c r="F112" s="63"/>
      <c r="G112" s="63"/>
      <c r="H112" s="5">
        <f>-M105</f>
        <v>-25072.360518672594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</row>
    <row r="113" spans="1:33" ht="13.5" thickBot="1">
      <c r="A113" s="63"/>
      <c r="B113" s="63"/>
      <c r="C113" s="63"/>
      <c r="D113" s="62" t="s">
        <v>250</v>
      </c>
      <c r="E113" s="63"/>
      <c r="F113" s="63"/>
      <c r="G113" s="63"/>
      <c r="H113" s="34">
        <f>-IF(E70=1,0,E79*E75*HLOOKUP(1,F89:F104,$E$24))</f>
        <v>-1002.8735748841582</v>
      </c>
      <c r="I113" s="63"/>
      <c r="J113" s="63"/>
      <c r="K113" s="74" t="s">
        <v>251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</row>
    <row r="114" spans="1:33" ht="15.75">
      <c r="A114" s="63"/>
      <c r="B114" s="63"/>
      <c r="C114" s="63"/>
      <c r="D114" s="63"/>
      <c r="E114" s="25" t="s">
        <v>252</v>
      </c>
      <c r="F114" s="63"/>
      <c r="G114" s="63"/>
      <c r="H114" s="87">
        <f>-SUM(H108:H113)</f>
        <v>-130811.35919664647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</row>
    <row r="115" spans="1:33" ht="12.75">
      <c r="A115" s="63"/>
      <c r="B115" s="63"/>
      <c r="C115" s="63"/>
      <c r="D115" s="63"/>
      <c r="E115" s="63"/>
      <c r="F115" s="62"/>
      <c r="G115" s="63"/>
      <c r="H115" s="5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</row>
    <row r="116" spans="1:3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</row>
    <row r="117" spans="1:33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1:33" ht="15.75">
      <c r="A118" s="25" t="s">
        <v>253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1:33" ht="12.75">
      <c r="A119" s="62" t="s">
        <v>254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</row>
    <row r="120" spans="1:33" ht="12.75">
      <c r="A120" s="62" t="s">
        <v>255</v>
      </c>
      <c r="B120" s="63"/>
      <c r="C120" s="63"/>
      <c r="D120" s="63"/>
      <c r="E120" s="63"/>
      <c r="F120" s="63"/>
      <c r="G120" s="63"/>
      <c r="H120" s="12" t="s">
        <v>161</v>
      </c>
      <c r="I120" s="66"/>
      <c r="J120" s="74" t="s">
        <v>251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</row>
    <row r="121" spans="1:33" ht="12.75">
      <c r="A121" s="62" t="s">
        <v>256</v>
      </c>
      <c r="B121" s="63"/>
      <c r="C121" s="63"/>
      <c r="D121" s="12" t="s">
        <v>163</v>
      </c>
      <c r="E121" s="12" t="s">
        <v>163</v>
      </c>
      <c r="F121" s="12" t="s">
        <v>219</v>
      </c>
      <c r="G121" s="12" t="s">
        <v>176</v>
      </c>
      <c r="H121" s="12" t="s">
        <v>167</v>
      </c>
      <c r="I121" s="66" t="s">
        <v>168</v>
      </c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</row>
    <row r="122" spans="1:33" ht="12.75">
      <c r="A122" s="63"/>
      <c r="B122" s="63"/>
      <c r="C122" s="63"/>
      <c r="D122" s="12" t="s">
        <v>257</v>
      </c>
      <c r="E122" s="12" t="s">
        <v>258</v>
      </c>
      <c r="F122" s="12" t="s">
        <v>259</v>
      </c>
      <c r="G122" s="12" t="s">
        <v>225</v>
      </c>
      <c r="H122" s="12" t="s">
        <v>177</v>
      </c>
      <c r="I122" s="66" t="s">
        <v>179</v>
      </c>
      <c r="J122" s="66" t="s">
        <v>163</v>
      </c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ht="13.5" thickBot="1">
      <c r="A123" s="63"/>
      <c r="B123" s="63"/>
      <c r="C123" s="23" t="s">
        <v>260</v>
      </c>
      <c r="D123" s="12" t="s">
        <v>182</v>
      </c>
      <c r="E123" s="23" t="s">
        <v>261</v>
      </c>
      <c r="F123" s="23" t="s">
        <v>262</v>
      </c>
      <c r="G123" s="12" t="s">
        <v>239</v>
      </c>
      <c r="H123" s="26">
        <f>E33</f>
        <v>0.03950000000000001</v>
      </c>
      <c r="I123" s="67" t="s">
        <v>188</v>
      </c>
      <c r="J123" s="67" t="s">
        <v>189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</row>
    <row r="124" spans="1:33" ht="14.25" thickBot="1" thickTop="1">
      <c r="A124" s="63"/>
      <c r="B124" s="63"/>
      <c r="C124" s="1">
        <v>0</v>
      </c>
      <c r="D124" s="45">
        <v>0</v>
      </c>
      <c r="E124" s="61">
        <v>0</v>
      </c>
      <c r="F124" s="35">
        <f aca="true" t="shared" si="33" ref="F124:F139">E$71*(D124+E124)</f>
        <v>0</v>
      </c>
      <c r="G124" s="35">
        <f aca="true" t="shared" si="34" ref="G124:G139">D124+E124-F124</f>
        <v>0</v>
      </c>
      <c r="H124" s="8">
        <f aca="true" t="shared" si="35" ref="H124:H139">1/(1+(E$8*(1-E$7)))^C124</f>
        <v>1</v>
      </c>
      <c r="I124" s="55">
        <f>G124*H124</f>
        <v>0</v>
      </c>
      <c r="J124" s="48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1:33" ht="13.5" thickTop="1">
      <c r="A125" s="63"/>
      <c r="B125" s="63"/>
      <c r="C125" s="1">
        <f aca="true" t="shared" si="36" ref="C125:C139">C124+1</f>
        <v>1</v>
      </c>
      <c r="D125" s="5">
        <f>IF(C125&gt;=$E$24,0,D124+(D124*E$76))</f>
        <v>0</v>
      </c>
      <c r="E125" s="9">
        <f>IF(C125&gt;=$E$24,0,E124+(E124*E$76))</f>
        <v>0</v>
      </c>
      <c r="F125" s="9">
        <f t="shared" si="33"/>
        <v>0</v>
      </c>
      <c r="G125" s="9">
        <f t="shared" si="34"/>
        <v>0</v>
      </c>
      <c r="H125" s="8">
        <f t="shared" si="35"/>
        <v>0.962000962000962</v>
      </c>
      <c r="I125" s="56">
        <f>IF(C125&gt;=$E$24,0,G125*H125+I124)</f>
        <v>0</v>
      </c>
      <c r="J125" s="48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1:33" ht="12.75">
      <c r="A126" s="63"/>
      <c r="B126" s="63"/>
      <c r="C126" s="1">
        <f t="shared" si="36"/>
        <v>2</v>
      </c>
      <c r="D126" s="5">
        <f aca="true" t="shared" si="37" ref="D126:D139">IF(C126&gt;=$E$24,0,D125+(D125*E$76))</f>
        <v>0</v>
      </c>
      <c r="E126" s="9">
        <f aca="true" t="shared" si="38" ref="E126:E139">IF(C126&gt;=$E$24,0,E125+(E125*E$76))</f>
        <v>0</v>
      </c>
      <c r="F126" s="9">
        <f t="shared" si="33"/>
        <v>0</v>
      </c>
      <c r="G126" s="9">
        <f t="shared" si="34"/>
        <v>0</v>
      </c>
      <c r="H126" s="8">
        <f t="shared" si="35"/>
        <v>0.9254458508907761</v>
      </c>
      <c r="I126" s="56">
        <f aca="true" t="shared" si="39" ref="I126:I139">IF(C126&gt;=$E$24,0,G126*H126+I125)</f>
        <v>0</v>
      </c>
      <c r="J126" s="5">
        <f>I126*($E$8/(1-(1/(1+$E$8)^(C126+1))))</f>
        <v>0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1:33" ht="12.75">
      <c r="A127" s="63"/>
      <c r="B127" s="63"/>
      <c r="C127" s="1">
        <f t="shared" si="36"/>
        <v>3</v>
      </c>
      <c r="D127" s="5">
        <f t="shared" si="37"/>
        <v>0</v>
      </c>
      <c r="E127" s="9">
        <f t="shared" si="38"/>
        <v>0</v>
      </c>
      <c r="F127" s="9">
        <f t="shared" si="33"/>
        <v>0</v>
      </c>
      <c r="G127" s="9">
        <f t="shared" si="34"/>
        <v>0</v>
      </c>
      <c r="H127" s="8">
        <f t="shared" si="35"/>
        <v>0.8902797988367254</v>
      </c>
      <c r="I127" s="56">
        <f t="shared" si="39"/>
        <v>0</v>
      </c>
      <c r="J127" s="5">
        <f aca="true" t="shared" si="40" ref="J127:J139">I127*($E$8/(1-(1/(1+$E$8)^(C127+1))))</f>
        <v>0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ht="12.75">
      <c r="A128" s="63"/>
      <c r="B128" s="63"/>
      <c r="C128" s="1">
        <f t="shared" si="36"/>
        <v>4</v>
      </c>
      <c r="D128" s="5">
        <f t="shared" si="37"/>
        <v>0</v>
      </c>
      <c r="E128" s="9">
        <f t="shared" si="38"/>
        <v>0</v>
      </c>
      <c r="F128" s="9">
        <f t="shared" si="33"/>
        <v>0</v>
      </c>
      <c r="G128" s="9">
        <f t="shared" si="34"/>
        <v>0</v>
      </c>
      <c r="H128" s="8">
        <f t="shared" si="35"/>
        <v>0.8564500229309527</v>
      </c>
      <c r="I128" s="56">
        <f t="shared" si="39"/>
        <v>0</v>
      </c>
      <c r="J128" s="5">
        <f t="shared" si="40"/>
        <v>0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</row>
    <row r="129" spans="1:33" ht="12.75">
      <c r="A129" s="63"/>
      <c r="B129" s="63"/>
      <c r="C129" s="1">
        <f t="shared" si="36"/>
        <v>5</v>
      </c>
      <c r="D129" s="5">
        <f t="shared" si="37"/>
        <v>0</v>
      </c>
      <c r="E129" s="9">
        <f t="shared" si="38"/>
        <v>0</v>
      </c>
      <c r="F129" s="9">
        <f t="shared" si="33"/>
        <v>0</v>
      </c>
      <c r="G129" s="9">
        <f t="shared" si="34"/>
        <v>0</v>
      </c>
      <c r="H129" s="8">
        <f t="shared" si="35"/>
        <v>0.8239057459653225</v>
      </c>
      <c r="I129" s="56">
        <f t="shared" si="39"/>
        <v>0</v>
      </c>
      <c r="J129" s="5">
        <f t="shared" si="40"/>
        <v>0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</row>
    <row r="130" spans="1:33" ht="12.75">
      <c r="A130" s="63"/>
      <c r="B130" s="63"/>
      <c r="C130" s="1">
        <f t="shared" si="36"/>
        <v>6</v>
      </c>
      <c r="D130" s="5">
        <f t="shared" si="37"/>
        <v>0</v>
      </c>
      <c r="E130" s="9">
        <f t="shared" si="38"/>
        <v>0</v>
      </c>
      <c r="F130" s="9">
        <f t="shared" si="33"/>
        <v>0</v>
      </c>
      <c r="G130" s="9">
        <f t="shared" si="34"/>
        <v>0</v>
      </c>
      <c r="H130" s="8">
        <f t="shared" si="35"/>
        <v>0.7925981202167602</v>
      </c>
      <c r="I130" s="56">
        <f t="shared" si="39"/>
        <v>0</v>
      </c>
      <c r="J130" s="5">
        <f t="shared" si="40"/>
        <v>0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</row>
    <row r="131" spans="1:33" ht="12.75">
      <c r="A131" s="63"/>
      <c r="B131" s="63"/>
      <c r="C131" s="1">
        <f t="shared" si="36"/>
        <v>7</v>
      </c>
      <c r="D131" s="5">
        <f t="shared" si="37"/>
        <v>0</v>
      </c>
      <c r="E131" s="9">
        <f t="shared" si="38"/>
        <v>0</v>
      </c>
      <c r="F131" s="9">
        <f t="shared" si="33"/>
        <v>0</v>
      </c>
      <c r="G131" s="9">
        <f t="shared" si="34"/>
        <v>0</v>
      </c>
      <c r="H131" s="8">
        <f t="shared" si="35"/>
        <v>0.7624801541286774</v>
      </c>
      <c r="I131" s="56">
        <f t="shared" si="39"/>
        <v>0</v>
      </c>
      <c r="J131" s="5">
        <f t="shared" si="40"/>
        <v>0</v>
      </c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</row>
    <row r="132" spans="1:33" ht="12.75">
      <c r="A132" s="63"/>
      <c r="B132" s="63"/>
      <c r="C132" s="1">
        <f t="shared" si="36"/>
        <v>8</v>
      </c>
      <c r="D132" s="5">
        <f t="shared" si="37"/>
        <v>0</v>
      </c>
      <c r="E132" s="9">
        <f t="shared" si="38"/>
        <v>0</v>
      </c>
      <c r="F132" s="9">
        <f t="shared" si="33"/>
        <v>0</v>
      </c>
      <c r="G132" s="9">
        <f t="shared" si="34"/>
        <v>0</v>
      </c>
      <c r="H132" s="8">
        <f t="shared" si="35"/>
        <v>0.7335066417784294</v>
      </c>
      <c r="I132" s="56">
        <f t="shared" si="39"/>
        <v>0</v>
      </c>
      <c r="J132" s="5">
        <f t="shared" si="40"/>
        <v>0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ht="12.75">
      <c r="A133" s="63"/>
      <c r="B133" s="63"/>
      <c r="C133" s="1">
        <f t="shared" si="36"/>
        <v>9</v>
      </c>
      <c r="D133" s="5">
        <f t="shared" si="37"/>
        <v>0</v>
      </c>
      <c r="E133" s="9">
        <f t="shared" si="38"/>
        <v>0</v>
      </c>
      <c r="F133" s="9">
        <f t="shared" si="33"/>
        <v>0</v>
      </c>
      <c r="G133" s="9">
        <f t="shared" si="34"/>
        <v>0</v>
      </c>
      <c r="H133" s="8">
        <f t="shared" si="35"/>
        <v>0.7056340950249441</v>
      </c>
      <c r="I133" s="56">
        <f t="shared" si="39"/>
        <v>0</v>
      </c>
      <c r="J133" s="5">
        <f t="shared" si="40"/>
        <v>0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</row>
    <row r="134" spans="1:33" ht="12.75">
      <c r="A134" s="63"/>
      <c r="B134" s="63"/>
      <c r="C134" s="1">
        <f t="shared" si="36"/>
        <v>10</v>
      </c>
      <c r="D134" s="5">
        <f t="shared" si="37"/>
        <v>0</v>
      </c>
      <c r="E134" s="9">
        <f t="shared" si="38"/>
        <v>0</v>
      </c>
      <c r="F134" s="9">
        <f t="shared" si="33"/>
        <v>0</v>
      </c>
      <c r="G134" s="9">
        <f t="shared" si="34"/>
        <v>0</v>
      </c>
      <c r="H134" s="8">
        <f t="shared" si="35"/>
        <v>0.6788206782346743</v>
      </c>
      <c r="I134" s="56">
        <f t="shared" si="39"/>
        <v>0</v>
      </c>
      <c r="J134" s="5">
        <f t="shared" si="40"/>
        <v>0</v>
      </c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</row>
    <row r="135" spans="1:33" ht="12.75">
      <c r="A135" s="63"/>
      <c r="B135" s="63"/>
      <c r="C135" s="1">
        <f t="shared" si="36"/>
        <v>11</v>
      </c>
      <c r="D135" s="5">
        <f t="shared" si="37"/>
        <v>0</v>
      </c>
      <c r="E135" s="9">
        <f t="shared" si="38"/>
        <v>0</v>
      </c>
      <c r="F135" s="9">
        <f t="shared" si="33"/>
        <v>0</v>
      </c>
      <c r="G135" s="9">
        <f t="shared" si="34"/>
        <v>0</v>
      </c>
      <c r="H135" s="8">
        <f t="shared" si="35"/>
        <v>0.653026145487902</v>
      </c>
      <c r="I135" s="56">
        <f t="shared" si="39"/>
        <v>0</v>
      </c>
      <c r="J135" s="5">
        <f t="shared" si="40"/>
        <v>0</v>
      </c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:33" ht="12.75">
      <c r="A136" s="63"/>
      <c r="B136" s="63"/>
      <c r="C136" s="1">
        <f t="shared" si="36"/>
        <v>12</v>
      </c>
      <c r="D136" s="5">
        <f t="shared" si="37"/>
        <v>0</v>
      </c>
      <c r="E136" s="9">
        <f t="shared" si="38"/>
        <v>0</v>
      </c>
      <c r="F136" s="9">
        <f t="shared" si="33"/>
        <v>0</v>
      </c>
      <c r="G136" s="9">
        <f t="shared" si="34"/>
        <v>0</v>
      </c>
      <c r="H136" s="8">
        <f t="shared" si="35"/>
        <v>0.628211780171142</v>
      </c>
      <c r="I136" s="56">
        <f t="shared" si="39"/>
        <v>0</v>
      </c>
      <c r="J136" s="5">
        <f t="shared" si="40"/>
        <v>0</v>
      </c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</row>
    <row r="137" spans="1:33" ht="12.75">
      <c r="A137" s="63"/>
      <c r="B137" s="63"/>
      <c r="C137" s="1">
        <f t="shared" si="36"/>
        <v>13</v>
      </c>
      <c r="D137" s="5">
        <f t="shared" si="37"/>
        <v>0</v>
      </c>
      <c r="E137" s="9">
        <f t="shared" si="38"/>
        <v>0</v>
      </c>
      <c r="F137" s="9">
        <f t="shared" si="33"/>
        <v>0</v>
      </c>
      <c r="G137" s="9">
        <f t="shared" si="34"/>
        <v>0</v>
      </c>
      <c r="H137" s="8">
        <f t="shared" si="35"/>
        <v>0.6043403368649755</v>
      </c>
      <c r="I137" s="56">
        <f t="shared" si="39"/>
        <v>0</v>
      </c>
      <c r="J137" s="5">
        <f t="shared" si="40"/>
        <v>0</v>
      </c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ht="12.75">
      <c r="A138" s="63"/>
      <c r="B138" s="63"/>
      <c r="C138" s="1">
        <f t="shared" si="36"/>
        <v>14</v>
      </c>
      <c r="D138" s="5">
        <f t="shared" si="37"/>
        <v>0</v>
      </c>
      <c r="E138" s="9">
        <f t="shared" si="38"/>
        <v>0</v>
      </c>
      <c r="F138" s="9">
        <f t="shared" si="33"/>
        <v>0</v>
      </c>
      <c r="G138" s="9">
        <f t="shared" si="34"/>
        <v>0</v>
      </c>
      <c r="H138" s="8">
        <f t="shared" si="35"/>
        <v>0.5813759854400917</v>
      </c>
      <c r="I138" s="56">
        <f t="shared" si="39"/>
        <v>0</v>
      </c>
      <c r="J138" s="5">
        <f t="shared" si="40"/>
        <v>0</v>
      </c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</row>
    <row r="139" spans="1:33" ht="13.5" thickBot="1">
      <c r="A139" s="63"/>
      <c r="B139" s="63"/>
      <c r="C139" s="16">
        <f t="shared" si="36"/>
        <v>15</v>
      </c>
      <c r="D139" s="53">
        <f t="shared" si="37"/>
        <v>0</v>
      </c>
      <c r="E139" s="52">
        <f t="shared" si="38"/>
        <v>0</v>
      </c>
      <c r="F139" s="33">
        <f t="shared" si="33"/>
        <v>0</v>
      </c>
      <c r="G139" s="33">
        <f t="shared" si="34"/>
        <v>0</v>
      </c>
      <c r="H139" s="28">
        <f t="shared" si="35"/>
        <v>0.5592842572776254</v>
      </c>
      <c r="I139" s="57">
        <f t="shared" si="39"/>
        <v>0</v>
      </c>
      <c r="J139" s="53">
        <f t="shared" si="40"/>
        <v>0</v>
      </c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ht="12.75">
      <c r="A140" s="63"/>
      <c r="B140" s="63"/>
      <c r="C140" s="63"/>
      <c r="D140" s="63"/>
      <c r="E140" s="63"/>
      <c r="F140" s="63"/>
      <c r="G140" s="62"/>
      <c r="H140" s="63"/>
      <c r="I140" s="5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</row>
    <row r="141" spans="1:33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</row>
    <row r="142" spans="1:33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</row>
    <row r="144" spans="1:33" ht="12.75">
      <c r="A144" s="63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</row>
    <row r="145" spans="1:33" ht="12.75">
      <c r="A145" s="63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</row>
    <row r="146" spans="1:33" ht="12.75">
      <c r="A146" s="63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</row>
    <row r="147" spans="1:33" ht="12.75">
      <c r="A147" s="63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ht="12.75">
      <c r="A148" s="63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</row>
    <row r="149" spans="1:33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</row>
    <row r="150" spans="1:33" ht="12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</row>
    <row r="151" spans="1:33" ht="12.75">
      <c r="A151" s="10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</row>
    <row r="152" spans="1:33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1:33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1:33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1:33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</row>
    <row r="156" spans="1:33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1:33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51"/>
  <sheetViews>
    <sheetView showGridLines="0" workbookViewId="0" topLeftCell="A1">
      <selection activeCell="E6" sqref="E6"/>
    </sheetView>
  </sheetViews>
  <sheetFormatPr defaultColWidth="9.140625" defaultRowHeight="12.75"/>
  <cols>
    <col min="2" max="2" width="11.7109375" style="0" customWidth="1"/>
    <col min="3" max="4" width="14.7109375" style="0" customWidth="1"/>
    <col min="5" max="5" width="18.7109375" style="0" customWidth="1"/>
    <col min="6" max="6" width="12.7109375" style="0" customWidth="1"/>
    <col min="7" max="8" width="15.7109375" style="0" customWidth="1"/>
    <col min="9" max="9" width="14.7109375" style="0" customWidth="1"/>
    <col min="10" max="10" width="13.421875" style="0" customWidth="1"/>
    <col min="11" max="13" width="13.7109375" style="0" customWidth="1"/>
    <col min="17" max="17" width="11.7109375" style="0" customWidth="1"/>
    <col min="18" max="18" width="11.28125" style="0" customWidth="1"/>
  </cols>
  <sheetData>
    <row r="1" spans="1:32" ht="12.75">
      <c r="A1" s="62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 t="s">
        <v>112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4.25" thickBot="1" thickTop="1">
      <c r="A3" s="63"/>
      <c r="B3" s="14"/>
      <c r="C3" s="62" t="s">
        <v>113</v>
      </c>
      <c r="D3" s="63"/>
      <c r="E3" s="63"/>
      <c r="F3" s="75" t="s">
        <v>114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3.5" thickTop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ht="13.5" thickBot="1">
      <c r="A5" s="63"/>
      <c r="B5" s="15" t="s">
        <v>115</v>
      </c>
      <c r="C5" s="16"/>
      <c r="D5" s="16"/>
      <c r="E5" s="16"/>
      <c r="F5" s="63"/>
      <c r="G5" s="63"/>
      <c r="H5" s="63"/>
      <c r="I5" s="63"/>
      <c r="J5" s="63"/>
      <c r="K5" s="63"/>
      <c r="L5" s="63"/>
      <c r="M5" s="66" t="s">
        <v>116</v>
      </c>
      <c r="N5" s="64" t="s">
        <v>117</v>
      </c>
      <c r="O5" s="64" t="s">
        <v>118</v>
      </c>
      <c r="P5" s="64" t="s">
        <v>118</v>
      </c>
      <c r="Q5" s="64" t="s">
        <v>118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3.5" thickTop="1">
      <c r="A6" s="63"/>
      <c r="B6" s="17" t="s">
        <v>119</v>
      </c>
      <c r="C6" s="63"/>
      <c r="D6" s="63"/>
      <c r="E6" s="60" t="s">
        <v>269</v>
      </c>
      <c r="F6" s="63"/>
      <c r="G6" s="63"/>
      <c r="H6" s="63"/>
      <c r="I6" s="63"/>
      <c r="J6" s="63"/>
      <c r="K6" s="63"/>
      <c r="L6" s="63"/>
      <c r="M6" s="66" t="s">
        <v>120</v>
      </c>
      <c r="N6" s="64" t="s">
        <v>121</v>
      </c>
      <c r="O6" s="64" t="s">
        <v>121</v>
      </c>
      <c r="P6" s="64" t="s">
        <v>121</v>
      </c>
      <c r="Q6" s="64" t="s">
        <v>121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12.75">
      <c r="A7" s="63"/>
      <c r="B7" s="17" t="s">
        <v>122</v>
      </c>
      <c r="C7" s="63"/>
      <c r="D7" s="63"/>
      <c r="E7" s="42">
        <v>0.21</v>
      </c>
      <c r="F7" s="63"/>
      <c r="G7" s="63"/>
      <c r="H7" s="63"/>
      <c r="I7" s="63"/>
      <c r="J7" s="63"/>
      <c r="K7" s="63"/>
      <c r="L7" s="63"/>
      <c r="M7" s="63"/>
      <c r="N7" s="63">
        <v>1</v>
      </c>
      <c r="O7" s="63">
        <v>2</v>
      </c>
      <c r="P7" s="63">
        <v>3</v>
      </c>
      <c r="Q7" s="63">
        <v>4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ht="12.75">
      <c r="A8" s="63"/>
      <c r="B8" s="17" t="s">
        <v>123</v>
      </c>
      <c r="C8" s="63"/>
      <c r="D8" s="63"/>
      <c r="E8" s="42">
        <v>0.05</v>
      </c>
      <c r="F8" s="63"/>
      <c r="G8" s="63"/>
      <c r="H8" s="63"/>
      <c r="I8" s="63"/>
      <c r="J8" s="63"/>
      <c r="K8" s="63"/>
      <c r="L8" s="63"/>
      <c r="M8" s="1">
        <v>1</v>
      </c>
      <c r="N8" s="2">
        <v>1</v>
      </c>
      <c r="O8" s="2">
        <v>1</v>
      </c>
      <c r="P8" s="2">
        <v>1</v>
      </c>
      <c r="Q8" s="2">
        <v>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2" ht="12.75">
      <c r="A9" s="63"/>
      <c r="B9" s="17" t="s">
        <v>124</v>
      </c>
      <c r="C9" s="63"/>
      <c r="D9" s="63"/>
      <c r="E9" s="43">
        <v>0</v>
      </c>
      <c r="F9" s="63"/>
      <c r="G9" s="62" t="s">
        <v>125</v>
      </c>
      <c r="H9" s="63"/>
      <c r="I9" s="63"/>
      <c r="J9" s="63"/>
      <c r="K9" s="63"/>
      <c r="L9" s="63"/>
      <c r="M9" s="1">
        <v>2</v>
      </c>
      <c r="N9" s="2">
        <v>0.625</v>
      </c>
      <c r="O9" s="2">
        <v>0.566</v>
      </c>
      <c r="P9" s="2">
        <v>0.531</v>
      </c>
      <c r="Q9" s="2">
        <v>0.496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12.75">
      <c r="A10" s="63"/>
      <c r="B10" s="17" t="s">
        <v>126</v>
      </c>
      <c r="C10" s="63"/>
      <c r="D10" s="63"/>
      <c r="E10" s="43">
        <v>0</v>
      </c>
      <c r="F10" s="63"/>
      <c r="G10" s="62" t="s">
        <v>127</v>
      </c>
      <c r="H10" s="63"/>
      <c r="I10" s="63"/>
      <c r="J10" s="63"/>
      <c r="K10" s="63"/>
      <c r="L10" s="63"/>
      <c r="M10" s="1">
        <v>3</v>
      </c>
      <c r="N10" s="2">
        <v>0.575</v>
      </c>
      <c r="O10" s="2">
        <v>0.501</v>
      </c>
      <c r="P10" s="2">
        <v>0.47</v>
      </c>
      <c r="Q10" s="2">
        <v>0.439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1:32" ht="12.75">
      <c r="A11" s="63"/>
      <c r="B11" s="17" t="s">
        <v>128</v>
      </c>
      <c r="C11" s="63"/>
      <c r="D11" s="63"/>
      <c r="E11" s="43">
        <v>0</v>
      </c>
      <c r="F11" s="63"/>
      <c r="G11" s="62" t="s">
        <v>129</v>
      </c>
      <c r="H11" s="63"/>
      <c r="I11" s="63"/>
      <c r="J11" s="63"/>
      <c r="K11" s="63"/>
      <c r="L11" s="63"/>
      <c r="M11" s="1">
        <v>4</v>
      </c>
      <c r="N11" s="2">
        <v>0.528</v>
      </c>
      <c r="O11" s="2">
        <v>0.444</v>
      </c>
      <c r="P11" s="2">
        <v>0.416</v>
      </c>
      <c r="Q11" s="2">
        <v>0.388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1:32" ht="12.75">
      <c r="A12" s="63"/>
      <c r="B12" s="17" t="s">
        <v>130</v>
      </c>
      <c r="C12" s="63"/>
      <c r="D12" s="63"/>
      <c r="E12" s="39">
        <v>1</v>
      </c>
      <c r="F12" s="63"/>
      <c r="G12" s="62" t="s">
        <v>131</v>
      </c>
      <c r="H12" s="63"/>
      <c r="I12" s="63"/>
      <c r="J12" s="63"/>
      <c r="K12" s="63"/>
      <c r="L12" s="63"/>
      <c r="M12" s="1">
        <v>5</v>
      </c>
      <c r="N12" s="2">
        <v>0.487</v>
      </c>
      <c r="O12" s="2">
        <v>0.393</v>
      </c>
      <c r="P12" s="2">
        <v>0.368</v>
      </c>
      <c r="Q12" s="2">
        <v>0.344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1:32" ht="12.75">
      <c r="A13" s="63"/>
      <c r="B13" s="17" t="s">
        <v>132</v>
      </c>
      <c r="C13" s="63"/>
      <c r="D13" s="63"/>
      <c r="E13" s="39">
        <v>1</v>
      </c>
      <c r="F13" s="63"/>
      <c r="G13" s="3">
        <f ca="1">NOW()</f>
        <v>38348.4459875</v>
      </c>
      <c r="H13" s="63"/>
      <c r="I13" s="63"/>
      <c r="J13" s="63"/>
      <c r="K13" s="63"/>
      <c r="L13" s="63"/>
      <c r="M13" s="1">
        <v>6</v>
      </c>
      <c r="N13" s="2">
        <v>0.448</v>
      </c>
      <c r="O13" s="2">
        <v>0.347</v>
      </c>
      <c r="P13" s="2">
        <v>0.326</v>
      </c>
      <c r="Q13" s="2">
        <v>0.304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ht="12.75">
      <c r="A14" s="63"/>
      <c r="B14" s="17" t="s">
        <v>133</v>
      </c>
      <c r="C14" s="63"/>
      <c r="D14" s="63"/>
      <c r="E14" s="39">
        <v>7</v>
      </c>
      <c r="F14" s="63"/>
      <c r="G14" s="63"/>
      <c r="H14" s="63"/>
      <c r="I14" s="63"/>
      <c r="J14" s="63"/>
      <c r="K14" s="63"/>
      <c r="L14" s="63"/>
      <c r="M14" s="1">
        <v>7</v>
      </c>
      <c r="N14" s="2">
        <v>0.412</v>
      </c>
      <c r="O14" s="2">
        <v>0.307</v>
      </c>
      <c r="P14" s="2">
        <v>0.288</v>
      </c>
      <c r="Q14" s="2">
        <v>0.269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1:32" ht="12.75">
      <c r="A15" s="63"/>
      <c r="B15" s="17" t="s">
        <v>134</v>
      </c>
      <c r="C15" s="63"/>
      <c r="D15" s="63"/>
      <c r="E15" s="42">
        <v>0</v>
      </c>
      <c r="F15" s="63"/>
      <c r="G15" s="63"/>
      <c r="H15" s="63"/>
      <c r="I15" s="63"/>
      <c r="J15" s="63"/>
      <c r="K15" s="63"/>
      <c r="L15" s="63"/>
      <c r="M15" s="1">
        <v>8</v>
      </c>
      <c r="N15" s="2">
        <v>0.379</v>
      </c>
      <c r="O15" s="2">
        <v>0.272</v>
      </c>
      <c r="P15" s="2">
        <v>0.255</v>
      </c>
      <c r="Q15" s="2">
        <v>0.238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12.75">
      <c r="A16" s="63"/>
      <c r="B16" s="17" t="s">
        <v>135</v>
      </c>
      <c r="C16" s="63"/>
      <c r="D16" s="63"/>
      <c r="E16" s="43">
        <v>7050</v>
      </c>
      <c r="F16" s="63"/>
      <c r="G16" s="63"/>
      <c r="H16" s="63"/>
      <c r="I16" s="63"/>
      <c r="J16" s="63"/>
      <c r="K16" s="63"/>
      <c r="L16" s="63"/>
      <c r="M16" s="1">
        <v>9</v>
      </c>
      <c r="N16" s="2">
        <v>0.348</v>
      </c>
      <c r="O16" s="2">
        <v>0.241</v>
      </c>
      <c r="P16" s="2">
        <v>0.226</v>
      </c>
      <c r="Q16" s="2">
        <v>0.211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ht="13.5" thickBot="1">
      <c r="A17" s="63"/>
      <c r="B17" s="18" t="s">
        <v>136</v>
      </c>
      <c r="C17" s="16"/>
      <c r="D17" s="16"/>
      <c r="E17" s="44">
        <v>0.03</v>
      </c>
      <c r="F17" s="63"/>
      <c r="G17" s="63"/>
      <c r="H17" s="63"/>
      <c r="I17" s="63"/>
      <c r="J17" s="63"/>
      <c r="K17" s="63"/>
      <c r="L17" s="63"/>
      <c r="M17" s="1">
        <v>10</v>
      </c>
      <c r="N17" s="2">
        <v>0.3211</v>
      </c>
      <c r="O17" s="2">
        <v>0.213</v>
      </c>
      <c r="P17" s="2">
        <v>0.2</v>
      </c>
      <c r="Q17" s="2">
        <v>0.186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2" ht="13.5" thickBot="1">
      <c r="A18" s="63"/>
      <c r="B18" s="15" t="s">
        <v>137</v>
      </c>
      <c r="C18" s="16"/>
      <c r="D18" s="16"/>
      <c r="E18" s="16"/>
      <c r="F18" s="63"/>
      <c r="G18" s="63"/>
      <c r="H18" s="63"/>
      <c r="I18" s="63"/>
      <c r="J18" s="63"/>
      <c r="K18" s="63"/>
      <c r="L18" s="63"/>
      <c r="M18" s="1">
        <v>11</v>
      </c>
      <c r="N18" s="2">
        <v>0.294</v>
      </c>
      <c r="O18" s="2">
        <v>0.189</v>
      </c>
      <c r="P18" s="2">
        <v>0.177</v>
      </c>
      <c r="Q18" s="2">
        <v>0.165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2" ht="13.5" thickTop="1">
      <c r="A19" s="63"/>
      <c r="B19" s="17" t="s">
        <v>138</v>
      </c>
      <c r="C19" s="63"/>
      <c r="D19" s="64" t="s">
        <v>139</v>
      </c>
      <c r="E19" s="36">
        <v>65000</v>
      </c>
      <c r="F19" s="63"/>
      <c r="G19" s="63"/>
      <c r="H19" s="63"/>
      <c r="I19" s="63"/>
      <c r="J19" s="63"/>
      <c r="K19" s="63"/>
      <c r="L19" s="63"/>
      <c r="M19" s="1">
        <v>12</v>
      </c>
      <c r="N19" s="2">
        <v>0.27</v>
      </c>
      <c r="O19" s="2">
        <v>0.167</v>
      </c>
      <c r="P19" s="2">
        <v>0.156</v>
      </c>
      <c r="Q19" s="2">
        <v>0.146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1:32" ht="13.5" thickBot="1">
      <c r="A20" s="63"/>
      <c r="B20" s="18" t="s">
        <v>140</v>
      </c>
      <c r="C20" s="16"/>
      <c r="D20" s="19" t="s">
        <v>139</v>
      </c>
      <c r="E20" s="41">
        <v>55000</v>
      </c>
      <c r="F20" s="63"/>
      <c r="G20" s="63"/>
      <c r="H20" s="63"/>
      <c r="I20" s="63"/>
      <c r="J20" s="63"/>
      <c r="K20" s="63"/>
      <c r="L20" s="63"/>
      <c r="M20" s="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1:32" ht="13.5" thickBot="1">
      <c r="A21" s="63"/>
      <c r="B21" s="20" t="s">
        <v>141</v>
      </c>
      <c r="C21" s="21"/>
      <c r="D21" s="21"/>
      <c r="E21" s="6">
        <f>E19-E20</f>
        <v>10000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1:32" ht="13.5" thickTop="1">
      <c r="A22" s="63"/>
      <c r="B22" s="17" t="s">
        <v>142</v>
      </c>
      <c r="C22" s="63"/>
      <c r="D22" s="63"/>
      <c r="E22" s="38">
        <v>0.07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1:32" ht="12.75">
      <c r="A23" s="63"/>
      <c r="B23" s="17" t="s">
        <v>143</v>
      </c>
      <c r="C23" s="63"/>
      <c r="D23" s="64" t="s">
        <v>144</v>
      </c>
      <c r="E23" s="39">
        <v>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1:32" ht="13.5" thickBot="1">
      <c r="A24" s="63"/>
      <c r="B24" s="18" t="s">
        <v>145</v>
      </c>
      <c r="C24" s="16"/>
      <c r="D24" s="19" t="s">
        <v>144</v>
      </c>
      <c r="E24" s="40">
        <v>12</v>
      </c>
      <c r="F24" s="63" t="s">
        <v>146</v>
      </c>
      <c r="G24" s="63"/>
      <c r="H24" s="63"/>
      <c r="I24" s="63"/>
      <c r="J24" s="63"/>
      <c r="K24" s="63"/>
      <c r="L24" s="63"/>
      <c r="M24" s="62" t="s">
        <v>147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ht="13.5" thickBot="1">
      <c r="A25" s="63"/>
      <c r="B25" s="62" t="s">
        <v>148</v>
      </c>
      <c r="C25" s="63"/>
      <c r="D25" s="63"/>
      <c r="E25" s="6">
        <f>PMT(E22,E23,-E20)</f>
        <v>13413.988194275571</v>
      </c>
      <c r="F25" s="63"/>
      <c r="G25" s="63"/>
      <c r="H25" s="63"/>
      <c r="I25" s="63"/>
      <c r="J25" s="65"/>
      <c r="K25" s="63"/>
      <c r="L25" s="63"/>
      <c r="M25" s="16"/>
      <c r="N25" s="22" t="s">
        <v>149</v>
      </c>
      <c r="O25" s="16"/>
      <c r="P25" s="16"/>
      <c r="Q25" s="16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1:32" ht="13.5" thickBot="1">
      <c r="A26" s="63"/>
      <c r="B26" s="63"/>
      <c r="C26" s="63"/>
      <c r="D26" s="63"/>
      <c r="E26" s="63"/>
      <c r="F26" s="63"/>
      <c r="G26" s="63"/>
      <c r="H26" s="63"/>
      <c r="I26" s="63"/>
      <c r="J26" s="65"/>
      <c r="K26" s="63"/>
      <c r="L26" s="63"/>
      <c r="M26" s="23" t="s">
        <v>120</v>
      </c>
      <c r="N26" s="23" t="s">
        <v>150</v>
      </c>
      <c r="O26" s="23" t="s">
        <v>151</v>
      </c>
      <c r="P26" s="23" t="s">
        <v>152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1:32" ht="13.5" thickTop="1">
      <c r="A27" s="63"/>
      <c r="B27" s="62" t="s">
        <v>153</v>
      </c>
      <c r="C27" s="63"/>
      <c r="D27" s="64" t="s">
        <v>139</v>
      </c>
      <c r="E27" s="36">
        <v>0</v>
      </c>
      <c r="F27" s="63"/>
      <c r="G27" s="63"/>
      <c r="H27" s="63"/>
      <c r="I27" s="63"/>
      <c r="J27" s="65"/>
      <c r="K27" s="63"/>
      <c r="L27" s="63"/>
      <c r="M27" s="24">
        <v>0</v>
      </c>
      <c r="N27" s="24">
        <v>3</v>
      </c>
      <c r="O27" s="24">
        <v>5</v>
      </c>
      <c r="P27" s="24">
        <v>7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ht="13.5" thickBot="1">
      <c r="A28" s="63"/>
      <c r="B28" s="62" t="s">
        <v>154</v>
      </c>
      <c r="C28" s="63"/>
      <c r="D28" s="63"/>
      <c r="E28" s="37">
        <v>0</v>
      </c>
      <c r="F28" s="63"/>
      <c r="G28" s="63"/>
      <c r="H28" s="63"/>
      <c r="I28" s="63"/>
      <c r="J28" s="65"/>
      <c r="K28" s="63"/>
      <c r="L28" s="63"/>
      <c r="M28" s="1">
        <v>1</v>
      </c>
      <c r="N28" s="77">
        <v>0.25</v>
      </c>
      <c r="O28" s="77">
        <v>0.15</v>
      </c>
      <c r="P28" s="77">
        <v>0.1071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ht="13.5" thickTop="1">
      <c r="A29" s="63"/>
      <c r="B29" s="62" t="s">
        <v>155</v>
      </c>
      <c r="C29" s="63"/>
      <c r="D29" s="63"/>
      <c r="E29" s="6">
        <f>IF(E12=1,(E19-E27)*E28,IF(E12=2,(E20+E21+E10-E27)*E28,0))</f>
        <v>0</v>
      </c>
      <c r="F29" s="63"/>
      <c r="G29" s="63"/>
      <c r="H29" s="63"/>
      <c r="I29" s="63"/>
      <c r="J29" s="65"/>
      <c r="K29" s="63"/>
      <c r="L29" s="63"/>
      <c r="M29" s="1">
        <v>2</v>
      </c>
      <c r="N29" s="77">
        <v>0.375</v>
      </c>
      <c r="O29" s="77">
        <v>0.255</v>
      </c>
      <c r="P29" s="77">
        <v>0.1913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1:32" ht="12.75">
      <c r="A30" s="63"/>
      <c r="B30" s="62" t="s">
        <v>156</v>
      </c>
      <c r="C30" s="63"/>
      <c r="D30" s="63"/>
      <c r="E30" s="6">
        <f>IF(E12=1,E19-E29/2-E27,IF(E12=2,E20+E21+E10-E29/2-E27,0))</f>
        <v>65000</v>
      </c>
      <c r="F30" s="63"/>
      <c r="G30" s="63"/>
      <c r="H30" s="63"/>
      <c r="I30" s="63"/>
      <c r="J30" s="65"/>
      <c r="K30" s="63"/>
      <c r="L30" s="63"/>
      <c r="M30" s="1">
        <v>3</v>
      </c>
      <c r="N30" s="77">
        <v>0.25</v>
      </c>
      <c r="O30" s="77">
        <v>0.1785</v>
      </c>
      <c r="P30" s="77">
        <v>0.1503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2" ht="12.75">
      <c r="A31" s="63"/>
      <c r="B31" s="62" t="s">
        <v>157</v>
      </c>
      <c r="C31" s="63"/>
      <c r="D31" s="63"/>
      <c r="E31" s="6">
        <f>Y33</f>
        <v>16250.854334345804</v>
      </c>
      <c r="F31" s="63"/>
      <c r="G31" s="63"/>
      <c r="H31" s="63"/>
      <c r="I31" s="63"/>
      <c r="J31" s="63"/>
      <c r="K31" s="63"/>
      <c r="L31" s="63"/>
      <c r="M31" s="1">
        <v>4</v>
      </c>
      <c r="N31" s="77">
        <v>0.125</v>
      </c>
      <c r="O31" s="77">
        <v>0.1666</v>
      </c>
      <c r="P31" s="77">
        <v>0.1225</v>
      </c>
      <c r="Q31" s="63"/>
      <c r="R31" s="63"/>
      <c r="S31" s="63"/>
      <c r="T31" s="63"/>
      <c r="U31" s="63"/>
      <c r="V31" s="63"/>
      <c r="W31" s="63"/>
      <c r="X31" s="63"/>
      <c r="Y31" s="6">
        <f>IF($E$13=1,0.68*0.92^$J$30,IF($E$13=2,0.56*0.885^$J$30,IF($E$13=3,0.6*0.885^$J$30,IF($E$13=4,0.64*0.885^$J$30,0))))*$E$19</f>
        <v>44200</v>
      </c>
      <c r="Z31" s="63"/>
      <c r="AA31" s="63"/>
      <c r="AB31" s="63"/>
      <c r="AC31" s="63"/>
      <c r="AD31" s="63"/>
      <c r="AE31" s="63"/>
      <c r="AF31" s="63"/>
    </row>
    <row r="32" spans="1:32" ht="12.75">
      <c r="A32" s="63"/>
      <c r="B32" s="63"/>
      <c r="C32" s="63"/>
      <c r="D32" s="63"/>
      <c r="E32" s="63"/>
      <c r="F32" s="63"/>
      <c r="G32" s="63"/>
      <c r="H32" s="63"/>
      <c r="I32" s="63"/>
      <c r="J32" s="6"/>
      <c r="K32" s="63"/>
      <c r="L32" s="63"/>
      <c r="M32" s="1">
        <v>5</v>
      </c>
      <c r="N32" s="77"/>
      <c r="O32" s="77">
        <v>0.1666</v>
      </c>
      <c r="P32" s="77">
        <v>0.1225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1:32" ht="12.75">
      <c r="A33" s="63"/>
      <c r="B33" s="62" t="s">
        <v>158</v>
      </c>
      <c r="C33" s="63"/>
      <c r="D33" s="63"/>
      <c r="E33" s="4">
        <f>E8*(1-E7)</f>
        <v>0.03950000000000001</v>
      </c>
      <c r="F33" s="63"/>
      <c r="G33" s="63"/>
      <c r="H33" s="63"/>
      <c r="I33" s="63"/>
      <c r="J33" s="63"/>
      <c r="K33" s="63"/>
      <c r="L33" s="63"/>
      <c r="M33" s="1">
        <v>6</v>
      </c>
      <c r="N33" s="77"/>
      <c r="O33" s="77">
        <v>0.0833</v>
      </c>
      <c r="P33" s="77">
        <v>0.1225</v>
      </c>
      <c r="Q33" s="63"/>
      <c r="R33" s="63"/>
      <c r="S33" s="63"/>
      <c r="T33" s="63"/>
      <c r="U33" s="63"/>
      <c r="V33" s="63"/>
      <c r="W33" s="63"/>
      <c r="X33" s="63"/>
      <c r="Y33" s="6">
        <f>IF($E$13=1,0.68*0.92^E24,IF($E$13=2,0.56*0.885^E24,IF($E$13=3,0.6*0.885^E24,IF($E$13=4,0.64*0.885^E24,0))))*$E$19</f>
        <v>16250.854334345804</v>
      </c>
      <c r="Z33" s="63"/>
      <c r="AA33" s="63"/>
      <c r="AB33" s="63"/>
      <c r="AC33" s="63"/>
      <c r="AD33" s="63"/>
      <c r="AE33" s="63"/>
      <c r="AF33" s="63"/>
    </row>
    <row r="34" spans="1:3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">
        <v>7</v>
      </c>
      <c r="N34" s="77"/>
      <c r="O34" s="77"/>
      <c r="P34" s="77">
        <v>0.1225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">
        <v>8</v>
      </c>
      <c r="N35" s="77"/>
      <c r="O35" s="77"/>
      <c r="P35" s="77">
        <v>0.0613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15.75">
      <c r="A36" s="25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ht="12.75">
      <c r="A37" s="63"/>
      <c r="B37" s="63"/>
      <c r="C37" s="63"/>
      <c r="D37" s="66" t="s">
        <v>160</v>
      </c>
      <c r="E37" s="63"/>
      <c r="F37" s="63"/>
      <c r="G37" s="63"/>
      <c r="H37" s="63"/>
      <c r="I37" s="12" t="s">
        <v>161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1:32" ht="12.75">
      <c r="A38" s="63"/>
      <c r="B38" s="62" t="s">
        <v>141</v>
      </c>
      <c r="C38" s="63"/>
      <c r="D38" s="66" t="s">
        <v>162</v>
      </c>
      <c r="E38" s="12" t="s">
        <v>163</v>
      </c>
      <c r="F38" s="66" t="s">
        <v>164</v>
      </c>
      <c r="G38" s="62" t="s">
        <v>165</v>
      </c>
      <c r="H38" s="12" t="s">
        <v>166</v>
      </c>
      <c r="I38" s="12" t="s">
        <v>167</v>
      </c>
      <c r="J38" s="63"/>
      <c r="K38" s="66" t="s">
        <v>168</v>
      </c>
      <c r="L38" s="66"/>
      <c r="M38" s="63"/>
      <c r="N38" s="62" t="s">
        <v>169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1:32" ht="12.75">
      <c r="A39" s="66" t="s">
        <v>120</v>
      </c>
      <c r="B39" s="66" t="s">
        <v>170</v>
      </c>
      <c r="C39" s="66" t="s">
        <v>171</v>
      </c>
      <c r="D39" s="12" t="s">
        <v>172</v>
      </c>
      <c r="E39" s="12" t="s">
        <v>173</v>
      </c>
      <c r="F39" s="66" t="s">
        <v>174</v>
      </c>
      <c r="G39" s="66" t="s">
        <v>175</v>
      </c>
      <c r="H39" s="12" t="s">
        <v>176</v>
      </c>
      <c r="I39" s="12" t="s">
        <v>177</v>
      </c>
      <c r="J39" s="66" t="s">
        <v>178</v>
      </c>
      <c r="K39" s="66" t="s">
        <v>179</v>
      </c>
      <c r="L39" s="66" t="s">
        <v>163</v>
      </c>
      <c r="M39" s="63"/>
      <c r="N39" s="62" t="s">
        <v>180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1:32" ht="13.5" thickBot="1">
      <c r="A40" s="16"/>
      <c r="B40" s="23" t="s">
        <v>181</v>
      </c>
      <c r="C40" s="23" t="s">
        <v>182</v>
      </c>
      <c r="D40" s="23" t="s">
        <v>183</v>
      </c>
      <c r="E40" s="23" t="s">
        <v>184</v>
      </c>
      <c r="F40" s="23" t="s">
        <v>185</v>
      </c>
      <c r="G40" s="23" t="s">
        <v>186</v>
      </c>
      <c r="H40" s="23" t="s">
        <v>187</v>
      </c>
      <c r="I40" s="26">
        <f>E33</f>
        <v>0.03950000000000001</v>
      </c>
      <c r="J40" s="23" t="s">
        <v>188</v>
      </c>
      <c r="K40" s="67" t="s">
        <v>188</v>
      </c>
      <c r="L40" s="67" t="s">
        <v>189</v>
      </c>
      <c r="M40" s="63"/>
      <c r="N40" s="62" t="s">
        <v>190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">
        <f>-E15*(E9-E11)-(E9-E10)+E27</f>
        <v>0</v>
      </c>
      <c r="Z40" s="63"/>
      <c r="AA40" s="63"/>
      <c r="AB40" s="63"/>
      <c r="AC40" s="63"/>
      <c r="AD40" s="63"/>
      <c r="AE40" s="63"/>
      <c r="AF40" s="63"/>
    </row>
    <row r="41" spans="1:32" ht="12.75">
      <c r="A41" s="1">
        <v>0</v>
      </c>
      <c r="B41" s="7">
        <f>E21</f>
        <v>10000</v>
      </c>
      <c r="C41" s="48"/>
      <c r="D41" s="7">
        <f>E$30*HLOOKUP(+E$14,M$27:P$35,A41+1+1)+E27</f>
        <v>6961.5</v>
      </c>
      <c r="E41" s="7">
        <f>E16</f>
        <v>7050</v>
      </c>
      <c r="F41" s="48"/>
      <c r="G41" s="7">
        <f>-(D41+E41+Y40)*E7</f>
        <v>-2942.415</v>
      </c>
      <c r="H41" s="7">
        <f>B41+E41+G41</f>
        <v>14107.585</v>
      </c>
      <c r="I41" s="8">
        <f aca="true" t="shared" si="0" ref="I41:I56">1/(1+(E$8*(1-E$7)))^A41</f>
        <v>1</v>
      </c>
      <c r="J41" s="7">
        <f aca="true" t="shared" si="1" ref="J41:J56">H41*I41</f>
        <v>14107.585</v>
      </c>
      <c r="K41" s="68">
        <f>J41</f>
        <v>14107.585</v>
      </c>
      <c r="L41" s="48"/>
      <c r="M41" s="63"/>
      <c r="N41" s="62" t="s">
        <v>191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ht="12.75">
      <c r="A42" s="1">
        <f>A41+1</f>
        <v>1</v>
      </c>
      <c r="B42" s="7">
        <f>-IF(A42&gt;$E$23,0,PPMT($E$22,A42,$E$23,$E$20))</f>
        <v>9563.988194275571</v>
      </c>
      <c r="C42" s="7">
        <f>-IF(A42&gt;$E$23,0,IPMT($E$22,A42,$E$23,$E$20))</f>
        <v>3850.0000000000005</v>
      </c>
      <c r="D42" s="7">
        <f aca="true" t="shared" si="2" ref="D42:D48">E$30*HLOOKUP(+E$14,M$27:P$35,A42+1+1)</f>
        <v>12434.5</v>
      </c>
      <c r="E42" s="7">
        <f>IF(A42=$E$24,0,E41*(1+E$17))</f>
        <v>7261.5</v>
      </c>
      <c r="F42" s="7">
        <f>-E29</f>
        <v>0</v>
      </c>
      <c r="G42" s="7">
        <f aca="true" t="shared" si="3" ref="G42:G56">-(+C42+D42+E42+F42)*$E$7</f>
        <v>-4944.66</v>
      </c>
      <c r="H42" s="7">
        <f aca="true" t="shared" si="4" ref="H42:H56">(B42+C42+E42+F42+G42)</f>
        <v>15730.828194275571</v>
      </c>
      <c r="I42" s="8">
        <f t="shared" si="0"/>
        <v>0.962000962000962</v>
      </c>
      <c r="J42" s="7">
        <f t="shared" si="1"/>
        <v>15133.071855964954</v>
      </c>
      <c r="K42" s="68">
        <f>K41+J42</f>
        <v>29240.656855964953</v>
      </c>
      <c r="L42" s="48"/>
      <c r="M42" s="63"/>
      <c r="N42" s="62" t="s">
        <v>192</v>
      </c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>
        <f aca="true" t="shared" si="5" ref="Y42:Y49">PV($E$22,$E$23-A42,-$E$25)</f>
        <v>45436.01180572442</v>
      </c>
      <c r="Z42" s="63"/>
      <c r="AA42" s="63"/>
      <c r="AB42" s="63"/>
      <c r="AC42" s="63"/>
      <c r="AD42" s="63"/>
      <c r="AE42" s="63"/>
      <c r="AF42" s="63"/>
    </row>
    <row r="43" spans="1:32" ht="12.75">
      <c r="A43" s="1">
        <f>A42+1</f>
        <v>2</v>
      </c>
      <c r="B43" s="7">
        <f aca="true" t="shared" si="6" ref="B43:B56">-IF(A43&gt;$E$23,0,PPMT($E$22,A43,$E$23,$E$20))</f>
        <v>10233.467367874862</v>
      </c>
      <c r="C43" s="7">
        <f aca="true" t="shared" si="7" ref="C43:C56">-IF(A43&gt;$E$23,0,IPMT($E$22,A43,$E$23,$E$20))</f>
        <v>3180.5208264007097</v>
      </c>
      <c r="D43" s="7">
        <f t="shared" si="2"/>
        <v>9769.5</v>
      </c>
      <c r="E43" s="7">
        <f aca="true" t="shared" si="8" ref="E43:E56">IF(A43=$E$24,0,E42*(1+E$17))</f>
        <v>7479.345</v>
      </c>
      <c r="F43" s="7">
        <f>-IF($E$24=A43+1,$E$31-$Y$56,0)</f>
        <v>0</v>
      </c>
      <c r="G43" s="7">
        <f t="shared" si="3"/>
        <v>-4290.166823544149</v>
      </c>
      <c r="H43" s="7">
        <f t="shared" si="4"/>
        <v>16603.166370731422</v>
      </c>
      <c r="I43" s="8">
        <f t="shared" si="0"/>
        <v>0.9254458508907761</v>
      </c>
      <c r="J43" s="7">
        <f t="shared" si="1"/>
        <v>15365.33142944266</v>
      </c>
      <c r="K43" s="68">
        <f>IF(E43=0,0,K42+J43)</f>
        <v>44605.98828540761</v>
      </c>
      <c r="L43" s="5">
        <f>K43*($E$8/(1-(1/(1+$E$8)^(A43+1))))</f>
        <v>16379.700932242655</v>
      </c>
      <c r="M43" s="63"/>
      <c r="N43" s="62" t="s">
        <v>193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f t="shared" si="5"/>
        <v>35202.54443784956</v>
      </c>
      <c r="Z43" s="63"/>
      <c r="AA43" s="63"/>
      <c r="AB43" s="63"/>
      <c r="AC43" s="63"/>
      <c r="AD43" s="63"/>
      <c r="AE43" s="63"/>
      <c r="AF43" s="63"/>
    </row>
    <row r="44" spans="1:32" ht="12.75">
      <c r="A44" s="1">
        <f aca="true" t="shared" si="9" ref="A44:A56">A43+1</f>
        <v>3</v>
      </c>
      <c r="B44" s="7">
        <f t="shared" si="6"/>
        <v>10949.810083626102</v>
      </c>
      <c r="C44" s="7">
        <f t="shared" si="7"/>
        <v>2464.1781106494695</v>
      </c>
      <c r="D44" s="7">
        <f t="shared" si="2"/>
        <v>7962.5</v>
      </c>
      <c r="E44" s="7">
        <f t="shared" si="8"/>
        <v>7703.725350000001</v>
      </c>
      <c r="F44" s="7">
        <f aca="true" t="shared" si="10" ref="F44:F56">-IF($E$24=A44+1,$E$31-$Y$56,0)</f>
        <v>0</v>
      </c>
      <c r="G44" s="7">
        <f t="shared" si="3"/>
        <v>-3807.384726736388</v>
      </c>
      <c r="H44" s="7">
        <f t="shared" si="4"/>
        <v>17310.328817539183</v>
      </c>
      <c r="I44" s="8">
        <f t="shared" si="0"/>
        <v>0.8902797988367254</v>
      </c>
      <c r="J44" s="7">
        <f t="shared" si="1"/>
        <v>15411.036057476354</v>
      </c>
      <c r="K44" s="68">
        <f aca="true" t="shared" si="11" ref="K44:K56">IF(E44=0,0,K43+J44)</f>
        <v>60017.02434288397</v>
      </c>
      <c r="L44" s="5">
        <f aca="true" t="shared" si="12" ref="L44:L56">K44*($E$8/(1-(1/(1+$E$8)^(A44+1))))</f>
        <v>16925.51102234334</v>
      </c>
      <c r="M44" s="63"/>
      <c r="N44" s="62" t="s">
        <v>194</v>
      </c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>
        <f t="shared" si="5"/>
        <v>24252.734354223456</v>
      </c>
      <c r="Z44" s="63"/>
      <c r="AA44" s="63"/>
      <c r="AB44" s="63"/>
      <c r="AC44" s="63"/>
      <c r="AD44" s="63"/>
      <c r="AE44" s="63"/>
      <c r="AF44" s="63"/>
    </row>
    <row r="45" spans="1:32" ht="12.75">
      <c r="A45" s="1">
        <f t="shared" si="9"/>
        <v>4</v>
      </c>
      <c r="B45" s="7">
        <f t="shared" si="6"/>
        <v>11716.29678947993</v>
      </c>
      <c r="C45" s="7">
        <f t="shared" si="7"/>
        <v>1697.6914047956423</v>
      </c>
      <c r="D45" s="7">
        <f t="shared" si="2"/>
        <v>7962.5</v>
      </c>
      <c r="E45" s="7">
        <f t="shared" si="8"/>
        <v>7934.837110500001</v>
      </c>
      <c r="F45" s="7">
        <f t="shared" si="10"/>
        <v>0</v>
      </c>
      <c r="G45" s="7">
        <f t="shared" si="3"/>
        <v>-3694.955988212085</v>
      </c>
      <c r="H45" s="7">
        <f t="shared" si="4"/>
        <v>17653.869316563487</v>
      </c>
      <c r="I45" s="8">
        <f t="shared" si="0"/>
        <v>0.8564500229309527</v>
      </c>
      <c r="J45" s="7">
        <f t="shared" si="1"/>
        <v>15119.656780990841</v>
      </c>
      <c r="K45" s="68">
        <f t="shared" si="11"/>
        <v>75136.6811238748</v>
      </c>
      <c r="L45" s="5">
        <f t="shared" si="12"/>
        <v>17354.679754615034</v>
      </c>
      <c r="M45" s="63"/>
      <c r="N45" s="62" t="s">
        <v>195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>
        <f t="shared" si="5"/>
        <v>12536.437564743535</v>
      </c>
      <c r="Z45" s="63"/>
      <c r="AA45" s="63"/>
      <c r="AB45" s="63"/>
      <c r="AC45" s="63"/>
      <c r="AD45" s="63"/>
      <c r="AE45" s="63"/>
      <c r="AF45" s="63"/>
    </row>
    <row r="46" spans="1:32" ht="12.75">
      <c r="A46" s="1">
        <f t="shared" si="9"/>
        <v>5</v>
      </c>
      <c r="B46" s="7">
        <f t="shared" si="6"/>
        <v>12536.437564743523</v>
      </c>
      <c r="C46" s="7">
        <f t="shared" si="7"/>
        <v>877.5506295320477</v>
      </c>
      <c r="D46" s="7">
        <f t="shared" si="2"/>
        <v>7962.5</v>
      </c>
      <c r="E46" s="7">
        <f t="shared" si="8"/>
        <v>8172.8822238150005</v>
      </c>
      <c r="F46" s="7">
        <f t="shared" si="10"/>
        <v>0</v>
      </c>
      <c r="G46" s="7">
        <f t="shared" si="3"/>
        <v>-3572.71589920288</v>
      </c>
      <c r="H46" s="7">
        <f t="shared" si="4"/>
        <v>18014.15451888769</v>
      </c>
      <c r="I46" s="8">
        <f t="shared" si="0"/>
        <v>0.8239057459653225</v>
      </c>
      <c r="J46" s="7">
        <f t="shared" si="1"/>
        <v>14841.96541681875</v>
      </c>
      <c r="K46" s="68">
        <f t="shared" si="11"/>
        <v>89978.64654069356</v>
      </c>
      <c r="L46" s="5">
        <f t="shared" si="12"/>
        <v>17727.365125428998</v>
      </c>
      <c r="M46" s="63"/>
      <c r="N46" s="62" t="s">
        <v>196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>
        <f t="shared" si="5"/>
        <v>0</v>
      </c>
      <c r="Z46" s="63"/>
      <c r="AA46" s="63"/>
      <c r="AB46" s="63"/>
      <c r="AC46" s="63"/>
      <c r="AD46" s="63"/>
      <c r="AE46" s="63"/>
      <c r="AF46" s="63"/>
    </row>
    <row r="47" spans="1:32" ht="12.75">
      <c r="A47" s="1">
        <f t="shared" si="9"/>
        <v>6</v>
      </c>
      <c r="B47" s="7">
        <f t="shared" si="6"/>
        <v>0</v>
      </c>
      <c r="C47" s="7">
        <f t="shared" si="7"/>
        <v>0</v>
      </c>
      <c r="D47" s="7">
        <f t="shared" si="2"/>
        <v>7962.5</v>
      </c>
      <c r="E47" s="7">
        <f t="shared" si="8"/>
        <v>8418.068690529451</v>
      </c>
      <c r="F47" s="7">
        <f t="shared" si="10"/>
        <v>0</v>
      </c>
      <c r="G47" s="7">
        <f t="shared" si="3"/>
        <v>-3439.9194250111846</v>
      </c>
      <c r="H47" s="7">
        <f t="shared" si="4"/>
        <v>4978.1492655182665</v>
      </c>
      <c r="I47" s="8">
        <f t="shared" si="0"/>
        <v>0.7925981202167602</v>
      </c>
      <c r="J47" s="7">
        <f t="shared" si="1"/>
        <v>3945.6717500082236</v>
      </c>
      <c r="K47" s="68">
        <f t="shared" si="11"/>
        <v>93924.31829070179</v>
      </c>
      <c r="L47" s="5">
        <f t="shared" si="12"/>
        <v>16231.983634679433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>
        <f t="shared" si="5"/>
        <v>-13413.988194275571</v>
      </c>
      <c r="Z47" s="63"/>
      <c r="AA47" s="63"/>
      <c r="AB47" s="63"/>
      <c r="AC47" s="63"/>
      <c r="AD47" s="63"/>
      <c r="AE47" s="63"/>
      <c r="AF47" s="63"/>
    </row>
    <row r="48" spans="1:32" ht="12.75">
      <c r="A48" s="1">
        <f t="shared" si="9"/>
        <v>7</v>
      </c>
      <c r="B48" s="7">
        <f t="shared" si="6"/>
        <v>0</v>
      </c>
      <c r="C48" s="7">
        <f t="shared" si="7"/>
        <v>0</v>
      </c>
      <c r="D48" s="7">
        <f t="shared" si="2"/>
        <v>3984.5</v>
      </c>
      <c r="E48" s="7">
        <f t="shared" si="8"/>
        <v>8670.610751245335</v>
      </c>
      <c r="F48" s="7">
        <f t="shared" si="10"/>
        <v>0</v>
      </c>
      <c r="G48" s="7">
        <f t="shared" si="3"/>
        <v>-2657.5732577615204</v>
      </c>
      <c r="H48" s="7">
        <f t="shared" si="4"/>
        <v>6013.037493483815</v>
      </c>
      <c r="I48" s="8">
        <f t="shared" si="0"/>
        <v>0.7624801541286774</v>
      </c>
      <c r="J48" s="7">
        <f t="shared" si="1"/>
        <v>4584.821754813055</v>
      </c>
      <c r="K48" s="68">
        <f t="shared" si="11"/>
        <v>98509.14004551484</v>
      </c>
      <c r="L48" s="5">
        <f t="shared" si="12"/>
        <v>15241.512806745292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>
        <f t="shared" si="5"/>
        <v>-27766.955562150444</v>
      </c>
      <c r="Z48" s="63"/>
      <c r="AA48" s="63"/>
      <c r="AB48" s="63"/>
      <c r="AC48" s="63"/>
      <c r="AD48" s="63"/>
      <c r="AE48" s="63"/>
      <c r="AF48" s="63"/>
    </row>
    <row r="49" spans="1:32" ht="12.75">
      <c r="A49" s="1">
        <f t="shared" si="9"/>
        <v>8</v>
      </c>
      <c r="B49" s="7">
        <f t="shared" si="6"/>
        <v>0</v>
      </c>
      <c r="C49" s="7">
        <f t="shared" si="7"/>
        <v>0</v>
      </c>
      <c r="D49" s="46"/>
      <c r="E49" s="7">
        <f t="shared" si="8"/>
        <v>8930.729073782695</v>
      </c>
      <c r="F49" s="7">
        <f t="shared" si="10"/>
        <v>0</v>
      </c>
      <c r="G49" s="7">
        <f t="shared" si="3"/>
        <v>-1875.453105494366</v>
      </c>
      <c r="H49" s="7">
        <f t="shared" si="4"/>
        <v>7055.27596828833</v>
      </c>
      <c r="I49" s="8">
        <f t="shared" si="0"/>
        <v>0.7335066417784294</v>
      </c>
      <c r="J49" s="7">
        <f t="shared" si="1"/>
        <v>5175.091782319229</v>
      </c>
      <c r="K49" s="68">
        <f t="shared" si="11"/>
        <v>103684.23182783407</v>
      </c>
      <c r="L49" s="5">
        <f t="shared" si="12"/>
        <v>14587.342868086096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>
        <f t="shared" si="5"/>
        <v>-43124.63064577656</v>
      </c>
      <c r="Z49" s="63"/>
      <c r="AA49" s="63"/>
      <c r="AB49" s="63"/>
      <c r="AC49" s="63"/>
      <c r="AD49" s="63"/>
      <c r="AE49" s="63"/>
      <c r="AF49" s="63"/>
    </row>
    <row r="50" spans="1:32" ht="12.75">
      <c r="A50" s="1">
        <f t="shared" si="9"/>
        <v>9</v>
      </c>
      <c r="B50" s="7">
        <f t="shared" si="6"/>
        <v>0</v>
      </c>
      <c r="C50" s="7">
        <f>-IF(A50&gt;$E$23,0,IPMT($E$22,A50,$E$23,$E$20))</f>
        <v>0</v>
      </c>
      <c r="D50" s="47"/>
      <c r="E50" s="7">
        <f t="shared" si="8"/>
        <v>9198.650945996176</v>
      </c>
      <c r="F50" s="7">
        <f t="shared" si="10"/>
        <v>0</v>
      </c>
      <c r="G50" s="7">
        <f t="shared" si="3"/>
        <v>-1931.716698659197</v>
      </c>
      <c r="H50" s="7">
        <f t="shared" si="4"/>
        <v>7266.93424733698</v>
      </c>
      <c r="I50" s="8">
        <f t="shared" si="0"/>
        <v>0.7056340950249441</v>
      </c>
      <c r="J50" s="7">
        <f t="shared" si="1"/>
        <v>5127.796571225404</v>
      </c>
      <c r="K50" s="68">
        <f t="shared" si="11"/>
        <v>108812.02839905948</v>
      </c>
      <c r="L50" s="5">
        <f t="shared" si="12"/>
        <v>14091.655488949398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2" ht="12.75">
      <c r="A51" s="1">
        <f t="shared" si="9"/>
        <v>10</v>
      </c>
      <c r="B51" s="7">
        <f t="shared" si="6"/>
        <v>0</v>
      </c>
      <c r="C51" s="7">
        <f t="shared" si="7"/>
        <v>0</v>
      </c>
      <c r="D51" s="47"/>
      <c r="E51" s="7">
        <f t="shared" si="8"/>
        <v>9474.610474376062</v>
      </c>
      <c r="F51" s="7">
        <f t="shared" si="10"/>
        <v>0</v>
      </c>
      <c r="G51" s="7">
        <f t="shared" si="3"/>
        <v>-1989.668199618973</v>
      </c>
      <c r="H51" s="7">
        <f t="shared" si="4"/>
        <v>7484.94227475709</v>
      </c>
      <c r="I51" s="8">
        <f t="shared" si="0"/>
        <v>0.6788206782346743</v>
      </c>
      <c r="J51" s="7">
        <f t="shared" si="1"/>
        <v>5080.933591497994</v>
      </c>
      <c r="K51" s="68">
        <f t="shared" si="11"/>
        <v>113892.96199055747</v>
      </c>
      <c r="L51" s="5">
        <f t="shared" si="12"/>
        <v>13711.447442632005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ht="12.75">
      <c r="A52" s="1">
        <f t="shared" si="9"/>
        <v>11</v>
      </c>
      <c r="B52" s="7">
        <f t="shared" si="6"/>
        <v>0</v>
      </c>
      <c r="C52" s="7">
        <f t="shared" si="7"/>
        <v>0</v>
      </c>
      <c r="D52" s="48"/>
      <c r="E52" s="7">
        <f t="shared" si="8"/>
        <v>9758.848788607345</v>
      </c>
      <c r="F52" s="7">
        <f t="shared" si="10"/>
        <v>-16250.854334345804</v>
      </c>
      <c r="G52" s="7">
        <f t="shared" si="3"/>
        <v>1363.3211646050763</v>
      </c>
      <c r="H52" s="7">
        <f t="shared" si="4"/>
        <v>-5128.684381133382</v>
      </c>
      <c r="I52" s="8">
        <f t="shared" si="0"/>
        <v>0.653026145487902</v>
      </c>
      <c r="J52" s="7">
        <f t="shared" si="1"/>
        <v>-3349.1649928355387</v>
      </c>
      <c r="K52" s="68">
        <f t="shared" si="11"/>
        <v>110543.79699772193</v>
      </c>
      <c r="L52" s="5">
        <f t="shared" si="12"/>
        <v>12472.149221525759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</row>
    <row r="53" spans="1:32" ht="12.75">
      <c r="A53" s="1">
        <f t="shared" si="9"/>
        <v>12</v>
      </c>
      <c r="B53" s="7">
        <f t="shared" si="6"/>
        <v>0</v>
      </c>
      <c r="C53" s="7">
        <f t="shared" si="7"/>
        <v>0</v>
      </c>
      <c r="D53" s="48"/>
      <c r="E53" s="7">
        <f t="shared" si="8"/>
        <v>0</v>
      </c>
      <c r="F53" s="7">
        <f t="shared" si="10"/>
        <v>0</v>
      </c>
      <c r="G53" s="7">
        <f t="shared" si="3"/>
        <v>0</v>
      </c>
      <c r="H53" s="7">
        <f t="shared" si="4"/>
        <v>0</v>
      </c>
      <c r="I53" s="8">
        <f t="shared" si="0"/>
        <v>0.628211780171142</v>
      </c>
      <c r="J53" s="7">
        <f t="shared" si="1"/>
        <v>0</v>
      </c>
      <c r="K53" s="68">
        <f t="shared" si="11"/>
        <v>0</v>
      </c>
      <c r="L53" s="5">
        <f t="shared" si="12"/>
        <v>0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</row>
    <row r="54" spans="1:32" ht="12.75">
      <c r="A54" s="1">
        <f t="shared" si="9"/>
        <v>13</v>
      </c>
      <c r="B54" s="7">
        <f t="shared" si="6"/>
        <v>0</v>
      </c>
      <c r="C54" s="7">
        <f t="shared" si="7"/>
        <v>0</v>
      </c>
      <c r="D54" s="48"/>
      <c r="E54" s="7">
        <f t="shared" si="8"/>
        <v>0</v>
      </c>
      <c r="F54" s="7">
        <f t="shared" si="10"/>
        <v>0</v>
      </c>
      <c r="G54" s="7">
        <f t="shared" si="3"/>
        <v>0</v>
      </c>
      <c r="H54" s="7">
        <f t="shared" si="4"/>
        <v>0</v>
      </c>
      <c r="I54" s="8">
        <f t="shared" si="0"/>
        <v>0.6043403368649755</v>
      </c>
      <c r="J54" s="7">
        <f t="shared" si="1"/>
        <v>0</v>
      </c>
      <c r="K54" s="68">
        <f t="shared" si="11"/>
        <v>0</v>
      </c>
      <c r="L54" s="5">
        <f t="shared" si="12"/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</row>
    <row r="55" spans="1:32" ht="12.75">
      <c r="A55" s="1">
        <f t="shared" si="9"/>
        <v>14</v>
      </c>
      <c r="B55" s="7">
        <f t="shared" si="6"/>
        <v>0</v>
      </c>
      <c r="C55" s="7">
        <f t="shared" si="7"/>
        <v>0</v>
      </c>
      <c r="D55" s="48"/>
      <c r="E55" s="7">
        <f t="shared" si="8"/>
        <v>0</v>
      </c>
      <c r="F55" s="7">
        <f t="shared" si="10"/>
        <v>0</v>
      </c>
      <c r="G55" s="7">
        <f t="shared" si="3"/>
        <v>0</v>
      </c>
      <c r="H55" s="7">
        <f t="shared" si="4"/>
        <v>0</v>
      </c>
      <c r="I55" s="8">
        <f t="shared" si="0"/>
        <v>0.5813759854400917</v>
      </c>
      <c r="J55" s="7">
        <f t="shared" si="1"/>
        <v>0</v>
      </c>
      <c r="K55" s="68">
        <f t="shared" si="11"/>
        <v>0</v>
      </c>
      <c r="L55" s="5">
        <f t="shared" si="12"/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1:32" ht="13.5" thickBot="1">
      <c r="A56" s="16">
        <f t="shared" si="9"/>
        <v>15</v>
      </c>
      <c r="B56" s="51">
        <f t="shared" si="6"/>
        <v>0</v>
      </c>
      <c r="C56" s="51">
        <f t="shared" si="7"/>
        <v>0</v>
      </c>
      <c r="D56" s="49"/>
      <c r="E56" s="51">
        <f t="shared" si="8"/>
        <v>0</v>
      </c>
      <c r="F56" s="51">
        <f t="shared" si="10"/>
        <v>0</v>
      </c>
      <c r="G56" s="27">
        <f t="shared" si="3"/>
        <v>0</v>
      </c>
      <c r="H56" s="27">
        <f t="shared" si="4"/>
        <v>0</v>
      </c>
      <c r="I56" s="28">
        <f t="shared" si="0"/>
        <v>0.5592842572776254</v>
      </c>
      <c r="J56" s="27">
        <f t="shared" si="1"/>
        <v>0</v>
      </c>
      <c r="K56" s="69">
        <f t="shared" si="11"/>
        <v>0</v>
      </c>
      <c r="L56" s="53">
        <f t="shared" si="12"/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">
        <f>IF(E24&lt;5,F42/5*(5-E24),0)</f>
        <v>0</v>
      </c>
      <c r="Z56" s="63"/>
      <c r="AA56" s="63"/>
      <c r="AB56" s="63"/>
      <c r="AC56" s="63"/>
      <c r="AD56" s="63"/>
      <c r="AE56" s="63"/>
      <c r="AF56" s="63"/>
    </row>
    <row r="57" spans="1:32" ht="12.75">
      <c r="A57" s="63"/>
      <c r="B57" s="62" t="s">
        <v>197</v>
      </c>
      <c r="C57" s="63"/>
      <c r="D57" s="5">
        <f>SUM(D41:D51)</f>
        <v>65000</v>
      </c>
      <c r="E57" s="63"/>
      <c r="F57" s="63"/>
      <c r="G57" s="63"/>
      <c r="H57" s="29" t="s">
        <v>198</v>
      </c>
      <c r="I57" s="30"/>
      <c r="J57" s="76">
        <f>-SUM(J41:J56)</f>
        <v>-110543.79699772193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</row>
    <row r="58" spans="1:32" ht="12.75">
      <c r="A58" s="63"/>
      <c r="B58" s="63"/>
      <c r="C58" s="63"/>
      <c r="D58" s="63"/>
      <c r="E58" s="63"/>
      <c r="F58" s="63"/>
      <c r="G58" s="63"/>
      <c r="H58" s="62"/>
      <c r="I58" s="63"/>
      <c r="J58" s="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1:32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</row>
    <row r="60" spans="1:32" ht="12.75">
      <c r="A60" s="63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</row>
    <row r="61" spans="1:32" ht="12.75">
      <c r="A61" s="63"/>
      <c r="B61" s="6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</row>
    <row r="62" spans="1:32" ht="12.75">
      <c r="A62" s="63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  <row r="63" spans="1:3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</row>
    <row r="64" spans="1:32" ht="19.5">
      <c r="A64" s="31" t="s">
        <v>199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</row>
    <row r="65" spans="1:32" ht="13.5" thickBot="1">
      <c r="A65" s="62" t="s">
        <v>200</v>
      </c>
      <c r="B65" s="63"/>
      <c r="C65" s="63"/>
      <c r="D65" s="63"/>
      <c r="E65" s="70" t="str">
        <f>E6</f>
        <v>Tractor 105 hp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</row>
    <row r="66" spans="1:32" ht="13.5" thickTop="1">
      <c r="A66" s="62" t="s">
        <v>201</v>
      </c>
      <c r="B66" s="63"/>
      <c r="C66" s="63"/>
      <c r="D66" s="63"/>
      <c r="E66" s="36">
        <v>65000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</row>
    <row r="67" spans="1:32" ht="12.75">
      <c r="A67" s="62" t="s">
        <v>202</v>
      </c>
      <c r="B67" s="63"/>
      <c r="C67" s="63"/>
      <c r="D67" s="63"/>
      <c r="E67" s="42">
        <v>0.3</v>
      </c>
      <c r="F67" s="62" t="s">
        <v>203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</row>
    <row r="68" spans="1:32" ht="12.75">
      <c r="A68" s="62" t="s">
        <v>204</v>
      </c>
      <c r="B68" s="63"/>
      <c r="C68" s="63"/>
      <c r="D68" s="63"/>
      <c r="E68" s="42">
        <v>0.07</v>
      </c>
      <c r="F68" s="62" t="s">
        <v>203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</row>
    <row r="69" spans="1:32" ht="12.75">
      <c r="A69" s="62" t="s">
        <v>205</v>
      </c>
      <c r="B69" s="63"/>
      <c r="C69" s="63"/>
      <c r="D69" s="63"/>
      <c r="E69" s="39">
        <v>5</v>
      </c>
      <c r="F69" s="62" t="s">
        <v>206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</row>
    <row r="70" spans="1:32" ht="13.5" thickBot="1">
      <c r="A70" s="62" t="s">
        <v>207</v>
      </c>
      <c r="B70" s="63"/>
      <c r="C70" s="63"/>
      <c r="D70" s="63"/>
      <c r="E70" s="40">
        <v>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ht="13.5" thickTop="1">
      <c r="A71" s="62" t="s">
        <v>122</v>
      </c>
      <c r="B71" s="63"/>
      <c r="C71" s="63"/>
      <c r="D71" s="63"/>
      <c r="E71" s="71">
        <f>E7</f>
        <v>0.21</v>
      </c>
      <c r="F71" s="62" t="s">
        <v>203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</row>
    <row r="72" spans="1:32" ht="13.5" thickBot="1">
      <c r="A72" s="62" t="s">
        <v>208</v>
      </c>
      <c r="B72" s="63"/>
      <c r="C72" s="63"/>
      <c r="D72" s="63"/>
      <c r="E72" s="71">
        <f>E8</f>
        <v>0.05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</row>
    <row r="73" spans="1:32" ht="13.5" thickTop="1">
      <c r="A73" s="62" t="s">
        <v>209</v>
      </c>
      <c r="B73" s="63"/>
      <c r="C73" s="63"/>
      <c r="D73" s="63"/>
      <c r="E73" s="36">
        <v>6500</v>
      </c>
      <c r="F73" s="62" t="s">
        <v>210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</row>
    <row r="74" spans="1:32" ht="12.75">
      <c r="A74" s="62" t="s">
        <v>211</v>
      </c>
      <c r="B74" s="63"/>
      <c r="C74" s="63"/>
      <c r="D74" s="63"/>
      <c r="E74" s="43">
        <v>8000</v>
      </c>
      <c r="F74" s="62" t="s">
        <v>210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3.5" thickBot="1">
      <c r="A75" s="62" t="s">
        <v>212</v>
      </c>
      <c r="B75" s="63"/>
      <c r="C75" s="63"/>
      <c r="D75" s="63"/>
      <c r="E75" s="44">
        <v>0.1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ht="13.5" thickTop="1">
      <c r="A76" s="62" t="s">
        <v>136</v>
      </c>
      <c r="B76" s="63"/>
      <c r="C76" s="63"/>
      <c r="D76" s="63"/>
      <c r="E76" s="71">
        <f>E17</f>
        <v>0.03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1:32" ht="12.75">
      <c r="A78" s="62" t="s">
        <v>213</v>
      </c>
      <c r="B78" s="63"/>
      <c r="C78" s="63"/>
      <c r="D78" s="63"/>
      <c r="E78" s="5">
        <f>PMT(E68,E69,-(E66*(1-E67)))</f>
        <v>11097.026597082517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ht="13.5" thickBot="1">
      <c r="A79" s="62" t="s">
        <v>214</v>
      </c>
      <c r="B79" s="63"/>
      <c r="C79" s="63"/>
      <c r="D79" s="63"/>
      <c r="E79" s="5">
        <f>E66*E67</f>
        <v>19500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</row>
    <row r="80" spans="1:32" ht="13.5" thickTop="1">
      <c r="A80" s="62" t="s">
        <v>215</v>
      </c>
      <c r="B80" s="63"/>
      <c r="C80" s="63"/>
      <c r="D80" s="63"/>
      <c r="E80" s="38">
        <v>0.8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</row>
    <row r="81" spans="1:32" ht="13.5" thickBot="1">
      <c r="A81" s="62" t="s">
        <v>216</v>
      </c>
      <c r="B81" s="63"/>
      <c r="C81" s="63"/>
      <c r="D81" s="63"/>
      <c r="E81" s="40">
        <v>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</row>
    <row r="82" spans="1:32" ht="13.5" thickTop="1">
      <c r="A82" s="62" t="s">
        <v>217</v>
      </c>
      <c r="B82" s="63"/>
      <c r="C82" s="63"/>
      <c r="D82" s="63"/>
      <c r="E82" s="5">
        <f>E79*(1-E75)</f>
        <v>17550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5.75">
      <c r="A83" s="63"/>
      <c r="B83" s="25" t="s">
        <v>218</v>
      </c>
      <c r="C83" s="63"/>
      <c r="D83" s="63"/>
      <c r="E83" s="32">
        <f>H114</f>
        <v>-120297.39432702282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</row>
    <row r="84" spans="1:3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12" t="s">
        <v>219</v>
      </c>
      <c r="M84" s="12" t="s">
        <v>220</v>
      </c>
      <c r="N84" s="66"/>
      <c r="O84" s="66" t="s">
        <v>178</v>
      </c>
      <c r="P84" s="66" t="s">
        <v>178</v>
      </c>
      <c r="Q84" s="66"/>
      <c r="R84" s="66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2.75">
      <c r="A85" s="66"/>
      <c r="B85" s="12"/>
      <c r="C85" s="82"/>
      <c r="D85" s="12"/>
      <c r="E85" s="12" t="s">
        <v>163</v>
      </c>
      <c r="F85" s="12" t="s">
        <v>161</v>
      </c>
      <c r="G85" s="12" t="s">
        <v>178</v>
      </c>
      <c r="H85" s="12" t="s">
        <v>163</v>
      </c>
      <c r="I85" s="12"/>
      <c r="J85" s="12"/>
      <c r="K85" s="12"/>
      <c r="L85" s="12" t="s">
        <v>221</v>
      </c>
      <c r="M85" s="12" t="s">
        <v>222</v>
      </c>
      <c r="N85" s="12" t="s">
        <v>220</v>
      </c>
      <c r="O85" s="66" t="s">
        <v>222</v>
      </c>
      <c r="P85" s="66" t="s">
        <v>222</v>
      </c>
      <c r="Q85" s="66"/>
      <c r="R85" s="66"/>
      <c r="S85" s="63"/>
      <c r="T85" s="63"/>
      <c r="U85" s="63"/>
      <c r="V85" s="63"/>
      <c r="W85" s="63"/>
      <c r="X85" s="63"/>
      <c r="Y85" s="66"/>
      <c r="Z85" s="66"/>
      <c r="AA85" s="66" t="s">
        <v>273</v>
      </c>
      <c r="AB85" s="66" t="s">
        <v>273</v>
      </c>
      <c r="AC85" s="63"/>
      <c r="AD85" s="63"/>
      <c r="AE85" s="63"/>
      <c r="AF85" s="63"/>
    </row>
    <row r="86" spans="1:32" ht="12.75">
      <c r="A86" s="66"/>
      <c r="B86" s="12" t="s">
        <v>223</v>
      </c>
      <c r="C86" s="82" t="s">
        <v>163</v>
      </c>
      <c r="D86" s="12" t="s">
        <v>219</v>
      </c>
      <c r="E86" s="12" t="s">
        <v>176</v>
      </c>
      <c r="F86" s="12" t="s">
        <v>167</v>
      </c>
      <c r="G86" s="12" t="s">
        <v>224</v>
      </c>
      <c r="H86" s="12" t="s">
        <v>225</v>
      </c>
      <c r="I86" s="12" t="s">
        <v>163</v>
      </c>
      <c r="J86" s="12" t="s">
        <v>163</v>
      </c>
      <c r="K86" s="12" t="s">
        <v>163</v>
      </c>
      <c r="L86" s="12" t="s">
        <v>226</v>
      </c>
      <c r="M86" s="12" t="s">
        <v>219</v>
      </c>
      <c r="N86" s="12" t="s">
        <v>222</v>
      </c>
      <c r="O86" s="66" t="s">
        <v>163</v>
      </c>
      <c r="P86" s="66" t="s">
        <v>227</v>
      </c>
      <c r="Q86" s="66" t="s">
        <v>228</v>
      </c>
      <c r="R86" s="66"/>
      <c r="S86" s="63"/>
      <c r="T86" s="63"/>
      <c r="U86" s="63"/>
      <c r="V86" s="63"/>
      <c r="W86" s="63"/>
      <c r="X86" s="63"/>
      <c r="Y86" s="66"/>
      <c r="Z86" s="66" t="s">
        <v>272</v>
      </c>
      <c r="AA86" s="66" t="s">
        <v>275</v>
      </c>
      <c r="AB86" s="66" t="s">
        <v>274</v>
      </c>
      <c r="AC86" s="63"/>
      <c r="AD86" s="63"/>
      <c r="AE86" s="63"/>
      <c r="AF86" s="63"/>
    </row>
    <row r="87" spans="1:32" ht="12.75">
      <c r="A87" s="12" t="s">
        <v>229</v>
      </c>
      <c r="B87" s="12" t="s">
        <v>230</v>
      </c>
      <c r="C87" s="82" t="s">
        <v>231</v>
      </c>
      <c r="D87" s="12" t="s">
        <v>232</v>
      </c>
      <c r="E87" s="12" t="s">
        <v>233</v>
      </c>
      <c r="F87" s="12" t="s">
        <v>177</v>
      </c>
      <c r="G87" s="12" t="s">
        <v>176</v>
      </c>
      <c r="H87" s="12" t="s">
        <v>234</v>
      </c>
      <c r="I87" s="12" t="s">
        <v>160</v>
      </c>
      <c r="J87" s="12" t="s">
        <v>227</v>
      </c>
      <c r="K87" s="12" t="s">
        <v>171</v>
      </c>
      <c r="L87" s="12" t="s">
        <v>235</v>
      </c>
      <c r="M87" s="12" t="s">
        <v>221</v>
      </c>
      <c r="N87" s="12" t="s">
        <v>236</v>
      </c>
      <c r="O87" s="66" t="s">
        <v>225</v>
      </c>
      <c r="P87" s="66" t="s">
        <v>237</v>
      </c>
      <c r="Q87" s="66" t="s">
        <v>238</v>
      </c>
      <c r="R87" s="66" t="s">
        <v>163</v>
      </c>
      <c r="S87" s="63"/>
      <c r="T87" s="63"/>
      <c r="U87" s="63"/>
      <c r="V87" s="63"/>
      <c r="W87" s="63"/>
      <c r="X87" s="63"/>
      <c r="Y87" s="66" t="s">
        <v>229</v>
      </c>
      <c r="Z87" s="66" t="s">
        <v>276</v>
      </c>
      <c r="AA87" s="66" t="s">
        <v>236</v>
      </c>
      <c r="AB87" s="66" t="s">
        <v>236</v>
      </c>
      <c r="AC87" s="63"/>
      <c r="AD87" s="63"/>
      <c r="AE87" s="63"/>
      <c r="AF87" s="63"/>
    </row>
    <row r="88" spans="1:32" ht="13.5" thickBot="1">
      <c r="A88" s="23" t="s">
        <v>120</v>
      </c>
      <c r="B88" s="23" t="s">
        <v>120</v>
      </c>
      <c r="C88" s="23" t="s">
        <v>239</v>
      </c>
      <c r="D88" s="23" t="s">
        <v>182</v>
      </c>
      <c r="E88" s="23" t="s">
        <v>182</v>
      </c>
      <c r="F88" s="89">
        <f>E72*(1-E71)</f>
        <v>0.03950000000000001</v>
      </c>
      <c r="G88" s="23" t="s">
        <v>240</v>
      </c>
      <c r="H88" s="23" t="s">
        <v>239</v>
      </c>
      <c r="I88" s="23" t="s">
        <v>184</v>
      </c>
      <c r="J88" s="23" t="s">
        <v>241</v>
      </c>
      <c r="K88" s="23" t="s">
        <v>182</v>
      </c>
      <c r="L88" s="23" t="s">
        <v>171</v>
      </c>
      <c r="M88" s="23" t="s">
        <v>242</v>
      </c>
      <c r="N88" s="23" t="s">
        <v>243</v>
      </c>
      <c r="O88" s="23" t="s">
        <v>234</v>
      </c>
      <c r="P88" s="23" t="s">
        <v>241</v>
      </c>
      <c r="Q88" s="54" t="s">
        <v>188</v>
      </c>
      <c r="R88" s="67" t="s">
        <v>189</v>
      </c>
      <c r="S88" s="63"/>
      <c r="T88" s="63"/>
      <c r="U88" s="63"/>
      <c r="V88" s="63"/>
      <c r="W88" s="63"/>
      <c r="X88" s="63"/>
      <c r="Y88" s="100" t="s">
        <v>120</v>
      </c>
      <c r="Z88" s="100" t="s">
        <v>177</v>
      </c>
      <c r="AA88" s="100" t="s">
        <v>277</v>
      </c>
      <c r="AB88" s="100" t="s">
        <v>278</v>
      </c>
      <c r="AC88" s="63"/>
      <c r="AD88" s="63"/>
      <c r="AE88" s="63"/>
      <c r="AF88" s="63"/>
    </row>
    <row r="89" spans="1:32" ht="12.75">
      <c r="A89" s="66">
        <v>0</v>
      </c>
      <c r="B89" s="66">
        <f aca="true" t="shared" si="13" ref="B89:B104">IF(A89&lt;E$69,0,(A89-E$69)+1)</f>
        <v>0</v>
      </c>
      <c r="C89" s="90">
        <f aca="true" t="shared" si="14" ref="C89:C101">IF(A89&gt;=$E$24,0,IF(OR(E$70=1,A89&lt;=E$69-1),E$78,IF(AND(A89=E$69,E$70=2),E$79*(1-E$80),0)))</f>
        <v>11097.026597082517</v>
      </c>
      <c r="D89" s="90">
        <f>IF(A89&lt;=(E69-1),C89*E71,IF(AND(A89&gt;=E69,E70=2),0,C89*E71))</f>
        <v>2330.3755853873286</v>
      </c>
      <c r="E89" s="90">
        <f>IF(OR(E70=1,A89&lt;=(E69-1)),C89-D89,0)</f>
        <v>8766.651011695189</v>
      </c>
      <c r="F89" s="91">
        <f aca="true" t="shared" si="15" ref="F89:F104">1/(1+(E$72*(1-E$71)))^A89</f>
        <v>1</v>
      </c>
      <c r="G89" s="90">
        <f aca="true" t="shared" si="16" ref="G89:G104">E89*F89</f>
        <v>8766.651011695189</v>
      </c>
      <c r="H89" s="90">
        <f>E73</f>
        <v>6500</v>
      </c>
      <c r="I89" s="90">
        <f aca="true" t="shared" si="17" ref="I89:I104">IF(A89&gt;=$E$24,0,IF(B89&gt;E$14+1,0,IF(AND(E$70=2,A89&gt;=E$69),E$82*HLOOKUP(E$14,M$27:P$35,(A89-E$69+1)+1),0)))</f>
        <v>0</v>
      </c>
      <c r="J89" s="90">
        <f>IF(B89&gt;$E$81,0,IF(C89&lt;&gt;$E$78,PPMT($E$68,B89,$E$81,$E$79*$E$80),0))</f>
        <v>0</v>
      </c>
      <c r="K89" s="90">
        <f>IF(B89&gt;$E$81,0,IF(C89&lt;&gt;$E$78,IPMT($E$68,B89,$E$81,$E$79*$E$80),0))</f>
        <v>0</v>
      </c>
      <c r="L89" s="90">
        <f aca="true" t="shared" si="18" ref="L89:L104">(H89+I89-K89)*E$71</f>
        <v>1365</v>
      </c>
      <c r="M89" s="90">
        <f aca="true" t="shared" si="19" ref="M89:M104">F89*L89</f>
        <v>1365</v>
      </c>
      <c r="N89" s="90">
        <f aca="true" t="shared" si="20" ref="N89:N104">IF(C89=E$79*(1-$E$80),C89*F89,0)</f>
        <v>0</v>
      </c>
      <c r="O89" s="90">
        <f aca="true" t="shared" si="21" ref="O89:O104">F89*H89</f>
        <v>6500</v>
      </c>
      <c r="P89" s="90">
        <f aca="true" t="shared" si="22" ref="P89:P104">SUM(J89:K89)*F89</f>
        <v>0</v>
      </c>
      <c r="Q89" s="92">
        <f>G89+N89+O89-P89-M89+IF($E$24-1=A89,$H$113,0)</f>
        <v>13901.651011695189</v>
      </c>
      <c r="R89" s="93"/>
      <c r="S89" s="63"/>
      <c r="T89" s="63"/>
      <c r="U89" s="63"/>
      <c r="V89" s="63"/>
      <c r="W89" s="63"/>
      <c r="X89" s="63"/>
      <c r="Y89" s="66">
        <v>0</v>
      </c>
      <c r="Z89" s="66">
        <v>0</v>
      </c>
      <c r="AA89" s="90">
        <f>E73</f>
        <v>6500</v>
      </c>
      <c r="AB89" s="90">
        <f>E74</f>
        <v>8000</v>
      </c>
      <c r="AC89" s="63"/>
      <c r="AD89" s="63"/>
      <c r="AE89" s="63"/>
      <c r="AF89" s="63"/>
    </row>
    <row r="90" spans="1:32" ht="12.75">
      <c r="A90" s="66">
        <f aca="true" t="shared" si="23" ref="A90:A104">A89+1</f>
        <v>1</v>
      </c>
      <c r="B90" s="66">
        <f t="shared" si="13"/>
        <v>0</v>
      </c>
      <c r="C90" s="90">
        <f t="shared" si="14"/>
        <v>11097.026597082517</v>
      </c>
      <c r="D90" s="90">
        <f>IF(A90&lt;=(E69-1),C90*E71,IF(AND(A90&gt;=E69,E70=2),0,C90*E71))</f>
        <v>2330.3755853873286</v>
      </c>
      <c r="E90" s="90">
        <f>IF(OR(E70=1,A90&lt;=(E69-1)),C90-D90,0)</f>
        <v>8766.651011695189</v>
      </c>
      <c r="F90" s="91">
        <f t="shared" si="15"/>
        <v>0.962000962000962</v>
      </c>
      <c r="G90" s="90">
        <f t="shared" si="16"/>
        <v>8433.526706777478</v>
      </c>
      <c r="H90" s="90">
        <f>IF(A90&gt;=$E$24,0,IF(AND(E$70=2,A90&lt;E$69),H89+(H89*E$76),VLOOKUP(A90,Y85:AB100,4)))</f>
        <v>6695</v>
      </c>
      <c r="I90" s="90">
        <f t="shared" si="17"/>
        <v>0</v>
      </c>
      <c r="J90" s="90">
        <f aca="true" t="shared" si="24" ref="J90:J104">IF(B90&gt;$E$81,0,IF(C90&lt;&gt;$E$78,PPMT($E$68,B90,$E$81,$E$79*$E$80),0))</f>
        <v>0</v>
      </c>
      <c r="K90" s="90">
        <f aca="true" t="shared" si="25" ref="K90:K104">IF(B90&gt;$E$81,0,IF(C90&lt;&gt;$E$78,IPMT($E$68,B90,$E$81,$E$79*$E$80),0))</f>
        <v>0</v>
      </c>
      <c r="L90" s="90">
        <f t="shared" si="18"/>
        <v>1405.95</v>
      </c>
      <c r="M90" s="90">
        <f t="shared" si="19"/>
        <v>1352.5252525252524</v>
      </c>
      <c r="N90" s="90">
        <f t="shared" si="20"/>
        <v>0</v>
      </c>
      <c r="O90" s="90">
        <f t="shared" si="21"/>
        <v>6440.5964405964405</v>
      </c>
      <c r="P90" s="90">
        <f t="shared" si="22"/>
        <v>0</v>
      </c>
      <c r="Q90" s="92">
        <f>IF(H90=0,0,G90+N90+O90-P90-M90+IF($E$24-1=A90,$H$113,0)+Q89)</f>
        <v>27423.248906543857</v>
      </c>
      <c r="R90" s="93"/>
      <c r="S90" s="63"/>
      <c r="T90" s="63"/>
      <c r="U90" s="63"/>
      <c r="V90" s="63"/>
      <c r="W90" s="63"/>
      <c r="X90" s="63"/>
      <c r="Y90" s="66">
        <v>1</v>
      </c>
      <c r="Z90" s="101">
        <f>1+$E$76</f>
        <v>1.03</v>
      </c>
      <c r="AA90" s="90">
        <f>$AA$89*Z90</f>
        <v>6695</v>
      </c>
      <c r="AB90" s="90">
        <f>$AB$89*Z90</f>
        <v>8240</v>
      </c>
      <c r="AC90" s="63"/>
      <c r="AD90" s="63"/>
      <c r="AE90" s="63"/>
      <c r="AF90" s="63"/>
    </row>
    <row r="91" spans="1:32" ht="12.75">
      <c r="A91" s="66">
        <f t="shared" si="23"/>
        <v>2</v>
      </c>
      <c r="B91" s="66">
        <f t="shared" si="13"/>
        <v>0</v>
      </c>
      <c r="C91" s="90">
        <f t="shared" si="14"/>
        <v>11097.026597082517</v>
      </c>
      <c r="D91" s="90">
        <f>IF(A91&lt;=(E69-1),C91*E71,IF(AND(A91&gt;=E69,E70=2),0,C91*E71))</f>
        <v>2330.3755853873286</v>
      </c>
      <c r="E91" s="90">
        <f>IF(OR(E70=1,A91&lt;=(E69-1)),C91-D91,0)</f>
        <v>8766.651011695189</v>
      </c>
      <c r="F91" s="91">
        <f t="shared" si="15"/>
        <v>0.9254458508907761</v>
      </c>
      <c r="G91" s="90">
        <f t="shared" si="16"/>
        <v>8113.060804980737</v>
      </c>
      <c r="H91" s="90">
        <f aca="true" t="shared" si="26" ref="H91:H104">IF(A91&gt;=$E$24,0,IF(AND(E$70=2,A91&lt;E$69),H90+(H90*E$76),VLOOKUP(A91,Y86:AB101,4)))</f>
        <v>6895.85</v>
      </c>
      <c r="I91" s="90">
        <f t="shared" si="17"/>
        <v>0</v>
      </c>
      <c r="J91" s="90">
        <f t="shared" si="24"/>
        <v>0</v>
      </c>
      <c r="K91" s="90">
        <f t="shared" si="25"/>
        <v>0</v>
      </c>
      <c r="L91" s="90">
        <f t="shared" si="18"/>
        <v>1448.1285</v>
      </c>
      <c r="M91" s="90">
        <f t="shared" si="19"/>
        <v>1340.1645118816834</v>
      </c>
      <c r="N91" s="90">
        <f t="shared" si="20"/>
        <v>0</v>
      </c>
      <c r="O91" s="90">
        <f t="shared" si="21"/>
        <v>6381.735770865159</v>
      </c>
      <c r="P91" s="90">
        <f t="shared" si="22"/>
        <v>0</v>
      </c>
      <c r="Q91" s="92">
        <f aca="true" t="shared" si="27" ref="Q91:Q104">IF(H91=0,0,G91+N91+O91-P91-M91+IF($E$24-1=A91,$H$113,0)+Q90)</f>
        <v>40577.88097050807</v>
      </c>
      <c r="R91" s="90">
        <f>Q91*($E$8/(1-(1/(1+$E$8)^(A91+1))))</f>
        <v>14900.545426957775</v>
      </c>
      <c r="S91" s="63"/>
      <c r="T91" s="63"/>
      <c r="U91" s="63"/>
      <c r="V91" s="63"/>
      <c r="W91" s="63"/>
      <c r="X91" s="63"/>
      <c r="Y91" s="66">
        <v>2</v>
      </c>
      <c r="Z91" s="101">
        <f>Z90*(1+$E$76)</f>
        <v>1.0609</v>
      </c>
      <c r="AA91" s="90">
        <f>$AA$89*Z91</f>
        <v>6895.849999999999</v>
      </c>
      <c r="AB91" s="90">
        <f>$AB$89*Z91</f>
        <v>8487.199999999999</v>
      </c>
      <c r="AC91" s="63"/>
      <c r="AD91" s="63"/>
      <c r="AE91" s="63"/>
      <c r="AF91" s="63"/>
    </row>
    <row r="92" spans="1:32" ht="12.75">
      <c r="A92" s="66">
        <f t="shared" si="23"/>
        <v>3</v>
      </c>
      <c r="B92" s="66">
        <f t="shared" si="13"/>
        <v>0</v>
      </c>
      <c r="C92" s="90">
        <f t="shared" si="14"/>
        <v>11097.026597082517</v>
      </c>
      <c r="D92" s="90">
        <f>IF(A92&lt;=(E69-1),C92*E71,IF(AND(A92&gt;=E69,E70=2),0,C92*E71))</f>
        <v>2330.3755853873286</v>
      </c>
      <c r="E92" s="90">
        <f>IF(OR(E70=1,A92&lt;=(E69-1)),C92-D92,0)</f>
        <v>8766.651011695189</v>
      </c>
      <c r="F92" s="91">
        <f t="shared" si="15"/>
        <v>0.8902797988367254</v>
      </c>
      <c r="G92" s="90">
        <f t="shared" si="16"/>
        <v>7804.7722991637675</v>
      </c>
      <c r="H92" s="90">
        <f t="shared" si="26"/>
        <v>7102.7255000000005</v>
      </c>
      <c r="I92" s="90">
        <f t="shared" si="17"/>
        <v>0</v>
      </c>
      <c r="J92" s="90">
        <f t="shared" si="24"/>
        <v>0</v>
      </c>
      <c r="K92" s="90">
        <f t="shared" si="25"/>
        <v>0</v>
      </c>
      <c r="L92" s="90">
        <f t="shared" si="18"/>
        <v>1491.572355</v>
      </c>
      <c r="M92" s="90">
        <f t="shared" si="19"/>
        <v>1327.9167361598206</v>
      </c>
      <c r="N92" s="90">
        <f t="shared" si="20"/>
        <v>0</v>
      </c>
      <c r="O92" s="90">
        <f t="shared" si="21"/>
        <v>6323.41302933248</v>
      </c>
      <c r="P92" s="90">
        <f t="shared" si="22"/>
        <v>0</v>
      </c>
      <c r="Q92" s="92">
        <f t="shared" si="27"/>
        <v>53378.1495628445</v>
      </c>
      <c r="R92" s="90">
        <f aca="true" t="shared" si="28" ref="R92:R104">Q92*($E$8/(1-(1/(1+$E$8)^(A92+1))))</f>
        <v>15053.2697791995</v>
      </c>
      <c r="S92" s="63"/>
      <c r="T92" s="63"/>
      <c r="U92" s="63"/>
      <c r="V92" s="63"/>
      <c r="W92" s="63"/>
      <c r="X92" s="63"/>
      <c r="Y92" s="66">
        <v>3</v>
      </c>
      <c r="Z92" s="101">
        <f aca="true" t="shared" si="29" ref="Z92:Z104">Z91*(1+$E$76)</f>
        <v>1.092727</v>
      </c>
      <c r="AA92" s="90">
        <f>$AA$89*Z92</f>
        <v>7102.7255000000005</v>
      </c>
      <c r="AB92" s="90">
        <f>$AB$89*Z92</f>
        <v>8741.816</v>
      </c>
      <c r="AC92" s="63"/>
      <c r="AD92" s="63"/>
      <c r="AE92" s="63"/>
      <c r="AF92" s="63"/>
    </row>
    <row r="93" spans="1:32" ht="12.75">
      <c r="A93" s="66">
        <f t="shared" si="23"/>
        <v>4</v>
      </c>
      <c r="B93" s="66">
        <f t="shared" si="13"/>
        <v>0</v>
      </c>
      <c r="C93" s="90">
        <f t="shared" si="14"/>
        <v>11097.026597082517</v>
      </c>
      <c r="D93" s="90">
        <f>IF(A93&lt;=(E69-1),C93*E71,IF(AND(A93&gt;=E69,E70=2),0,C93*E71))</f>
        <v>2330.3755853873286</v>
      </c>
      <c r="E93" s="90">
        <f>IF(OR(E70=1,A93&lt;=(E69-1)),C93-D93,0)</f>
        <v>8766.651011695189</v>
      </c>
      <c r="F93" s="91">
        <f t="shared" si="15"/>
        <v>0.8564500229309527</v>
      </c>
      <c r="G93" s="90">
        <f t="shared" si="16"/>
        <v>7508.198459994004</v>
      </c>
      <c r="H93" s="90">
        <f t="shared" si="26"/>
        <v>7315.807265</v>
      </c>
      <c r="I93" s="90">
        <f t="shared" si="17"/>
        <v>0</v>
      </c>
      <c r="J93" s="90">
        <f t="shared" si="24"/>
        <v>0</v>
      </c>
      <c r="K93" s="90">
        <f t="shared" si="25"/>
        <v>0</v>
      </c>
      <c r="L93" s="90">
        <f t="shared" si="18"/>
        <v>1536.31952565</v>
      </c>
      <c r="M93" s="90">
        <f t="shared" si="19"/>
        <v>1315.780892972213</v>
      </c>
      <c r="N93" s="90">
        <f t="shared" si="20"/>
        <v>0</v>
      </c>
      <c r="O93" s="90">
        <f t="shared" si="21"/>
        <v>6265.6232998676805</v>
      </c>
      <c r="P93" s="90">
        <f t="shared" si="22"/>
        <v>0</v>
      </c>
      <c r="Q93" s="92">
        <f t="shared" si="27"/>
        <v>65836.19042973396</v>
      </c>
      <c r="R93" s="90">
        <f t="shared" si="28"/>
        <v>15206.500794042018</v>
      </c>
      <c r="S93" s="63"/>
      <c r="T93" s="63"/>
      <c r="U93" s="63"/>
      <c r="V93" s="63"/>
      <c r="W93" s="63"/>
      <c r="X93" s="63"/>
      <c r="Y93" s="66">
        <v>4</v>
      </c>
      <c r="Z93" s="101">
        <f t="shared" si="29"/>
        <v>1.1255088100000001</v>
      </c>
      <c r="AA93" s="90">
        <f>$AA$89*Z93</f>
        <v>7315.807265000001</v>
      </c>
      <c r="AB93" s="90">
        <f>$AB$89*Z93</f>
        <v>9004.07048</v>
      </c>
      <c r="AC93" s="63"/>
      <c r="AD93" s="63"/>
      <c r="AE93" s="63"/>
      <c r="AF93" s="63"/>
    </row>
    <row r="94" spans="1:32" ht="12.75">
      <c r="A94" s="66">
        <f t="shared" si="23"/>
        <v>5</v>
      </c>
      <c r="B94" s="66">
        <f t="shared" si="13"/>
        <v>1</v>
      </c>
      <c r="C94" s="90">
        <f t="shared" si="14"/>
        <v>3899.999999999999</v>
      </c>
      <c r="D94" s="90">
        <f>IF(A94&lt;=(E69-1),C94*E71,IF(AND(A94&gt;=E69,E70=2),0,C94*E71))</f>
        <v>0</v>
      </c>
      <c r="E94" s="90">
        <f>IF(OR(E70=1,A94&lt;=(E69-1)),C94-D94,0)</f>
        <v>0</v>
      </c>
      <c r="F94" s="91">
        <f t="shared" si="15"/>
        <v>0.8239057459653225</v>
      </c>
      <c r="G94" s="90">
        <f t="shared" si="16"/>
        <v>0</v>
      </c>
      <c r="H94" s="90">
        <f t="shared" si="26"/>
        <v>9274.192594400001</v>
      </c>
      <c r="I94" s="90">
        <f t="shared" si="17"/>
        <v>1879.605</v>
      </c>
      <c r="J94" s="90">
        <f t="shared" si="24"/>
        <v>-2712.6948332854345</v>
      </c>
      <c r="K94" s="90">
        <f t="shared" si="25"/>
        <v>-1092</v>
      </c>
      <c r="L94" s="90">
        <f t="shared" si="18"/>
        <v>2571.617494824</v>
      </c>
      <c r="M94" s="90">
        <f t="shared" si="19"/>
        <v>2118.770430410442</v>
      </c>
      <c r="N94" s="90">
        <f t="shared" si="20"/>
        <v>3213.232409264757</v>
      </c>
      <c r="O94" s="90">
        <f t="shared" si="21"/>
        <v>7641.0605677152025</v>
      </c>
      <c r="P94" s="90">
        <f>SUM(J94:K94)*F94</f>
        <v>-3134.709934788444</v>
      </c>
      <c r="Q94" s="92">
        <f t="shared" si="27"/>
        <v>77706.42291109193</v>
      </c>
      <c r="R94" s="90">
        <f t="shared" si="28"/>
        <v>15309.522697842856</v>
      </c>
      <c r="S94" s="63"/>
      <c r="T94" s="63"/>
      <c r="U94" s="63"/>
      <c r="V94" s="63"/>
      <c r="W94" s="63"/>
      <c r="X94" s="63"/>
      <c r="Y94" s="66">
        <v>5</v>
      </c>
      <c r="Z94" s="101">
        <f t="shared" si="29"/>
        <v>1.1592740743</v>
      </c>
      <c r="AA94" s="90">
        <f>$AA$89*Z94</f>
        <v>7535.28148295</v>
      </c>
      <c r="AB94" s="90">
        <f>$AB$89*Z94</f>
        <v>9274.192594400001</v>
      </c>
      <c r="AC94" s="63"/>
      <c r="AD94" s="63"/>
      <c r="AE94" s="63"/>
      <c r="AF94" s="63"/>
    </row>
    <row r="95" spans="1:32" ht="12.75">
      <c r="A95" s="66">
        <f t="shared" si="23"/>
        <v>6</v>
      </c>
      <c r="B95" s="66">
        <f t="shared" si="13"/>
        <v>2</v>
      </c>
      <c r="C95" s="90">
        <f t="shared" si="14"/>
        <v>0</v>
      </c>
      <c r="D95" s="90">
        <f>IF(A95&lt;=(E69-1),C95*E71,IF(AND(A95&gt;=E69,E70=2),0,C95*E71))</f>
        <v>0</v>
      </c>
      <c r="E95" s="90">
        <f>IF(OR(E70=1,A95&lt;=(E69-1)),C95-D95,0)</f>
        <v>0</v>
      </c>
      <c r="F95" s="91">
        <f t="shared" si="15"/>
        <v>0.7925981202167602</v>
      </c>
      <c r="G95" s="90">
        <f t="shared" si="16"/>
        <v>0</v>
      </c>
      <c r="H95" s="90">
        <f t="shared" si="26"/>
        <v>9552.418372232001</v>
      </c>
      <c r="I95" s="90">
        <f t="shared" si="17"/>
        <v>3357.315</v>
      </c>
      <c r="J95" s="90">
        <f t="shared" si="24"/>
        <v>-2902.583471615415</v>
      </c>
      <c r="K95" s="90">
        <f t="shared" si="25"/>
        <v>-902.1113616700195</v>
      </c>
      <c r="L95" s="90">
        <f t="shared" si="18"/>
        <v>2900.487394119424</v>
      </c>
      <c r="M95" s="90">
        <f t="shared" si="19"/>
        <v>2298.920856291465</v>
      </c>
      <c r="N95" s="90">
        <f t="shared" si="20"/>
        <v>0</v>
      </c>
      <c r="O95" s="90">
        <f t="shared" si="21"/>
        <v>7571.228845355129</v>
      </c>
      <c r="P95" s="90">
        <f t="shared" si="22"/>
        <v>-3015.5939728604553</v>
      </c>
      <c r="Q95" s="92">
        <f t="shared" si="27"/>
        <v>85994.32487301604</v>
      </c>
      <c r="R95" s="90">
        <f t="shared" si="28"/>
        <v>14861.523611955654</v>
      </c>
      <c r="S95" s="63"/>
      <c r="T95" s="63"/>
      <c r="U95" s="63"/>
      <c r="V95" s="63"/>
      <c r="W95" s="63"/>
      <c r="X95" s="63"/>
      <c r="Y95" s="66">
        <v>6</v>
      </c>
      <c r="Z95" s="101">
        <f t="shared" si="29"/>
        <v>1.1940522965290001</v>
      </c>
      <c r="AA95" s="90">
        <f>$AA$89*Z95</f>
        <v>7761.339927438501</v>
      </c>
      <c r="AB95" s="90">
        <f>$AB$89*Z95</f>
        <v>9552.418372232001</v>
      </c>
      <c r="AC95" s="63"/>
      <c r="AD95" s="63"/>
      <c r="AE95" s="63"/>
      <c r="AF95" s="63"/>
    </row>
    <row r="96" spans="1:32" ht="12.75">
      <c r="A96" s="66">
        <f t="shared" si="23"/>
        <v>7</v>
      </c>
      <c r="B96" s="66">
        <f t="shared" si="13"/>
        <v>3</v>
      </c>
      <c r="C96" s="90">
        <f t="shared" si="14"/>
        <v>0</v>
      </c>
      <c r="D96" s="90">
        <f>IF(A96&lt;=(E69-1),C96*E71,IF(AND(A96&gt;=E69,E70=2),0,C96*E71))</f>
        <v>0</v>
      </c>
      <c r="E96" s="90">
        <f>IF(OR(E70=1,A96&lt;=(E69-1)),C96-D96,0)</f>
        <v>0</v>
      </c>
      <c r="F96" s="91">
        <f t="shared" si="15"/>
        <v>0.7624801541286774</v>
      </c>
      <c r="G96" s="90">
        <f t="shared" si="16"/>
        <v>0</v>
      </c>
      <c r="H96" s="90">
        <f t="shared" si="26"/>
        <v>9838.990923398962</v>
      </c>
      <c r="I96" s="90">
        <f t="shared" si="17"/>
        <v>2637.765</v>
      </c>
      <c r="J96" s="90">
        <f t="shared" si="24"/>
        <v>-3105.764314628494</v>
      </c>
      <c r="K96" s="90">
        <f t="shared" si="25"/>
        <v>-698.9305186569404</v>
      </c>
      <c r="L96" s="90">
        <f t="shared" si="18"/>
        <v>2766.894152831739</v>
      </c>
      <c r="M96" s="90">
        <f t="shared" si="19"/>
        <v>2109.7018801088807</v>
      </c>
      <c r="N96" s="90">
        <f t="shared" si="20"/>
        <v>0</v>
      </c>
      <c r="O96" s="90">
        <f t="shared" si="21"/>
        <v>7502.0353157438985</v>
      </c>
      <c r="P96" s="90">
        <f t="shared" si="22"/>
        <v>-2901.004302896061</v>
      </c>
      <c r="Q96" s="92">
        <f t="shared" si="27"/>
        <v>94287.66261154712</v>
      </c>
      <c r="R96" s="90">
        <f t="shared" si="28"/>
        <v>14588.358161973474</v>
      </c>
      <c r="S96" s="63"/>
      <c r="T96" s="63"/>
      <c r="U96" s="63"/>
      <c r="V96" s="63"/>
      <c r="W96" s="63"/>
      <c r="X96" s="63"/>
      <c r="Y96" s="66">
        <v>7</v>
      </c>
      <c r="Z96" s="101">
        <f t="shared" si="29"/>
        <v>1.2298738654248702</v>
      </c>
      <c r="AA96" s="90">
        <f>$AA$89*Z96</f>
        <v>7994.180125261656</v>
      </c>
      <c r="AB96" s="90">
        <f>$AB$89*Z96</f>
        <v>9838.990923398962</v>
      </c>
      <c r="AC96" s="63"/>
      <c r="AD96" s="63"/>
      <c r="AE96" s="63"/>
      <c r="AF96" s="63"/>
    </row>
    <row r="97" spans="1:32" ht="12.75">
      <c r="A97" s="66">
        <f t="shared" si="23"/>
        <v>8</v>
      </c>
      <c r="B97" s="66">
        <f t="shared" si="13"/>
        <v>4</v>
      </c>
      <c r="C97" s="90">
        <f t="shared" si="14"/>
        <v>0</v>
      </c>
      <c r="D97" s="90">
        <f>IF(A97&lt;=(E69-1),C97*E71,IF(AND(A97&gt;=E69,E70=2),0,C97*E71))</f>
        <v>0</v>
      </c>
      <c r="E97" s="90">
        <f>IF(OR(E70=1,A97&lt;=(E69-1)),C97-D97,0)</f>
        <v>0</v>
      </c>
      <c r="F97" s="91">
        <f t="shared" si="15"/>
        <v>0.7335066417784294</v>
      </c>
      <c r="G97" s="90">
        <f t="shared" si="16"/>
        <v>0</v>
      </c>
      <c r="H97" s="90">
        <f t="shared" si="26"/>
        <v>10134.16065110093</v>
      </c>
      <c r="I97" s="90">
        <f t="shared" si="17"/>
        <v>2149.875</v>
      </c>
      <c r="J97" s="90">
        <f t="shared" si="24"/>
        <v>-3323.167816652489</v>
      </c>
      <c r="K97" s="90">
        <f t="shared" si="25"/>
        <v>-481.52701663294573</v>
      </c>
      <c r="L97" s="90">
        <f t="shared" si="18"/>
        <v>2680.768160224114</v>
      </c>
      <c r="M97" s="90">
        <f t="shared" si="19"/>
        <v>1966.3612505925284</v>
      </c>
      <c r="N97" s="90">
        <f t="shared" si="20"/>
        <v>0</v>
      </c>
      <c r="O97" s="90">
        <f t="shared" si="21"/>
        <v>7433.474146432145</v>
      </c>
      <c r="P97" s="90">
        <f t="shared" si="22"/>
        <v>-2790.7689301549403</v>
      </c>
      <c r="Q97" s="92">
        <f t="shared" si="27"/>
        <v>102545.54443754167</v>
      </c>
      <c r="R97" s="90">
        <f t="shared" si="28"/>
        <v>14427.140848078438</v>
      </c>
      <c r="S97" s="63"/>
      <c r="T97" s="63"/>
      <c r="U97" s="63"/>
      <c r="V97" s="63"/>
      <c r="W97" s="63"/>
      <c r="X97" s="63"/>
      <c r="Y97" s="66">
        <v>8</v>
      </c>
      <c r="Z97" s="101">
        <f t="shared" si="29"/>
        <v>1.2667700813876164</v>
      </c>
      <c r="AA97" s="90">
        <f>$AA$89*Z97</f>
        <v>8234.005529019507</v>
      </c>
      <c r="AB97" s="90">
        <f>$AB$89*Z97</f>
        <v>10134.16065110093</v>
      </c>
      <c r="AC97" s="63"/>
      <c r="AD97" s="63"/>
      <c r="AE97" s="63"/>
      <c r="AF97" s="63"/>
    </row>
    <row r="98" spans="1:32" ht="12.75">
      <c r="A98" s="66">
        <f t="shared" si="23"/>
        <v>9</v>
      </c>
      <c r="B98" s="66">
        <f t="shared" si="13"/>
        <v>5</v>
      </c>
      <c r="C98" s="90">
        <f t="shared" si="14"/>
        <v>0</v>
      </c>
      <c r="D98" s="90">
        <f aca="true" t="shared" si="30" ref="D98:D104">IF(A98&lt;=(E$69-1),C98*E$71,IF(AND(A98&gt;=E$69,E$70=2),0,C98*E$71))</f>
        <v>0</v>
      </c>
      <c r="E98" s="90">
        <f aca="true" t="shared" si="31" ref="E98:E104">IF(OR(E$70=1,A98&lt;=(E$69-1)),C98-D98,0)</f>
        <v>0</v>
      </c>
      <c r="F98" s="91">
        <f t="shared" si="15"/>
        <v>0.7056340950249441</v>
      </c>
      <c r="G98" s="90">
        <f t="shared" si="16"/>
        <v>0</v>
      </c>
      <c r="H98" s="90">
        <f t="shared" si="26"/>
        <v>10438.18547063396</v>
      </c>
      <c r="I98" s="90">
        <f t="shared" si="17"/>
        <v>2149.875</v>
      </c>
      <c r="J98" s="90">
        <f t="shared" si="24"/>
        <v>-3555.7895638181626</v>
      </c>
      <c r="K98" s="90">
        <f t="shared" si="25"/>
        <v>-248.90526946727186</v>
      </c>
      <c r="L98" s="90">
        <f t="shared" si="18"/>
        <v>2695.7628054212587</v>
      </c>
      <c r="M98" s="90">
        <f t="shared" si="19"/>
        <v>1902.2221476053344</v>
      </c>
      <c r="N98" s="90">
        <f t="shared" si="20"/>
        <v>0</v>
      </c>
      <c r="O98" s="90">
        <f t="shared" si="21"/>
        <v>7365.5395582733145</v>
      </c>
      <c r="P98" s="90">
        <f t="shared" si="22"/>
        <v>-2684.722395531448</v>
      </c>
      <c r="Q98" s="92">
        <f t="shared" si="27"/>
        <v>110693.58424374109</v>
      </c>
      <c r="R98" s="90">
        <f t="shared" si="28"/>
        <v>14335.325578888662</v>
      </c>
      <c r="S98" s="63"/>
      <c r="T98" s="63"/>
      <c r="U98" s="63"/>
      <c r="V98" s="63"/>
      <c r="W98" s="63"/>
      <c r="X98" s="63"/>
      <c r="Y98" s="66">
        <v>9</v>
      </c>
      <c r="Z98" s="101">
        <f t="shared" si="29"/>
        <v>1.304773183829245</v>
      </c>
      <c r="AA98" s="90">
        <f>$AA$89*Z98</f>
        <v>8481.025694890091</v>
      </c>
      <c r="AB98" s="90">
        <f>$AB$89*Z98</f>
        <v>10438.18547063396</v>
      </c>
      <c r="AC98" s="63"/>
      <c r="AD98" s="63"/>
      <c r="AE98" s="63"/>
      <c r="AF98" s="63"/>
    </row>
    <row r="99" spans="1:32" ht="12.75">
      <c r="A99" s="66">
        <f t="shared" si="23"/>
        <v>10</v>
      </c>
      <c r="B99" s="66">
        <f t="shared" si="13"/>
        <v>6</v>
      </c>
      <c r="C99" s="90">
        <f t="shared" si="14"/>
        <v>0</v>
      </c>
      <c r="D99" s="90">
        <f t="shared" si="30"/>
        <v>0</v>
      </c>
      <c r="E99" s="90">
        <f t="shared" si="31"/>
        <v>0</v>
      </c>
      <c r="F99" s="91">
        <f t="shared" si="15"/>
        <v>0.6788206782346743</v>
      </c>
      <c r="G99" s="90">
        <f t="shared" si="16"/>
        <v>0</v>
      </c>
      <c r="H99" s="90">
        <f t="shared" si="26"/>
        <v>10751.331034752979</v>
      </c>
      <c r="I99" s="90">
        <f t="shared" si="17"/>
        <v>2149.875</v>
      </c>
      <c r="J99" s="90">
        <f t="shared" si="24"/>
        <v>0</v>
      </c>
      <c r="K99" s="90">
        <f t="shared" si="25"/>
        <v>0</v>
      </c>
      <c r="L99" s="90">
        <f t="shared" si="18"/>
        <v>2709.2532672981256</v>
      </c>
      <c r="M99" s="90">
        <f t="shared" si="19"/>
        <v>1839.0971404168208</v>
      </c>
      <c r="N99" s="90">
        <f t="shared" si="20"/>
        <v>0</v>
      </c>
      <c r="O99" s="90">
        <f t="shared" si="21"/>
        <v>7298.2258249365195</v>
      </c>
      <c r="P99" s="90">
        <f t="shared" si="22"/>
        <v>0</v>
      </c>
      <c r="Q99" s="92">
        <f t="shared" si="27"/>
        <v>116152.7129282608</v>
      </c>
      <c r="R99" s="90">
        <f t="shared" si="28"/>
        <v>13983.496353067105</v>
      </c>
      <c r="S99" s="63"/>
      <c r="T99" s="63"/>
      <c r="U99" s="63"/>
      <c r="V99" s="63"/>
      <c r="W99" s="63"/>
      <c r="X99" s="63"/>
      <c r="Y99" s="66">
        <v>10</v>
      </c>
      <c r="Z99" s="101">
        <f t="shared" si="29"/>
        <v>1.3439163793441222</v>
      </c>
      <c r="AA99" s="90">
        <f>$AA$89*Z99</f>
        <v>8735.456465736794</v>
      </c>
      <c r="AB99" s="90">
        <f>$AB$89*Z99</f>
        <v>10751.331034752979</v>
      </c>
      <c r="AC99" s="63"/>
      <c r="AD99" s="63"/>
      <c r="AE99" s="63"/>
      <c r="AF99" s="63"/>
    </row>
    <row r="100" spans="1:32" ht="12.75">
      <c r="A100" s="66">
        <f t="shared" si="23"/>
        <v>11</v>
      </c>
      <c r="B100" s="66">
        <f t="shared" si="13"/>
        <v>7</v>
      </c>
      <c r="C100" s="90">
        <f t="shared" si="14"/>
        <v>0</v>
      </c>
      <c r="D100" s="90">
        <f t="shared" si="30"/>
        <v>0</v>
      </c>
      <c r="E100" s="90">
        <f t="shared" si="31"/>
        <v>0</v>
      </c>
      <c r="F100" s="91">
        <f t="shared" si="15"/>
        <v>0.653026145487902</v>
      </c>
      <c r="G100" s="90">
        <f t="shared" si="16"/>
        <v>0</v>
      </c>
      <c r="H100" s="90">
        <f t="shared" si="26"/>
        <v>11073.870965795568</v>
      </c>
      <c r="I100" s="90">
        <f t="shared" si="17"/>
        <v>2149.875</v>
      </c>
      <c r="J100" s="90">
        <f t="shared" si="24"/>
        <v>0</v>
      </c>
      <c r="K100" s="90">
        <f t="shared" si="25"/>
        <v>0</v>
      </c>
      <c r="L100" s="90">
        <f t="shared" si="18"/>
        <v>2776.986652817069</v>
      </c>
      <c r="M100" s="90">
        <f t="shared" si="19"/>
        <v>1813.4448899604815</v>
      </c>
      <c r="N100" s="90">
        <f t="shared" si="20"/>
        <v>0</v>
      </c>
      <c r="O100" s="90">
        <f t="shared" si="21"/>
        <v>7231.527272423871</v>
      </c>
      <c r="P100" s="90">
        <f t="shared" si="22"/>
        <v>0</v>
      </c>
      <c r="Q100" s="92">
        <f t="shared" si="27"/>
        <v>120297.39432702278</v>
      </c>
      <c r="R100" s="90">
        <f t="shared" si="28"/>
        <v>13572.602839382056</v>
      </c>
      <c r="S100" s="63"/>
      <c r="T100" s="63"/>
      <c r="U100" s="63"/>
      <c r="V100" s="63"/>
      <c r="W100" s="63"/>
      <c r="X100" s="63"/>
      <c r="Y100" s="66">
        <v>11</v>
      </c>
      <c r="Z100" s="101">
        <f t="shared" si="29"/>
        <v>1.384233870724446</v>
      </c>
      <c r="AA100" s="90">
        <f>$AA$89*Z100</f>
        <v>8997.520159708898</v>
      </c>
      <c r="AB100" s="90">
        <f>$AB$89*Z100</f>
        <v>11073.870965795568</v>
      </c>
      <c r="AC100" s="63"/>
      <c r="AD100" s="63"/>
      <c r="AE100" s="63"/>
      <c r="AF100" s="63"/>
    </row>
    <row r="101" spans="1:32" ht="12.75">
      <c r="A101" s="66">
        <f t="shared" si="23"/>
        <v>12</v>
      </c>
      <c r="B101" s="66">
        <f t="shared" si="13"/>
        <v>8</v>
      </c>
      <c r="C101" s="90">
        <f t="shared" si="14"/>
        <v>0</v>
      </c>
      <c r="D101" s="90">
        <f t="shared" si="30"/>
        <v>0</v>
      </c>
      <c r="E101" s="90">
        <f t="shared" si="31"/>
        <v>0</v>
      </c>
      <c r="F101" s="91">
        <f t="shared" si="15"/>
        <v>0.628211780171142</v>
      </c>
      <c r="G101" s="90">
        <f t="shared" si="16"/>
        <v>0</v>
      </c>
      <c r="H101" s="90">
        <f t="shared" si="26"/>
        <v>0</v>
      </c>
      <c r="I101" s="90">
        <f t="shared" si="17"/>
        <v>0</v>
      </c>
      <c r="J101" s="90">
        <f t="shared" si="24"/>
        <v>0</v>
      </c>
      <c r="K101" s="90">
        <f t="shared" si="25"/>
        <v>0</v>
      </c>
      <c r="L101" s="90">
        <f t="shared" si="18"/>
        <v>0</v>
      </c>
      <c r="M101" s="90">
        <f t="shared" si="19"/>
        <v>0</v>
      </c>
      <c r="N101" s="90">
        <f t="shared" si="20"/>
        <v>0</v>
      </c>
      <c r="O101" s="90">
        <f t="shared" si="21"/>
        <v>0</v>
      </c>
      <c r="P101" s="90">
        <f t="shared" si="22"/>
        <v>0</v>
      </c>
      <c r="Q101" s="92">
        <f t="shared" si="27"/>
        <v>0</v>
      </c>
      <c r="R101" s="90">
        <f t="shared" si="28"/>
        <v>0</v>
      </c>
      <c r="S101" s="63"/>
      <c r="T101" s="63"/>
      <c r="U101" s="63"/>
      <c r="V101" s="63"/>
      <c r="W101" s="63"/>
      <c r="X101" s="63"/>
      <c r="Y101" s="66">
        <v>12</v>
      </c>
      <c r="Z101" s="101">
        <f t="shared" si="29"/>
        <v>1.4257608868461793</v>
      </c>
      <c r="AA101" s="90">
        <f>$AA$89*Z101</f>
        <v>9267.445764500166</v>
      </c>
      <c r="AB101" s="90">
        <f>$AB$89*Z101</f>
        <v>11406.087094769435</v>
      </c>
      <c r="AC101" s="63"/>
      <c r="AD101" s="63"/>
      <c r="AE101" s="63"/>
      <c r="AF101" s="63"/>
    </row>
    <row r="102" spans="1:32" ht="12.75">
      <c r="A102" s="66">
        <f t="shared" si="23"/>
        <v>13</v>
      </c>
      <c r="B102" s="66">
        <f t="shared" si="13"/>
        <v>9</v>
      </c>
      <c r="C102" s="90">
        <f>IF(A102&gt;=$E$24,0,IF(OR(E$70=1,A102&lt;=E$69-1),E$78,IF(AND(A102=E$69,E$70=2),E$79*(1-E$80),0)))</f>
        <v>0</v>
      </c>
      <c r="D102" s="90">
        <f t="shared" si="30"/>
        <v>0</v>
      </c>
      <c r="E102" s="90">
        <f t="shared" si="31"/>
        <v>0</v>
      </c>
      <c r="F102" s="91">
        <f t="shared" si="15"/>
        <v>0.6043403368649755</v>
      </c>
      <c r="G102" s="90">
        <f t="shared" si="16"/>
        <v>0</v>
      </c>
      <c r="H102" s="90">
        <f t="shared" si="26"/>
        <v>0</v>
      </c>
      <c r="I102" s="90">
        <f t="shared" si="17"/>
        <v>0</v>
      </c>
      <c r="J102" s="90">
        <f t="shared" si="24"/>
        <v>0</v>
      </c>
      <c r="K102" s="90">
        <f t="shared" si="25"/>
        <v>0</v>
      </c>
      <c r="L102" s="90">
        <f t="shared" si="18"/>
        <v>0</v>
      </c>
      <c r="M102" s="90">
        <f t="shared" si="19"/>
        <v>0</v>
      </c>
      <c r="N102" s="90">
        <f t="shared" si="20"/>
        <v>0</v>
      </c>
      <c r="O102" s="90">
        <f t="shared" si="21"/>
        <v>0</v>
      </c>
      <c r="P102" s="90">
        <f t="shared" si="22"/>
        <v>0</v>
      </c>
      <c r="Q102" s="92">
        <f t="shared" si="27"/>
        <v>0</v>
      </c>
      <c r="R102" s="90">
        <f t="shared" si="28"/>
        <v>0</v>
      </c>
      <c r="S102" s="63"/>
      <c r="T102" s="63"/>
      <c r="U102" s="63"/>
      <c r="V102" s="63"/>
      <c r="W102" s="63"/>
      <c r="X102" s="63"/>
      <c r="Y102" s="66">
        <v>13</v>
      </c>
      <c r="Z102" s="101">
        <f t="shared" si="29"/>
        <v>1.4685337134515648</v>
      </c>
      <c r="AA102" s="90">
        <f>$AA$89*Z102</f>
        <v>9545.469137435171</v>
      </c>
      <c r="AB102" s="90">
        <f>$AB$89*Z102</f>
        <v>11748.269707612519</v>
      </c>
      <c r="AC102" s="63"/>
      <c r="AD102" s="63"/>
      <c r="AE102" s="63"/>
      <c r="AF102" s="63"/>
    </row>
    <row r="103" spans="1:32" ht="12.75">
      <c r="A103" s="66">
        <f t="shared" si="23"/>
        <v>14</v>
      </c>
      <c r="B103" s="66">
        <f t="shared" si="13"/>
        <v>10</v>
      </c>
      <c r="C103" s="90">
        <f>IF(A103&gt;=$E$24,0,IF(OR(E$70=1,A103&lt;=E$69-1),E$78,IF(AND(A103=E$69,E$70=2),E$79*(1-E$80),0)))</f>
        <v>0</v>
      </c>
      <c r="D103" s="90">
        <f t="shared" si="30"/>
        <v>0</v>
      </c>
      <c r="E103" s="90">
        <f t="shared" si="31"/>
        <v>0</v>
      </c>
      <c r="F103" s="91">
        <f t="shared" si="15"/>
        <v>0.5813759854400917</v>
      </c>
      <c r="G103" s="90">
        <f t="shared" si="16"/>
        <v>0</v>
      </c>
      <c r="H103" s="90">
        <f t="shared" si="26"/>
        <v>0</v>
      </c>
      <c r="I103" s="90">
        <f t="shared" si="17"/>
        <v>0</v>
      </c>
      <c r="J103" s="90">
        <f t="shared" si="24"/>
        <v>0</v>
      </c>
      <c r="K103" s="90">
        <f t="shared" si="25"/>
        <v>0</v>
      </c>
      <c r="L103" s="90">
        <f t="shared" si="18"/>
        <v>0</v>
      </c>
      <c r="M103" s="90">
        <f t="shared" si="19"/>
        <v>0</v>
      </c>
      <c r="N103" s="90">
        <f t="shared" si="20"/>
        <v>0</v>
      </c>
      <c r="O103" s="90">
        <f t="shared" si="21"/>
        <v>0</v>
      </c>
      <c r="P103" s="90">
        <f t="shared" si="22"/>
        <v>0</v>
      </c>
      <c r="Q103" s="92">
        <f t="shared" si="27"/>
        <v>0</v>
      </c>
      <c r="R103" s="90">
        <f t="shared" si="28"/>
        <v>0</v>
      </c>
      <c r="S103" s="63"/>
      <c r="T103" s="63"/>
      <c r="U103" s="63"/>
      <c r="V103" s="63"/>
      <c r="W103" s="63"/>
      <c r="X103" s="63"/>
      <c r="Y103" s="66">
        <v>14</v>
      </c>
      <c r="Z103" s="101">
        <f t="shared" si="29"/>
        <v>1.512589724855112</v>
      </c>
      <c r="AA103" s="90">
        <f>$AA$89*Z103</f>
        <v>9831.833211558227</v>
      </c>
      <c r="AB103" s="90">
        <f>$AB$89*Z103</f>
        <v>12100.717798840895</v>
      </c>
      <c r="AC103" s="63"/>
      <c r="AD103" s="63"/>
      <c r="AE103" s="63"/>
      <c r="AF103" s="63"/>
    </row>
    <row r="104" spans="1:32" ht="13.5" thickBot="1">
      <c r="A104" s="23">
        <f t="shared" si="23"/>
        <v>15</v>
      </c>
      <c r="B104" s="23">
        <f t="shared" si="13"/>
        <v>11</v>
      </c>
      <c r="C104" s="94">
        <f>IF(A104&gt;=$E$24,0,IF(OR(E$70=1,A104&lt;=E$69-1),E$78,IF(AND(A104=E$69,E$70=2),E$79*(1-E$80),0)))</f>
        <v>0</v>
      </c>
      <c r="D104" s="95">
        <f t="shared" si="30"/>
        <v>0</v>
      </c>
      <c r="E104" s="95">
        <f t="shared" si="31"/>
        <v>0</v>
      </c>
      <c r="F104" s="96">
        <f t="shared" si="15"/>
        <v>0.5592842572776254</v>
      </c>
      <c r="G104" s="95">
        <f t="shared" si="16"/>
        <v>0</v>
      </c>
      <c r="H104" s="94">
        <f t="shared" si="26"/>
        <v>0</v>
      </c>
      <c r="I104" s="94">
        <f t="shared" si="17"/>
        <v>0</v>
      </c>
      <c r="J104" s="94">
        <f t="shared" si="24"/>
        <v>0</v>
      </c>
      <c r="K104" s="94">
        <f t="shared" si="25"/>
        <v>0</v>
      </c>
      <c r="L104" s="95">
        <f t="shared" si="18"/>
        <v>0</v>
      </c>
      <c r="M104" s="95">
        <f t="shared" si="19"/>
        <v>0</v>
      </c>
      <c r="N104" s="94">
        <f t="shared" si="20"/>
        <v>0</v>
      </c>
      <c r="O104" s="95">
        <f t="shared" si="21"/>
        <v>0</v>
      </c>
      <c r="P104" s="95">
        <f t="shared" si="22"/>
        <v>0</v>
      </c>
      <c r="Q104" s="94">
        <f t="shared" si="27"/>
        <v>0</v>
      </c>
      <c r="R104" s="94">
        <f t="shared" si="28"/>
        <v>0</v>
      </c>
      <c r="S104" s="63"/>
      <c r="T104" s="63"/>
      <c r="U104" s="63"/>
      <c r="V104" s="63"/>
      <c r="W104" s="63"/>
      <c r="X104" s="63"/>
      <c r="Y104" s="66">
        <v>15</v>
      </c>
      <c r="Z104" s="101">
        <f t="shared" si="29"/>
        <v>1.5579674166007653</v>
      </c>
      <c r="AA104" s="90">
        <f>$AA$89*Z104</f>
        <v>10126.788207904974</v>
      </c>
      <c r="AB104" s="90">
        <f>$AB$89*Z104</f>
        <v>12463.739332806123</v>
      </c>
      <c r="AC104" s="63"/>
      <c r="AD104" s="63"/>
      <c r="AE104" s="63"/>
      <c r="AF104" s="63"/>
    </row>
    <row r="105" spans="1:32" ht="12.75">
      <c r="A105" s="66"/>
      <c r="B105" s="66"/>
      <c r="C105" s="66"/>
      <c r="D105" s="66"/>
      <c r="E105" s="66"/>
      <c r="F105" s="66"/>
      <c r="G105" s="90">
        <f aca="true" t="shared" si="32" ref="G105:N105">SUM(G89:G104)</f>
        <v>40626.20928261118</v>
      </c>
      <c r="H105" s="90">
        <f t="shared" si="32"/>
        <v>105572.5327773144</v>
      </c>
      <c r="I105" s="90">
        <f t="shared" si="32"/>
        <v>16474.184999999998</v>
      </c>
      <c r="J105" s="90">
        <f t="shared" si="32"/>
        <v>-15599.999999999996</v>
      </c>
      <c r="K105" s="90">
        <f t="shared" si="32"/>
        <v>-3423.4741664271774</v>
      </c>
      <c r="L105" s="90">
        <f t="shared" si="32"/>
        <v>26348.74030818573</v>
      </c>
      <c r="M105" s="90">
        <f t="shared" si="32"/>
        <v>20749.905988924922</v>
      </c>
      <c r="N105" s="90">
        <f t="shared" si="32"/>
        <v>3213.232409264757</v>
      </c>
      <c r="O105" s="90">
        <f>SUM(O89:O104)</f>
        <v>83954.46007154185</v>
      </c>
      <c r="P105" s="90">
        <f>SUM(P89:P104)</f>
        <v>-14526.799536231349</v>
      </c>
      <c r="Q105" s="92"/>
      <c r="R105" s="90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</row>
    <row r="106" spans="1:32" ht="12.75">
      <c r="A106" s="63"/>
      <c r="B106" s="63"/>
      <c r="C106" s="63"/>
      <c r="D106" s="63"/>
      <c r="E106" s="63"/>
      <c r="F106" s="5"/>
      <c r="G106" s="5"/>
      <c r="H106" s="63"/>
      <c r="I106" s="9"/>
      <c r="J106" s="9"/>
      <c r="K106" s="63"/>
      <c r="L106" s="63"/>
      <c r="M106" s="63"/>
      <c r="N106" s="63"/>
      <c r="O106" s="63"/>
      <c r="P106" s="63"/>
      <c r="Q106" s="7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1:32" ht="12.75">
      <c r="A107" s="63"/>
      <c r="B107" s="63"/>
      <c r="C107" s="63"/>
      <c r="D107" s="63"/>
      <c r="E107" s="63"/>
      <c r="F107" s="9"/>
      <c r="G107" s="9"/>
      <c r="H107" s="9"/>
      <c r="I107" s="9"/>
      <c r="J107" s="9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1:32" ht="12.75">
      <c r="A108" s="62" t="s">
        <v>244</v>
      </c>
      <c r="B108" s="63"/>
      <c r="C108" s="63"/>
      <c r="D108" s="62" t="s">
        <v>245</v>
      </c>
      <c r="E108" s="63"/>
      <c r="F108" s="63"/>
      <c r="G108" s="63"/>
      <c r="H108" s="5">
        <f>G105</f>
        <v>40626.20928261118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1:32" ht="12.75">
      <c r="A109" s="63"/>
      <c r="B109" s="63"/>
      <c r="C109" s="63"/>
      <c r="D109" s="62" t="s">
        <v>246</v>
      </c>
      <c r="E109" s="63"/>
      <c r="F109" s="63"/>
      <c r="G109" s="63"/>
      <c r="H109" s="5">
        <f>N105</f>
        <v>3213.232409264757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</row>
    <row r="110" spans="1:32" ht="12.75">
      <c r="A110" s="63"/>
      <c r="B110" s="63"/>
      <c r="C110" s="63"/>
      <c r="D110" s="62" t="s">
        <v>247</v>
      </c>
      <c r="E110" s="63"/>
      <c r="F110" s="63"/>
      <c r="G110" s="63"/>
      <c r="H110" s="5">
        <f>O105</f>
        <v>83954.46007154185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1:32" ht="12.75">
      <c r="A111" s="63"/>
      <c r="B111" s="63"/>
      <c r="C111" s="63"/>
      <c r="D111" s="62" t="s">
        <v>248</v>
      </c>
      <c r="E111" s="63"/>
      <c r="F111" s="63"/>
      <c r="G111" s="63"/>
      <c r="H111" s="5">
        <f>-P105</f>
        <v>14526.799536231349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</row>
    <row r="112" spans="1:32" ht="12.75">
      <c r="A112" s="63"/>
      <c r="B112" s="63"/>
      <c r="C112" s="63"/>
      <c r="D112" s="62" t="s">
        <v>249</v>
      </c>
      <c r="E112" s="63"/>
      <c r="F112" s="63"/>
      <c r="G112" s="63"/>
      <c r="H112" s="5">
        <f>-M105</f>
        <v>-20749.905988924922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</row>
    <row r="113" spans="1:32" ht="13.5" thickBot="1">
      <c r="A113" s="63"/>
      <c r="B113" s="63"/>
      <c r="C113" s="63"/>
      <c r="D113" s="62" t="s">
        <v>250</v>
      </c>
      <c r="E113" s="63"/>
      <c r="F113" s="63"/>
      <c r="G113" s="63"/>
      <c r="H113" s="34">
        <f>-IF(E70=1,0,E79*E75*HLOOKUP(1,F89:F104,$E$24))</f>
        <v>-1273.400983701409</v>
      </c>
      <c r="I113" s="63"/>
      <c r="J113" s="63"/>
      <c r="K113" s="74" t="s">
        <v>251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</row>
    <row r="114" spans="1:32" ht="15.75">
      <c r="A114" s="63"/>
      <c r="B114" s="63"/>
      <c r="C114" s="63"/>
      <c r="D114" s="63"/>
      <c r="E114" s="25" t="s">
        <v>252</v>
      </c>
      <c r="F114" s="63"/>
      <c r="G114" s="63"/>
      <c r="H114" s="87">
        <f>-SUM(H108:H113)</f>
        <v>-120297.39432702282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1:32" ht="12.75">
      <c r="A115" s="63"/>
      <c r="B115" s="63"/>
      <c r="C115" s="63"/>
      <c r="D115" s="63"/>
      <c r="E115" s="63"/>
      <c r="F115" s="62"/>
      <c r="G115" s="63"/>
      <c r="H115" s="5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1:32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</row>
    <row r="117" spans="1:32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5.75">
      <c r="A118" s="25" t="s">
        <v>253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</row>
    <row r="119" spans="1:32" ht="12.75">
      <c r="A119" s="62" t="s">
        <v>254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1:32" ht="12.75">
      <c r="A120" s="62" t="s">
        <v>255</v>
      </c>
      <c r="B120" s="63"/>
      <c r="C120" s="63"/>
      <c r="D120" s="63"/>
      <c r="E120" s="63"/>
      <c r="F120" s="63"/>
      <c r="G120" s="63"/>
      <c r="H120" s="12" t="s">
        <v>161</v>
      </c>
      <c r="I120" s="66"/>
      <c r="J120" s="74" t="s">
        <v>251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1:32" ht="12.75">
      <c r="A121" s="62" t="s">
        <v>256</v>
      </c>
      <c r="B121" s="63"/>
      <c r="C121" s="63"/>
      <c r="D121" s="12" t="s">
        <v>163</v>
      </c>
      <c r="E121" s="12" t="s">
        <v>163</v>
      </c>
      <c r="F121" s="12" t="s">
        <v>219</v>
      </c>
      <c r="G121" s="12" t="s">
        <v>176</v>
      </c>
      <c r="H121" s="12" t="s">
        <v>167</v>
      </c>
      <c r="I121" s="66" t="s">
        <v>168</v>
      </c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ht="12.75">
      <c r="A122" s="63"/>
      <c r="B122" s="63"/>
      <c r="C122" s="63"/>
      <c r="D122" s="12" t="s">
        <v>257</v>
      </c>
      <c r="E122" s="12" t="s">
        <v>258</v>
      </c>
      <c r="F122" s="12" t="s">
        <v>259</v>
      </c>
      <c r="G122" s="12" t="s">
        <v>225</v>
      </c>
      <c r="H122" s="12" t="s">
        <v>177</v>
      </c>
      <c r="I122" s="66" t="s">
        <v>179</v>
      </c>
      <c r="J122" s="66" t="s">
        <v>163</v>
      </c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1:32" ht="13.5" thickBot="1">
      <c r="A123" s="63"/>
      <c r="B123" s="63"/>
      <c r="C123" s="23" t="s">
        <v>260</v>
      </c>
      <c r="D123" s="12" t="s">
        <v>182</v>
      </c>
      <c r="E123" s="23" t="s">
        <v>261</v>
      </c>
      <c r="F123" s="23" t="s">
        <v>262</v>
      </c>
      <c r="G123" s="12" t="s">
        <v>239</v>
      </c>
      <c r="H123" s="26">
        <f>E33</f>
        <v>0.03950000000000001</v>
      </c>
      <c r="I123" s="67" t="s">
        <v>188</v>
      </c>
      <c r="J123" s="67" t="s">
        <v>189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ht="14.25" thickBot="1" thickTop="1">
      <c r="A124" s="63"/>
      <c r="B124" s="63"/>
      <c r="C124" s="1">
        <v>0</v>
      </c>
      <c r="D124" s="45">
        <v>0</v>
      </c>
      <c r="E124" s="61">
        <v>0</v>
      </c>
      <c r="F124" s="35">
        <f aca="true" t="shared" si="33" ref="F124:F139">E$71*(D124+E124)</f>
        <v>0</v>
      </c>
      <c r="G124" s="35">
        <f aca="true" t="shared" si="34" ref="G124:G139">D124+E124-F124</f>
        <v>0</v>
      </c>
      <c r="H124" s="8">
        <f aca="true" t="shared" si="35" ref="H124:H139">1/(1+(E$8*(1-E$7)))^C124</f>
        <v>1</v>
      </c>
      <c r="I124" s="55">
        <f>G124*H124</f>
        <v>0</v>
      </c>
      <c r="J124" s="48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ht="13.5" thickTop="1">
      <c r="A125" s="63"/>
      <c r="B125" s="63"/>
      <c r="C125" s="1">
        <f aca="true" t="shared" si="36" ref="C125:C139">C124+1</f>
        <v>1</v>
      </c>
      <c r="D125" s="5">
        <f>IF(C125&gt;=$E$24,0,D124+(D124*E$76))</f>
        <v>0</v>
      </c>
      <c r="E125" s="9">
        <f>IF(C125&gt;=$E$24,0,E124+(E124*E$76))</f>
        <v>0</v>
      </c>
      <c r="F125" s="9">
        <f t="shared" si="33"/>
        <v>0</v>
      </c>
      <c r="G125" s="9">
        <f t="shared" si="34"/>
        <v>0</v>
      </c>
      <c r="H125" s="8">
        <f t="shared" si="35"/>
        <v>0.962000962000962</v>
      </c>
      <c r="I125" s="56">
        <f>IF(C125&gt;=$E$24,0,G125*H125+I124)</f>
        <v>0</v>
      </c>
      <c r="J125" s="48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2" ht="12.75">
      <c r="A126" s="63"/>
      <c r="B126" s="63"/>
      <c r="C126" s="1">
        <f t="shared" si="36"/>
        <v>2</v>
      </c>
      <c r="D126" s="5">
        <f aca="true" t="shared" si="37" ref="D126:D139">IF(C126&gt;=$E$24,0,D125+(D125*E$76))</f>
        <v>0</v>
      </c>
      <c r="E126" s="9">
        <f aca="true" t="shared" si="38" ref="E126:E139">IF(C126&gt;=$E$24,0,E125+(E125*E$76))</f>
        <v>0</v>
      </c>
      <c r="F126" s="9">
        <f t="shared" si="33"/>
        <v>0</v>
      </c>
      <c r="G126" s="9">
        <f t="shared" si="34"/>
        <v>0</v>
      </c>
      <c r="H126" s="8">
        <f t="shared" si="35"/>
        <v>0.9254458508907761</v>
      </c>
      <c r="I126" s="56">
        <f aca="true" t="shared" si="39" ref="I126:I139">IF(C126&gt;=$E$24,0,G126*H126+I125)</f>
        <v>0</v>
      </c>
      <c r="J126" s="5">
        <f>I126*($E$8/(1-(1/(1+$E$8)^(C126+1))))</f>
        <v>0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ht="12.75">
      <c r="A127" s="63"/>
      <c r="B127" s="63"/>
      <c r="C127" s="1">
        <f t="shared" si="36"/>
        <v>3</v>
      </c>
      <c r="D127" s="5">
        <f t="shared" si="37"/>
        <v>0</v>
      </c>
      <c r="E127" s="9">
        <f t="shared" si="38"/>
        <v>0</v>
      </c>
      <c r="F127" s="9">
        <f t="shared" si="33"/>
        <v>0</v>
      </c>
      <c r="G127" s="9">
        <f t="shared" si="34"/>
        <v>0</v>
      </c>
      <c r="H127" s="8">
        <f t="shared" si="35"/>
        <v>0.8902797988367254</v>
      </c>
      <c r="I127" s="56">
        <f t="shared" si="39"/>
        <v>0</v>
      </c>
      <c r="J127" s="5">
        <f aca="true" t="shared" si="40" ref="J127:J139">I127*($E$8/(1-(1/(1+$E$8)^(C127+1))))</f>
        <v>0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ht="12.75">
      <c r="A128" s="63"/>
      <c r="B128" s="63"/>
      <c r="C128" s="1">
        <f t="shared" si="36"/>
        <v>4</v>
      </c>
      <c r="D128" s="5">
        <f t="shared" si="37"/>
        <v>0</v>
      </c>
      <c r="E128" s="9">
        <f t="shared" si="38"/>
        <v>0</v>
      </c>
      <c r="F128" s="9">
        <f t="shared" si="33"/>
        <v>0</v>
      </c>
      <c r="G128" s="9">
        <f t="shared" si="34"/>
        <v>0</v>
      </c>
      <c r="H128" s="8">
        <f t="shared" si="35"/>
        <v>0.8564500229309527</v>
      </c>
      <c r="I128" s="56">
        <f t="shared" si="39"/>
        <v>0</v>
      </c>
      <c r="J128" s="5">
        <f t="shared" si="40"/>
        <v>0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2" ht="12.75">
      <c r="A129" s="63"/>
      <c r="B129" s="63"/>
      <c r="C129" s="1">
        <f t="shared" si="36"/>
        <v>5</v>
      </c>
      <c r="D129" s="5">
        <f t="shared" si="37"/>
        <v>0</v>
      </c>
      <c r="E129" s="9">
        <f t="shared" si="38"/>
        <v>0</v>
      </c>
      <c r="F129" s="9">
        <f t="shared" si="33"/>
        <v>0</v>
      </c>
      <c r="G129" s="9">
        <f t="shared" si="34"/>
        <v>0</v>
      </c>
      <c r="H129" s="8">
        <f t="shared" si="35"/>
        <v>0.8239057459653225</v>
      </c>
      <c r="I129" s="56">
        <f t="shared" si="39"/>
        <v>0</v>
      </c>
      <c r="J129" s="5">
        <f t="shared" si="40"/>
        <v>0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2" ht="12.75">
      <c r="A130" s="63"/>
      <c r="B130" s="63"/>
      <c r="C130" s="1">
        <f t="shared" si="36"/>
        <v>6</v>
      </c>
      <c r="D130" s="5">
        <f t="shared" si="37"/>
        <v>0</v>
      </c>
      <c r="E130" s="9">
        <f t="shared" si="38"/>
        <v>0</v>
      </c>
      <c r="F130" s="9">
        <f t="shared" si="33"/>
        <v>0</v>
      </c>
      <c r="G130" s="9">
        <f t="shared" si="34"/>
        <v>0</v>
      </c>
      <c r="H130" s="8">
        <f t="shared" si="35"/>
        <v>0.7925981202167602</v>
      </c>
      <c r="I130" s="56">
        <f t="shared" si="39"/>
        <v>0</v>
      </c>
      <c r="J130" s="5">
        <f t="shared" si="40"/>
        <v>0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2" ht="12.75">
      <c r="A131" s="63"/>
      <c r="B131" s="63"/>
      <c r="C131" s="1">
        <f t="shared" si="36"/>
        <v>7</v>
      </c>
      <c r="D131" s="5">
        <f t="shared" si="37"/>
        <v>0</v>
      </c>
      <c r="E131" s="9">
        <f t="shared" si="38"/>
        <v>0</v>
      </c>
      <c r="F131" s="9">
        <f t="shared" si="33"/>
        <v>0</v>
      </c>
      <c r="G131" s="9">
        <f t="shared" si="34"/>
        <v>0</v>
      </c>
      <c r="H131" s="8">
        <f t="shared" si="35"/>
        <v>0.7624801541286774</v>
      </c>
      <c r="I131" s="56">
        <f t="shared" si="39"/>
        <v>0</v>
      </c>
      <c r="J131" s="5">
        <f t="shared" si="40"/>
        <v>0</v>
      </c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2" ht="12.75">
      <c r="A132" s="63"/>
      <c r="B132" s="63"/>
      <c r="C132" s="1">
        <f t="shared" si="36"/>
        <v>8</v>
      </c>
      <c r="D132" s="5">
        <f t="shared" si="37"/>
        <v>0</v>
      </c>
      <c r="E132" s="9">
        <f t="shared" si="38"/>
        <v>0</v>
      </c>
      <c r="F132" s="9">
        <f t="shared" si="33"/>
        <v>0</v>
      </c>
      <c r="G132" s="9">
        <f t="shared" si="34"/>
        <v>0</v>
      </c>
      <c r="H132" s="8">
        <f t="shared" si="35"/>
        <v>0.7335066417784294</v>
      </c>
      <c r="I132" s="56">
        <f t="shared" si="39"/>
        <v>0</v>
      </c>
      <c r="J132" s="5">
        <f t="shared" si="40"/>
        <v>0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2" ht="12.75">
      <c r="A133" s="63"/>
      <c r="B133" s="63"/>
      <c r="C133" s="1">
        <f t="shared" si="36"/>
        <v>9</v>
      </c>
      <c r="D133" s="5">
        <f t="shared" si="37"/>
        <v>0</v>
      </c>
      <c r="E133" s="9">
        <f t="shared" si="38"/>
        <v>0</v>
      </c>
      <c r="F133" s="9">
        <f t="shared" si="33"/>
        <v>0</v>
      </c>
      <c r="G133" s="9">
        <f t="shared" si="34"/>
        <v>0</v>
      </c>
      <c r="H133" s="8">
        <f t="shared" si="35"/>
        <v>0.7056340950249441</v>
      </c>
      <c r="I133" s="56">
        <f t="shared" si="39"/>
        <v>0</v>
      </c>
      <c r="J133" s="5">
        <f t="shared" si="40"/>
        <v>0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2" ht="12.75">
      <c r="A134" s="63"/>
      <c r="B134" s="63"/>
      <c r="C134" s="1">
        <f t="shared" si="36"/>
        <v>10</v>
      </c>
      <c r="D134" s="5">
        <f t="shared" si="37"/>
        <v>0</v>
      </c>
      <c r="E134" s="9">
        <f t="shared" si="38"/>
        <v>0</v>
      </c>
      <c r="F134" s="9">
        <f t="shared" si="33"/>
        <v>0</v>
      </c>
      <c r="G134" s="9">
        <f t="shared" si="34"/>
        <v>0</v>
      </c>
      <c r="H134" s="8">
        <f t="shared" si="35"/>
        <v>0.6788206782346743</v>
      </c>
      <c r="I134" s="56">
        <f t="shared" si="39"/>
        <v>0</v>
      </c>
      <c r="J134" s="5">
        <f t="shared" si="40"/>
        <v>0</v>
      </c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2" ht="12.75">
      <c r="A135" s="63"/>
      <c r="B135" s="63"/>
      <c r="C135" s="1">
        <f t="shared" si="36"/>
        <v>11</v>
      </c>
      <c r="D135" s="5">
        <f t="shared" si="37"/>
        <v>0</v>
      </c>
      <c r="E135" s="9">
        <f t="shared" si="38"/>
        <v>0</v>
      </c>
      <c r="F135" s="9">
        <f t="shared" si="33"/>
        <v>0</v>
      </c>
      <c r="G135" s="9">
        <f t="shared" si="34"/>
        <v>0</v>
      </c>
      <c r="H135" s="8">
        <f t="shared" si="35"/>
        <v>0.653026145487902</v>
      </c>
      <c r="I135" s="56">
        <f t="shared" si="39"/>
        <v>0</v>
      </c>
      <c r="J135" s="5">
        <f t="shared" si="40"/>
        <v>0</v>
      </c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2" ht="12.75">
      <c r="A136" s="63"/>
      <c r="B136" s="63"/>
      <c r="C136" s="1">
        <f t="shared" si="36"/>
        <v>12</v>
      </c>
      <c r="D136" s="5">
        <f t="shared" si="37"/>
        <v>0</v>
      </c>
      <c r="E136" s="9">
        <f t="shared" si="38"/>
        <v>0</v>
      </c>
      <c r="F136" s="9">
        <f t="shared" si="33"/>
        <v>0</v>
      </c>
      <c r="G136" s="9">
        <f t="shared" si="34"/>
        <v>0</v>
      </c>
      <c r="H136" s="8">
        <f t="shared" si="35"/>
        <v>0.628211780171142</v>
      </c>
      <c r="I136" s="56">
        <f t="shared" si="39"/>
        <v>0</v>
      </c>
      <c r="J136" s="5">
        <f t="shared" si="40"/>
        <v>0</v>
      </c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2" ht="12.75">
      <c r="A137" s="63"/>
      <c r="B137" s="63"/>
      <c r="C137" s="1">
        <f t="shared" si="36"/>
        <v>13</v>
      </c>
      <c r="D137" s="5">
        <f t="shared" si="37"/>
        <v>0</v>
      </c>
      <c r="E137" s="9">
        <f t="shared" si="38"/>
        <v>0</v>
      </c>
      <c r="F137" s="9">
        <f t="shared" si="33"/>
        <v>0</v>
      </c>
      <c r="G137" s="9">
        <f t="shared" si="34"/>
        <v>0</v>
      </c>
      <c r="H137" s="8">
        <f t="shared" si="35"/>
        <v>0.6043403368649755</v>
      </c>
      <c r="I137" s="56">
        <f t="shared" si="39"/>
        <v>0</v>
      </c>
      <c r="J137" s="5">
        <f t="shared" si="40"/>
        <v>0</v>
      </c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2" ht="12.75">
      <c r="A138" s="63"/>
      <c r="B138" s="63"/>
      <c r="C138" s="1">
        <f t="shared" si="36"/>
        <v>14</v>
      </c>
      <c r="D138" s="5">
        <f t="shared" si="37"/>
        <v>0</v>
      </c>
      <c r="E138" s="9">
        <f t="shared" si="38"/>
        <v>0</v>
      </c>
      <c r="F138" s="9">
        <f t="shared" si="33"/>
        <v>0</v>
      </c>
      <c r="G138" s="9">
        <f t="shared" si="34"/>
        <v>0</v>
      </c>
      <c r="H138" s="8">
        <f t="shared" si="35"/>
        <v>0.5813759854400917</v>
      </c>
      <c r="I138" s="56">
        <f t="shared" si="39"/>
        <v>0</v>
      </c>
      <c r="J138" s="5">
        <f t="shared" si="40"/>
        <v>0</v>
      </c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2" ht="13.5" thickBot="1">
      <c r="A139" s="63"/>
      <c r="B139" s="63"/>
      <c r="C139" s="16">
        <f t="shared" si="36"/>
        <v>15</v>
      </c>
      <c r="D139" s="53">
        <f t="shared" si="37"/>
        <v>0</v>
      </c>
      <c r="E139" s="52">
        <f t="shared" si="38"/>
        <v>0</v>
      </c>
      <c r="F139" s="33">
        <f t="shared" si="33"/>
        <v>0</v>
      </c>
      <c r="G139" s="33">
        <f t="shared" si="34"/>
        <v>0</v>
      </c>
      <c r="H139" s="28">
        <f t="shared" si="35"/>
        <v>0.5592842572776254</v>
      </c>
      <c r="I139" s="57">
        <f t="shared" si="39"/>
        <v>0</v>
      </c>
      <c r="J139" s="53">
        <f t="shared" si="40"/>
        <v>0</v>
      </c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</row>
    <row r="140" spans="1:32" ht="12.75">
      <c r="A140" s="63"/>
      <c r="B140" s="63"/>
      <c r="C140" s="63"/>
      <c r="D140" s="63"/>
      <c r="E140" s="63"/>
      <c r="F140" s="63"/>
      <c r="G140" s="62"/>
      <c r="H140" s="63"/>
      <c r="I140" s="5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</row>
    <row r="141" spans="1:32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</row>
    <row r="142" spans="1:32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</row>
    <row r="143" spans="1:32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</row>
    <row r="144" spans="1:32" ht="12.75">
      <c r="A144" s="63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</row>
    <row r="145" spans="1:32" ht="12.75">
      <c r="A145" s="63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</row>
    <row r="146" spans="1:32" ht="12.75">
      <c r="A146" s="63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</row>
    <row r="147" spans="1:32" ht="12.75">
      <c r="A147" s="63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</row>
    <row r="148" spans="1:32" ht="12.75">
      <c r="A148" s="63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</row>
    <row r="149" spans="1:32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</row>
    <row r="150" spans="1:32" ht="12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</row>
    <row r="151" spans="1:32" ht="12.75">
      <c r="A151" s="10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M20"/>
  <sheetViews>
    <sheetView showGridLines="0" workbookViewId="0" topLeftCell="A1">
      <selection activeCell="A1" sqref="A1"/>
    </sheetView>
  </sheetViews>
  <sheetFormatPr defaultColWidth="9.140625" defaultRowHeight="12.75"/>
  <sheetData>
    <row r="2" spans="2:13" ht="19.5">
      <c r="B2" s="78" t="s">
        <v>264</v>
      </c>
      <c r="F2" s="58" t="str">
        <f>LeasePurch1!$E$6</f>
        <v>Combine</v>
      </c>
      <c r="I2" s="78" t="s">
        <v>266</v>
      </c>
      <c r="M2" s="58" t="str">
        <f>LeasePurch3!$E$6</f>
        <v>Tractor 85 hp</v>
      </c>
    </row>
    <row r="20" spans="2:13" ht="19.5">
      <c r="B20" s="78" t="s">
        <v>265</v>
      </c>
      <c r="F20" s="58" t="str">
        <f>LeasePurch2!$E$6</f>
        <v>Pulled Swather</v>
      </c>
      <c r="I20" s="78" t="s">
        <v>267</v>
      </c>
      <c r="M20" s="58" t="str">
        <f>LeasePurch4!$E$6</f>
        <v>Tractor 105 hp</v>
      </c>
    </row>
  </sheetData>
  <printOptions/>
  <pageMargins left="0.75" right="0.75" top="1" bottom="1" header="0.5" footer="0.5"/>
  <pageSetup fitToHeight="1" fitToWidth="1"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/>
  <dimension ref="A5:B16"/>
  <sheetViews>
    <sheetView showGridLines="0" workbookViewId="0" topLeftCell="A1">
      <selection activeCell="D12" sqref="D12"/>
    </sheetView>
  </sheetViews>
  <sheetFormatPr defaultColWidth="9.7109375" defaultRowHeight="12.75"/>
  <sheetData>
    <row r="5" ht="12.75">
      <c r="A5" s="10" t="s">
        <v>263</v>
      </c>
    </row>
    <row r="6" ht="12.75">
      <c r="B6" s="10"/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</sheetData>
  <printOptions/>
  <pageMargins left="0.4" right="0.4" top="0.333" bottom="0.333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Lease vs Purchase vs Rental Analysis</dc:title>
  <dc:subject/>
  <dc:creator>Duane Griffith</dc:creator>
  <cp:keywords/>
  <dc:description/>
  <cp:lastModifiedBy>griffith</cp:lastModifiedBy>
  <cp:lastPrinted>2004-01-03T22:12:16Z</cp:lastPrinted>
  <dcterms:modified xsi:type="dcterms:W3CDTF">2004-12-27T18:07:48Z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