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305" windowWidth="9720" windowHeight="4260" activeTab="0"/>
  </bookViews>
  <sheets>
    <sheet name="EnterpriseBudgets" sheetId="1" r:id="rId1"/>
    <sheet name="Factors" sheetId="2" r:id="rId2"/>
  </sheets>
  <definedNames/>
  <calcPr fullCalcOnLoad="1"/>
</workbook>
</file>

<file path=xl/comments1.xml><?xml version="1.0" encoding="utf-8"?>
<comments xmlns="http://schemas.openxmlformats.org/spreadsheetml/2006/main">
  <authors>
    <author>Duane Griffith</author>
  </authors>
  <commentList>
    <comment ref="A142" authorId="0">
      <text>
        <r>
          <rPr>
            <b/>
            <sz val="11"/>
            <rFont val="Tahoma"/>
            <family val="2"/>
          </rPr>
          <t xml:space="preserve">Due to the significant differences in the way trucks and pickups are used, the allocation of use to each enterprise is also different.  
In this section, enter the percent of a particular pickup's use for each enterprise.  </t>
        </r>
        <r>
          <rPr>
            <b/>
            <sz val="11"/>
            <color indexed="10"/>
            <rFont val="Tahoma"/>
            <family val="2"/>
          </rPr>
          <t>As a guide</t>
        </r>
        <r>
          <rPr>
            <b/>
            <sz val="11"/>
            <rFont val="Tahoma"/>
            <family val="2"/>
          </rPr>
          <t xml:space="preserve">, the percent of total acres in each enterprise are listed on this row.  For example, if a farm had a total of 2000 acres and 200 acres are in winter wheat, then the percent of total acres is 10%.  While this number can be </t>
        </r>
        <r>
          <rPr>
            <b/>
            <sz val="11"/>
            <color indexed="10"/>
            <rFont val="Tahoma"/>
            <family val="2"/>
          </rPr>
          <t>used as a</t>
        </r>
        <r>
          <rPr>
            <b/>
            <sz val="11"/>
            <rFont val="Tahoma"/>
            <family val="2"/>
          </rPr>
          <t xml:space="preserve"> </t>
        </r>
        <r>
          <rPr>
            <b/>
            <sz val="11"/>
            <color indexed="10"/>
            <rFont val="Tahoma"/>
            <family val="2"/>
          </rPr>
          <t>guide</t>
        </r>
        <r>
          <rPr>
            <b/>
            <sz val="11"/>
            <rFont val="Tahoma"/>
            <family val="2"/>
          </rPr>
          <t xml:space="preserve">, the use of a particular pickup may not  follow this pattern.  
In this section, pickup use is allocated in the same row.  The percentages you enter here are used to allocate the </t>
        </r>
        <r>
          <rPr>
            <b/>
            <sz val="11"/>
            <color indexed="10"/>
            <rFont val="Tahoma"/>
            <family val="2"/>
          </rPr>
          <t>hours of farm/ranch use</t>
        </r>
        <r>
          <rPr>
            <b/>
            <sz val="11"/>
            <rFont val="Tahoma"/>
            <family val="2"/>
          </rPr>
          <t xml:space="preserve"> that is calculated directly above, column I row 111.  Do not make adjustments for family use in this section.  Those adjustments will be made based on the family use percentage, if any, entered above. </t>
        </r>
      </text>
    </comment>
    <comment ref="A218" authorId="0">
      <text>
        <r>
          <rPr>
            <b/>
            <sz val="12"/>
            <rFont val="Tahoma"/>
            <family val="2"/>
          </rPr>
          <t xml:space="preserve">The costs for pickups calculated in the next few rows includes total costs for all uses.  This includes use for family activities, if any, that was entered above.  While the family use is calculated here, it is excluded for the purposes of calculating farm/ranch machinery costs in any remaining portion of this spreadsheet. </t>
        </r>
      </text>
    </comment>
    <comment ref="A123" authorId="0">
      <text>
        <r>
          <rPr>
            <b/>
            <sz val="10"/>
            <rFont val="Tahoma"/>
            <family val="2"/>
          </rPr>
          <t xml:space="preserve">Enter a brief description of up to three different trucks. 
Examples may be:  
82 Ford
New Chevy
Dodge
Kenworth and dump trailer
</t>
        </r>
      </text>
    </comment>
    <comment ref="D123" authorId="0">
      <text>
        <r>
          <rPr>
            <b/>
            <sz val="10"/>
            <rFont val="Tahoma"/>
            <family val="2"/>
          </rPr>
          <t xml:space="preserve">For each truck that is entered, enter the percent of the truck's total use on a particular enterprise.  For example, if there are two trucks entered and they are used equally for hauling grain at harvest time and that is the only use of trucks for the crop enterprises, then enter a 50% on each row.  It may the case that one truck is used more than another, say for hauling seed, fertilizer etc.  The column totals for each enterprise should add to 100%.  This means that all truck related activities for each enterprise have been allocated to one or more of the trucks entered.  
This section does not necessarily cover all truck use.  Other uses (hauling livestock, etc.), if any, will also require truck time.  The total hours of use for other than crop related activity is entered in Section H below.
</t>
        </r>
      </text>
    </comment>
    <comment ref="K133" authorId="0">
      <text>
        <r>
          <rPr>
            <b/>
            <sz val="10"/>
            <rFont val="Tahoma"/>
            <family val="2"/>
          </rPr>
          <t xml:space="preserve">This number is calculated as a cross check to see if the total hours of use calculated seems reasonable based on how many hours a day you might use a particular pickup.
Time include here would be total time the pickup is running, even though it may not be moving.  </t>
        </r>
      </text>
    </comment>
    <comment ref="G164" authorId="0">
      <text>
        <r>
          <rPr>
            <b/>
            <sz val="10"/>
            <rFont val="Tahoma"/>
            <family val="2"/>
          </rPr>
          <t>This factor was developed by engineers to estimate the amount of fuel an engine would burn based on its PTO horsepower.  The factor is multiplied by the PTO horsepower to estimate gallons per hour of fuel required by type of fuel used. 
Examples:
200 PTO hp  X  .06 (gasoline) = 12 gallons per hour
200 PTO hp  X  .044 (diesel)   = 8.8 gallons per hour
200 PTO hp  X  .072 (propane) = 14.4 gallons per hour</t>
        </r>
      </text>
    </comment>
    <comment ref="M194" authorId="0">
      <text>
        <r>
          <rPr>
            <b/>
            <sz val="10"/>
            <rFont val="Tahoma"/>
            <family val="2"/>
          </rPr>
          <t>Fuel type factors are:
.06 for gas
.044 for diesel
.072 for LP
Enter the number for the fuel type this particular piece of equipment burns.</t>
        </r>
      </text>
    </comment>
    <comment ref="M203" authorId="0">
      <text>
        <r>
          <rPr>
            <b/>
            <sz val="10"/>
            <rFont val="Tahoma"/>
            <family val="2"/>
          </rPr>
          <t>Fuel type factors are:
.06 for gas
.044 for diesel
.072 for LP
Enter the number for the fuel type this particular piece of equipment burns.</t>
        </r>
      </text>
    </comment>
    <comment ref="M210" authorId="0">
      <text>
        <r>
          <rPr>
            <b/>
            <sz val="10"/>
            <rFont val="Tahoma"/>
            <family val="2"/>
          </rPr>
          <t>Fuel type factors are:
.06 for gas
.044 for diesel
.072 for LP
Enter the number for the fuel type this particular piece of equipment burns.</t>
        </r>
      </text>
    </comment>
    <comment ref="M214" authorId="0">
      <text>
        <r>
          <rPr>
            <b/>
            <sz val="10"/>
            <rFont val="Tahoma"/>
            <family val="2"/>
          </rPr>
          <t>Fuel type factors are:
.06 for gas
.044 for diesel
.072 for LP
Enter the number for the fuel type this particular piece of equipment burns.</t>
        </r>
      </text>
    </comment>
    <comment ref="M218" authorId="0">
      <text>
        <r>
          <rPr>
            <b/>
            <sz val="10"/>
            <rFont val="Tahoma"/>
            <family val="2"/>
          </rPr>
          <t>Fuel type factors are:
.06 for gas
.044 for diesel
.072 for LP
Enter the number for the fuel type this particular piece of equipment burns.</t>
        </r>
      </text>
    </comment>
    <comment ref="E12" authorId="0">
      <text>
        <r>
          <rPr>
            <b/>
            <sz val="10"/>
            <rFont val="Tahoma"/>
            <family val="2"/>
          </rPr>
          <t>Brief is approximately 15 characters.  
If the description entered is two long, it will not display here or in the remaining sections of this template where it is reused.</t>
        </r>
      </text>
    </comment>
    <comment ref="B6" authorId="0">
      <text>
        <r>
          <rPr>
            <b/>
            <sz val="10"/>
            <rFont val="Tahoma"/>
            <family val="2"/>
          </rPr>
          <t xml:space="preserve">Print macros allow you to print all or portions of this spreadsheet.  
</t>
        </r>
      </text>
    </comment>
    <comment ref="A112" authorId="0">
      <text>
        <r>
          <rPr>
            <b/>
            <sz val="10"/>
            <rFont val="Tahoma"/>
            <family val="2"/>
          </rPr>
          <t xml:space="preserve">Utility power units are tractors or pickups that are used to service a crop enterpris but do not necessarily accumulate use by running up and down a field pulling some type of implement.  An example may be a tractor that is devoted to running grain augers and/or feeding livestock.  
If you have a tractor that is used for field work but also has additional hours of use as a stationary power unit to run a grain auger, </t>
        </r>
        <r>
          <rPr>
            <b/>
            <sz val="10"/>
            <color indexed="10"/>
            <rFont val="Tahoma"/>
            <family val="2"/>
          </rPr>
          <t>do not enter that tractor here</t>
        </r>
        <r>
          <rPr>
            <b/>
            <sz val="10"/>
            <rFont val="Tahoma"/>
            <family val="2"/>
          </rPr>
          <t xml:space="preserve">.  It should have been entered above and the addtional hours of use as a stationary power unit can be entered below in Section H.  
The only power units that should be entered here are for tractors that </t>
        </r>
        <r>
          <rPr>
            <b/>
            <sz val="10"/>
            <color indexed="10"/>
            <rFont val="Tahoma"/>
            <family val="2"/>
          </rPr>
          <t>do not accumulate hours with field use,</t>
        </r>
        <r>
          <rPr>
            <b/>
            <sz val="10"/>
            <rFont val="Tahoma"/>
            <family val="2"/>
          </rPr>
          <t xml:space="preserve"> tillage, harvest, spraying, etc. 
</t>
        </r>
      </text>
    </comment>
    <comment ref="Z112" authorId="0">
      <text>
        <r>
          <rPr>
            <b/>
            <sz val="10"/>
            <rFont val="Tahoma"/>
            <family val="2"/>
          </rPr>
          <t>This template requires an acreage entry even though a particular tractor may not accumulate hours through field work.  
While this power unit is not used in field activities such as tillage, spraying, harvesting, etc.  it does "service" acreage.  An example is a tractor that is used only for auguring grain.  The acreage entered for this tractor is the total acres of all types of grain a particular power unit may "service."
If a tractor is used for livestock enterprises, include the acreage used for livestock enterprises this tractor "serves."</t>
        </r>
      </text>
    </comment>
    <comment ref="C2" authorId="0">
      <text>
        <r>
          <rPr>
            <b/>
            <sz val="10"/>
            <rFont val="Tahoma"/>
            <family val="2"/>
          </rPr>
          <t xml:space="preserve">Help messages are located throughout this spreadsheet.  They are indicated by a green background </t>
        </r>
        <r>
          <rPr>
            <b/>
            <sz val="10"/>
            <color indexed="10"/>
            <rFont val="Tahoma"/>
            <family val="2"/>
          </rPr>
          <t>and/or</t>
        </r>
        <r>
          <rPr>
            <b/>
            <sz val="10"/>
            <rFont val="Tahoma"/>
            <family val="2"/>
          </rPr>
          <t xml:space="preserve"> a red triangle in the upper right corner of the cell.  Some help messages may have the word Help or another word in the cell, but all have a red triangle.</t>
        </r>
      </text>
    </comment>
    <comment ref="E2" authorId="0">
      <text>
        <r>
          <rPr>
            <b/>
            <sz val="10"/>
            <rFont val="Tahoma"/>
            <family val="2"/>
          </rPr>
          <t>Help messages are located throughout this spreadsheet.  They are indicated by a green background with the word Help and a red triangle in the upper right corner of the cell.  Help is also available in cells that display just the red triangle.  Move your mouse over these cells to display the help message.</t>
        </r>
        <r>
          <rPr>
            <sz val="8"/>
            <rFont val="Tahoma"/>
            <family val="0"/>
          </rPr>
          <t xml:space="preserve">
</t>
        </r>
      </text>
    </comment>
    <comment ref="A328" authorId="0">
      <text>
        <r>
          <rPr>
            <b/>
            <sz val="10"/>
            <rFont val="Tahoma"/>
            <family val="2"/>
          </rPr>
          <t xml:space="preserve">The returns over operating costs are returns to labor, management and capital.  Do not include a charge for family supplied labor and management in the operating inputs section above.  The positive return, if any, is the compensation received for your labor, manamgent and capital allocated to  this enterprise. 
</t>
        </r>
      </text>
    </comment>
    <comment ref="A329" authorId="0">
      <text>
        <r>
          <rPr>
            <b/>
            <sz val="10"/>
            <rFont val="Tahoma"/>
            <family val="2"/>
          </rPr>
          <t xml:space="preserve">The returns over </t>
        </r>
        <r>
          <rPr>
            <b/>
            <sz val="10"/>
            <color indexed="10"/>
            <rFont val="Tahoma"/>
            <family val="2"/>
          </rPr>
          <t>total costs</t>
        </r>
        <r>
          <rPr>
            <b/>
            <sz val="10"/>
            <rFont val="Tahoma"/>
            <family val="2"/>
          </rPr>
          <t xml:space="preserve"> are returns to labor, and management. The real-estate value per acre and the interest rate are used to calculate an opportunity cost of your machinery and equipment investment.  After these charges are applied (in the Ownership Costs Per Acre section) the residual returns are for family supplied labor and management.    Do not enter a family labor and management charge in the operating inputs section above.  The positive return, if any, is the compensation received for your labor and management to this enterprise. 
</t>
        </r>
      </text>
    </comment>
    <comment ref="A222" authorId="0">
      <text>
        <r>
          <rPr>
            <b/>
            <sz val="12"/>
            <rFont val="Tahoma"/>
            <family val="2"/>
          </rPr>
          <t xml:space="preserve">Miscellaneous equipment costs are for items like augers, shop equipment, etc. that you wish to charge off to the enterprises.  </t>
        </r>
      </text>
    </comment>
    <comment ref="A79" authorId="0">
      <text>
        <r>
          <rPr>
            <b/>
            <sz val="10"/>
            <rFont val="Tahoma"/>
            <family val="2"/>
          </rPr>
          <t xml:space="preserve">There can be up to two multiple use self propelled pieces of  equipment and each separate piece can have up to three separate multiple uses (different speeds and efficiencies, but probable just speeds) If you use this section, you must reenter the speed, width and efficiency for each multiple use implement.
Example: You may have a swather that is operated at different speeds over the same ground (1st cuting versus 2nd cutting hay) or over differnet enterprises (hay versus barley). 
This section allows you the enter this type of variation in use of self propelled equipment. </t>
        </r>
      </text>
    </comment>
    <comment ref="A63" authorId="0">
      <text>
        <r>
          <rPr>
            <b/>
            <sz val="10"/>
            <rFont val="Tahoma"/>
            <family val="2"/>
          </rPr>
          <t xml:space="preserve">There can be up to two multiple use pulled type implements and each separate piece can have up to three separate multiple uses (different speeds and efficiencies, but probable just speeds) If you use this section, you must reenter the speed, width and efficiency for each multiple use implement.
Example: You may have a tool bar that is pulled at a different speeds on the different passes over the same ground (1st pass on spring crop versus 2nd pass on spring planted crop) or over different enterprises (winter wheat versus barley). 
This section allows you the enter this type of variation in use of pulled type equipment. </t>
        </r>
      </text>
    </comment>
    <comment ref="A29" authorId="0">
      <text>
        <r>
          <rPr>
            <b/>
            <sz val="10"/>
            <rFont val="Tahoma"/>
            <family val="2"/>
          </rPr>
          <t xml:space="preserve">In Section B of this template you are asked to enter equipment and the tractor (power unit) that is pulling that piece of equipment on each individual enterprise.  The brief description entered here is for your reference but you must refer to them by the power unit number at the left of the brief description you enter, i.e. 1, 2, 3, 4, 5, 6.  
When asked to enter the power unit below, simple enter the number.  Do not enter #1 or #2, etc. </t>
        </r>
      </text>
    </comment>
    <comment ref="A410" authorId="0">
      <text>
        <r>
          <rPr>
            <b/>
            <sz val="12"/>
            <rFont val="Tahoma"/>
            <family val="2"/>
          </rPr>
          <t xml:space="preserve">Example: You may wish to prorate the costs of summer fallow to those crops which are grown on summer fallow.  This will give you the total cost for each cropped acre.  If the summer fallow enterprise happens to be enterprise # 5 (row 402) then you would enter a 5 in cell F410.  In row 412, enter the number of acres to summer fallow that should be allocated to each of the other enterprises listed </t>
        </r>
      </text>
    </comment>
    <comment ref="A430" authorId="0">
      <text>
        <r>
          <rPr>
            <b/>
            <sz val="12"/>
            <rFont val="Tahoma"/>
            <family val="2"/>
          </rPr>
          <t xml:space="preserve">If you would like to evaluate the impact of changing fuel prices on your operation, simply change the Gas, Diesel and Liquid Propane prices entered on rows 169 through 171.  Fuel costs will be recalculated and summarized here. </t>
        </r>
      </text>
    </comment>
  </commentList>
</comments>
</file>

<file path=xl/sharedStrings.xml><?xml version="1.0" encoding="utf-8"?>
<sst xmlns="http://schemas.openxmlformats.org/spreadsheetml/2006/main" count="1199" uniqueCount="575">
  <si>
    <t xml:space="preserve">  &lt;&lt; Single lined box, enter data here.</t>
  </si>
  <si>
    <t>Sample Text</t>
  </si>
  <si>
    <t xml:space="preserve">  &lt;&lt; Text color blue, means enter data here. Also enclosed in box.</t>
  </si>
  <si>
    <t xml:space="preserve">  &lt;&lt; Double lined box means information is copied automatically from previous locations.</t>
  </si>
  <si>
    <t/>
  </si>
  <si>
    <t>ACRES</t>
  </si>
  <si>
    <t>MUImp. #1 USE#1</t>
  </si>
  <si>
    <t>MUImp. #1 USE#2</t>
  </si>
  <si>
    <t>MUImp. #1 USE#3</t>
  </si>
  <si>
    <t>MUImp. #2 USE#1</t>
  </si>
  <si>
    <t>MUImp. #2 USE#2</t>
  </si>
  <si>
    <t>MUImp. #2 USE#3</t>
  </si>
  <si>
    <t>MUSelf Prop. #1 USE#1</t>
  </si>
  <si>
    <t>MUSelf Prop. #1 USE#2</t>
  </si>
  <si>
    <t>MUSelf Prop. #1 USE#3</t>
  </si>
  <si>
    <t>MUSP#1 TOTALS</t>
  </si>
  <si>
    <t>MUSelf Prop. #2 USE#1</t>
  </si>
  <si>
    <t>MUSelf Prop. #2 USE#2</t>
  </si>
  <si>
    <t>MUSelf Prop. #2 USE#3</t>
  </si>
  <si>
    <t>MUSP#2 TOTALS</t>
  </si>
  <si>
    <t>HOURS PER YEAR BY CROP FOR EACH POWER UNIT</t>
  </si>
  <si>
    <t>POWER UNIT NUMBER #2</t>
  </si>
  <si>
    <t>POWER UNIT NUMBER #3</t>
  </si>
  <si>
    <t>POWER UNIT NUMBER #4</t>
  </si>
  <si>
    <t>POWER UNIT NUMBER #5</t>
  </si>
  <si>
    <t>POWER UNIT NUMBER #6</t>
  </si>
  <si>
    <t>Utility Tractor # 1</t>
  </si>
  <si>
    <t>Utility Tractor # 2</t>
  </si>
  <si>
    <t>Utility Tractor # 3</t>
  </si>
  <si>
    <t># 3 Truck Not Used</t>
  </si>
  <si>
    <t>PROJECTED MACHINERY AND EQUIPMENT COSTS FOR ENTIRE MACHINERY COMPLIMENT</t>
  </si>
  <si>
    <t xml:space="preserve">Real Interest Rate:  Enter 5% as 5 NOT .05  </t>
  </si>
  <si>
    <t>Diesel Fuel Factor   =</t>
  </si>
  <si>
    <t>Taxable Value Rate:  Enter .10 as .10 NOT 10</t>
  </si>
  <si>
    <t>Gasoline Fuel Factor =</t>
  </si>
  <si>
    <t xml:space="preserve">Millage Rate/Mill Levy : Enter as Whole No. </t>
  </si>
  <si>
    <t>LP Fuel Factor       =</t>
  </si>
  <si>
    <t xml:space="preserve">Diesel Price Per Gallon                     </t>
  </si>
  <si>
    <t xml:space="preserve">Gasoline Price Per Gallon                   </t>
  </si>
  <si>
    <t xml:space="preserve">Liquid Propane Price Per Gallon             </t>
  </si>
  <si>
    <t>MUI#1</t>
  </si>
  <si>
    <t>MUI#2</t>
  </si>
  <si>
    <t>MUSP#1</t>
  </si>
  <si>
    <t>MUSP#2</t>
  </si>
  <si>
    <t>MISC EQUIPMENT</t>
  </si>
  <si>
    <t xml:space="preserve"> SUMMARY OF MACHINERY OPERATING COSTS BY ENTERPRISE</t>
  </si>
  <si>
    <t xml:space="preserve">   SUMMARY OF MACHINERY OWNERSHIP COST BY ENTERPRISE</t>
  </si>
  <si>
    <t>CHECK</t>
  </si>
  <si>
    <t>SUMS</t>
  </si>
  <si>
    <t>SEED &amp; TREATMENTS</t>
  </si>
  <si>
    <t>FERTILIZER # 4</t>
  </si>
  <si>
    <t>FERTILIZER # 5</t>
  </si>
  <si>
    <t>FERTILIZER # 6</t>
  </si>
  <si>
    <t>CROP INSURANCE</t>
  </si>
  <si>
    <t>OTHER COST # 2</t>
  </si>
  <si>
    <t>OTHER COST # 3</t>
  </si>
  <si>
    <t>Breakeven Prices (at Given Yields) Necessary to Cover:</t>
  </si>
  <si>
    <t xml:space="preserve">    Operating Costs</t>
  </si>
  <si>
    <t>Useful</t>
  </si>
  <si>
    <t>Repair</t>
  </si>
  <si>
    <t>Life</t>
  </si>
  <si>
    <t>Cost</t>
  </si>
  <si>
    <t>Machine</t>
  </si>
  <si>
    <t>Hours</t>
  </si>
  <si>
    <t>Factor</t>
  </si>
  <si>
    <t>Stationary, Power Unit</t>
  </si>
  <si>
    <t>Tractor, 2 Wheel Drive</t>
  </si>
  <si>
    <t>Tractor, 4 Wheel Drive</t>
  </si>
  <si>
    <t>Tractor, Crawler</t>
  </si>
  <si>
    <t>Combine, PTO</t>
  </si>
  <si>
    <t>Combine, Self-Propelled</t>
  </si>
  <si>
    <t>Swather, Self-Propelled</t>
  </si>
  <si>
    <t>Wagon and Box</t>
  </si>
  <si>
    <t>Corn Head</t>
  </si>
  <si>
    <t>Corn Picker</t>
  </si>
  <si>
    <t>Cutter, Rotary</t>
  </si>
  <si>
    <t>Cutter, Stalk</t>
  </si>
  <si>
    <t>Fertilizer Equipment, Dry</t>
  </si>
  <si>
    <t>Fertilizer Equipment, Liquid</t>
  </si>
  <si>
    <t>Floats and Scrapers</t>
  </si>
  <si>
    <t>Harvester, Flail</t>
  </si>
  <si>
    <t>Harvester, Potato</t>
  </si>
  <si>
    <t>Harvester, Sugar Beet</t>
  </si>
  <si>
    <t>Hay Conditioner</t>
  </si>
  <si>
    <t>Land Plane</t>
  </si>
  <si>
    <t>Loader, Ensilage</t>
  </si>
  <si>
    <t>Loader, Front End</t>
  </si>
  <si>
    <t>Manure Spreader</t>
  </si>
  <si>
    <t>Mower</t>
  </si>
  <si>
    <t>Rake, Side Delivery</t>
  </si>
  <si>
    <t>Seeding Equipment</t>
  </si>
  <si>
    <t>Sprayers, Mounted</t>
  </si>
  <si>
    <t>Tillage Tools</t>
  </si>
  <si>
    <t>Truck, Feed</t>
  </si>
  <si>
    <t>Truck, Farm</t>
  </si>
  <si>
    <t>Truck, Pickup</t>
  </si>
  <si>
    <t>Wagon, Feed</t>
  </si>
  <si>
    <t>Baler with Engine</t>
  </si>
  <si>
    <t>Baler, PTO</t>
  </si>
  <si>
    <t>Blower, Ensilage</t>
  </si>
  <si>
    <t>Harvester, Forage, Pull-Type</t>
  </si>
  <si>
    <t>Harvester, Forage, Self-Propelled</t>
  </si>
  <si>
    <t>Sprayer, Self-Propelled</t>
  </si>
  <si>
    <t>Range</t>
  </si>
  <si>
    <t>Speed or</t>
  </si>
  <si>
    <t>of Field</t>
  </si>
  <si>
    <t>Performance</t>
  </si>
  <si>
    <t>Efficiency</t>
  </si>
  <si>
    <t>Rate</t>
  </si>
  <si>
    <t>Percent</t>
  </si>
  <si>
    <t>Tillage:</t>
  </si>
  <si>
    <t xml:space="preserve">  Moldboard or disk plow</t>
  </si>
  <si>
    <t>3.5-6 mph</t>
  </si>
  <si>
    <t>70-90</t>
  </si>
  <si>
    <t xml:space="preserve">  Chisel plow</t>
  </si>
  <si>
    <t>4-6.5 mph</t>
  </si>
  <si>
    <t xml:space="preserve">  Lister</t>
  </si>
  <si>
    <t>3-5.5 mph</t>
  </si>
  <si>
    <t xml:space="preserve">  One-way disk, 3-5 in. depth</t>
  </si>
  <si>
    <t>4-7   mph</t>
  </si>
  <si>
    <t xml:space="preserve">  Subsoiler</t>
  </si>
  <si>
    <t>3-5   mph</t>
  </si>
  <si>
    <t xml:space="preserve">  Land plane</t>
  </si>
  <si>
    <t xml:space="preserve">  Powered rotary tiller</t>
  </si>
  <si>
    <t>1-5   mph</t>
  </si>
  <si>
    <t xml:space="preserve">  3-4 in. increment of cut</t>
  </si>
  <si>
    <t xml:space="preserve">  Harrow -- Single disk</t>
  </si>
  <si>
    <t>3-6   mph</t>
  </si>
  <si>
    <t xml:space="preserve">  Tandem disk</t>
  </si>
  <si>
    <t xml:space="preserve">  Offset or heavy tandem disk</t>
  </si>
  <si>
    <t xml:space="preserve">  Spring Tooth harrow</t>
  </si>
  <si>
    <t xml:space="preserve">  Spike tooth harrow</t>
  </si>
  <si>
    <t xml:space="preserve">  Roller or packer (cultipacker)</t>
  </si>
  <si>
    <t>4.5-7.5 mph</t>
  </si>
  <si>
    <t xml:space="preserve">  Rotary hoe</t>
  </si>
  <si>
    <t>5-10  mph</t>
  </si>
  <si>
    <t>70-85</t>
  </si>
  <si>
    <t xml:space="preserve">  Rod weeder</t>
  </si>
  <si>
    <t>4-6   mph</t>
  </si>
  <si>
    <t xml:space="preserve">  Field cultivator</t>
  </si>
  <si>
    <t>3-8   mph</t>
  </si>
  <si>
    <t xml:space="preserve">  Row crop cultivator - shallow</t>
  </si>
  <si>
    <t>2.5-5 mph</t>
  </si>
  <si>
    <t xml:space="preserve">  Row crop cultivator - deep</t>
  </si>
  <si>
    <t>1.5-3 mph</t>
  </si>
  <si>
    <t xml:space="preserve">  Bed sled or shaper</t>
  </si>
  <si>
    <t>2-4   mph</t>
  </si>
  <si>
    <t xml:space="preserve">  Unpowered rotary cultivator</t>
  </si>
  <si>
    <t>3-7   mph</t>
  </si>
  <si>
    <t>Fertilizer and Chemical Application:</t>
  </si>
  <si>
    <t xml:space="preserve">  Fertilizer spreader, pull type</t>
  </si>
  <si>
    <t>60-75</t>
  </si>
  <si>
    <t xml:space="preserve">  Anhydrous ammonia applicator</t>
  </si>
  <si>
    <t xml:space="preserve">  Sprayer</t>
  </si>
  <si>
    <t>50-80</t>
  </si>
  <si>
    <t>Planting:</t>
  </si>
  <si>
    <t>50-85</t>
  </si>
  <si>
    <t xml:space="preserve">  Grain drill</t>
  </si>
  <si>
    <t>2.5-6 mph</t>
  </si>
  <si>
    <t>65-85</t>
  </si>
  <si>
    <t>Harvesting:</t>
  </si>
  <si>
    <t xml:space="preserve">  Mower only</t>
  </si>
  <si>
    <t>5-7   mph</t>
  </si>
  <si>
    <t>75-85</t>
  </si>
  <si>
    <t xml:space="preserve">  Mower-conditioner, cutter bar type</t>
  </si>
  <si>
    <t>60-85</t>
  </si>
  <si>
    <t>55-85</t>
  </si>
  <si>
    <t xml:space="preserve">  Conditioner only</t>
  </si>
  <si>
    <t xml:space="preserve">  Rake</t>
  </si>
  <si>
    <t>4-5   mph</t>
  </si>
  <si>
    <t xml:space="preserve">  Baler</t>
  </si>
  <si>
    <t>3-10  mph</t>
  </si>
  <si>
    <t xml:space="preserve">  Hay cuber</t>
  </si>
  <si>
    <t>3-5   tons/hr</t>
  </si>
  <si>
    <t xml:space="preserve">  Loose hay Sweep</t>
  </si>
  <si>
    <t>7-24  tons/hr</t>
  </si>
  <si>
    <t>----</t>
  </si>
  <si>
    <t xml:space="preserve">  Hay stacker, seperate bucking</t>
  </si>
  <si>
    <t>24-33 tons/hr</t>
  </si>
  <si>
    <t>9-15  tons/hr</t>
  </si>
  <si>
    <t>5-10  tons/hr</t>
  </si>
  <si>
    <t>50-75</t>
  </si>
  <si>
    <t xml:space="preserve">     Green forage</t>
  </si>
  <si>
    <t xml:space="preserve">     Wilted forage</t>
  </si>
  <si>
    <t xml:space="preserve">     Dry hay or straw</t>
  </si>
  <si>
    <t xml:space="preserve">     Corn silage</t>
  </si>
  <si>
    <t xml:space="preserve">     Recutter attachment</t>
  </si>
  <si>
    <t xml:space="preserve">  Windrower, small grain</t>
  </si>
  <si>
    <t xml:space="preserve">  Combine - small grain</t>
  </si>
  <si>
    <t>65-80</t>
  </si>
  <si>
    <t xml:space="preserve">  Combine - corn</t>
  </si>
  <si>
    <t xml:space="preserve">  Corn picker, 1 row, trailed</t>
  </si>
  <si>
    <t>60-80</t>
  </si>
  <si>
    <t xml:space="preserve">  Corn picker, 2 row, trailed</t>
  </si>
  <si>
    <t xml:space="preserve">  Corn picker, 2 row, mounted</t>
  </si>
  <si>
    <t xml:space="preserve">  Cotton picker, 1 row, mounted</t>
  </si>
  <si>
    <t>.6-.8 acres/hr</t>
  </si>
  <si>
    <t xml:space="preserve">  Cotton picker, 1 row, self-propell.</t>
  </si>
  <si>
    <t>.9-1.2 acres/hr</t>
  </si>
  <si>
    <t xml:space="preserve">  Cotton stripper, 2 row</t>
  </si>
  <si>
    <t>1-2   acres/hr</t>
  </si>
  <si>
    <t xml:space="preserve">  Beet topper</t>
  </si>
  <si>
    <t>2-3   mph</t>
  </si>
  <si>
    <t xml:space="preserve">  Beet harvester</t>
  </si>
  <si>
    <t xml:space="preserve">  Rotary mower, horizontal blade</t>
  </si>
  <si>
    <t xml:space="preserve">  Open field</t>
  </si>
  <si>
    <t xml:space="preserve">  Row crop</t>
  </si>
  <si>
    <t xml:space="preserve">  Forage blower-wilted forage</t>
  </si>
  <si>
    <t>20-30 tons/hr</t>
  </si>
  <si>
    <t xml:space="preserve">  Corn or grass silage</t>
  </si>
  <si>
    <t>20-50 tons/hr</t>
  </si>
  <si>
    <t>WW on Fallow</t>
  </si>
  <si>
    <t>WW on Recrop</t>
  </si>
  <si>
    <t>SW on Fallow</t>
  </si>
  <si>
    <t>Summer Fallow</t>
  </si>
  <si>
    <t>Acres</t>
  </si>
  <si>
    <t xml:space="preserve">Acres in </t>
  </si>
  <si>
    <t>This Crop</t>
  </si>
  <si>
    <t>Opp.  Cost</t>
  </si>
  <si>
    <t>ATC/Acre</t>
  </si>
  <si>
    <t>Yrs Life</t>
  </si>
  <si>
    <t>Total Op.</t>
  </si>
  <si>
    <t>Total Ow</t>
  </si>
  <si>
    <t>Total All</t>
  </si>
  <si>
    <t xml:space="preserve">Acres </t>
  </si>
  <si>
    <t>Used</t>
  </si>
  <si>
    <t>Overhead</t>
  </si>
  <si>
    <t>Unallocated</t>
  </si>
  <si>
    <t>Livestock</t>
  </si>
  <si>
    <t>List</t>
  </si>
  <si>
    <t>Price</t>
  </si>
  <si>
    <t>Salvage</t>
  </si>
  <si>
    <t>Value</t>
  </si>
  <si>
    <t>Life In</t>
  </si>
  <si>
    <t>Speed</t>
  </si>
  <si>
    <t>Width</t>
  </si>
  <si>
    <t>Field</t>
  </si>
  <si>
    <t>Per Hour</t>
  </si>
  <si>
    <t>Annual Use</t>
  </si>
  <si>
    <t>In Acres</t>
  </si>
  <si>
    <t>Hours Used</t>
  </si>
  <si>
    <t>Annually</t>
  </si>
  <si>
    <t>Fuel</t>
  </si>
  <si>
    <t>Fuel Type</t>
  </si>
  <si>
    <t>Power</t>
  </si>
  <si>
    <t>Oil</t>
  </si>
  <si>
    <t>Repairs</t>
  </si>
  <si>
    <t>Average</t>
  </si>
  <si>
    <t>Costs Per Ac.</t>
  </si>
  <si>
    <t>Operating</t>
  </si>
  <si>
    <t>Depreciation</t>
  </si>
  <si>
    <t>Opportunity</t>
  </si>
  <si>
    <t>Taxes</t>
  </si>
  <si>
    <t>Insurance</t>
  </si>
  <si>
    <t xml:space="preserve">Average </t>
  </si>
  <si>
    <t>Ownership</t>
  </si>
  <si>
    <t>Cost Per Ac.</t>
  </si>
  <si>
    <t>Avg. Total</t>
  </si>
  <si>
    <t>Costs</t>
  </si>
  <si>
    <t>Per Acre</t>
  </si>
  <si>
    <t xml:space="preserve">Years of </t>
  </si>
  <si>
    <t xml:space="preserve">Total  </t>
  </si>
  <si>
    <t>Costs Per Yr.</t>
  </si>
  <si>
    <t xml:space="preserve">Total </t>
  </si>
  <si>
    <t>Annual</t>
  </si>
  <si>
    <t>Total</t>
  </si>
  <si>
    <t>Repair Factor</t>
  </si>
  <si>
    <t>List Price</t>
  </si>
  <si>
    <t>Life in Hours</t>
  </si>
  <si>
    <t>Acres Per Hr</t>
  </si>
  <si>
    <t xml:space="preserve">Ac. Annual </t>
  </si>
  <si>
    <t>Hrs. Annual</t>
  </si>
  <si>
    <t>Horse Pwr</t>
  </si>
  <si>
    <t>Unit #</t>
  </si>
  <si>
    <t>Hours Annual</t>
  </si>
  <si>
    <t>Use Per Yr.</t>
  </si>
  <si>
    <t>List Pulled Type Implements Here</t>
  </si>
  <si>
    <t>Utility Category Power Unit (Tractor)</t>
  </si>
  <si>
    <t>Total Hours</t>
  </si>
  <si>
    <t>Per Truck</t>
  </si>
  <si>
    <t>Total Acres</t>
  </si>
  <si>
    <t>Miscellaneous Equipment</t>
  </si>
  <si>
    <t>Totals for selected columns &gt;&gt;&gt;</t>
  </si>
  <si>
    <t>Total Costs for each enterprise</t>
  </si>
  <si>
    <t>Acres for each enterprise</t>
  </si>
  <si>
    <t>Machinery Costs per Acre by enterprise</t>
  </si>
  <si>
    <t>Total Machinery Costs (operating + ownership)</t>
  </si>
  <si>
    <t>Hours per acre for power units and self propelled equipment</t>
  </si>
  <si>
    <t>Units of Measure</t>
  </si>
  <si>
    <t>Quantity</t>
  </si>
  <si>
    <t>Price Per Unit</t>
  </si>
  <si>
    <t>Machinery Operating Costs per Acre</t>
  </si>
  <si>
    <t>Calculated Interest Costs per Acre</t>
  </si>
  <si>
    <t>Total Operating Costs per Acre</t>
  </si>
  <si>
    <t>Ownership Costs per Acre (Enter costs per acre)</t>
  </si>
  <si>
    <t>Insurance Cost per acre for real estate</t>
  </si>
  <si>
    <t>Depreciation costs per acre for real estate improvements (fence, dams, bldgs, etc.)</t>
  </si>
  <si>
    <t>Other Ownership costs per acre</t>
  </si>
  <si>
    <t>Real Estate taxes per acre</t>
  </si>
  <si>
    <t>Real Estate Value per acre (includes value of land, buildings, improvements, etc.)</t>
  </si>
  <si>
    <t>Machinery Ownership costs per acre</t>
  </si>
  <si>
    <t>Total Ownership costs per acre</t>
  </si>
  <si>
    <t>Total Costs per acre (operating and ownership)</t>
  </si>
  <si>
    <t xml:space="preserve">  &lt;&lt; This shading means no entry in this cell(s).</t>
  </si>
  <si>
    <t>Acres in this enterprise</t>
  </si>
  <si>
    <t>Expected yield per acre (bushels, tons, cwt. pounds, etc.)</t>
  </si>
  <si>
    <t>FSA Yield per acre  (bushels, tons, cwt. pounds, etc.)</t>
  </si>
  <si>
    <t>Government Payments per unit  (bushels, tons, cwt. pounds, etc.)</t>
  </si>
  <si>
    <t>Expected local cash price per unit  (bushels, tons, cwt. pounds, etc.)</t>
  </si>
  <si>
    <t>Total Income with government payment</t>
  </si>
  <si>
    <t>Total income without government payment</t>
  </si>
  <si>
    <t>Months interest charged on operating loan</t>
  </si>
  <si>
    <t>Power Units (Tractors)</t>
  </si>
  <si>
    <t>Utility Category Power Units</t>
  </si>
  <si>
    <t>Trucks</t>
  </si>
  <si>
    <t>Pickups</t>
  </si>
  <si>
    <t xml:space="preserve">Self Propelled Machinery </t>
  </si>
  <si>
    <t>Implements - Pulled Type</t>
  </si>
  <si>
    <t>Avg. Op/Ac</t>
  </si>
  <si>
    <t>Avg. Own/Ac</t>
  </si>
  <si>
    <t>Section G</t>
  </si>
  <si>
    <t>Section H</t>
  </si>
  <si>
    <t>Section F</t>
  </si>
  <si>
    <t>Section A</t>
  </si>
  <si>
    <t>Section C</t>
  </si>
  <si>
    <t>Section D</t>
  </si>
  <si>
    <t>Section I</t>
  </si>
  <si>
    <t>Section J</t>
  </si>
  <si>
    <t>Section K</t>
  </si>
  <si>
    <t>Section L</t>
  </si>
  <si>
    <t>Section B</t>
  </si>
  <si>
    <t>POWER UNIT NUMBER #1</t>
  </si>
  <si>
    <t>Interest Rate on Operating . Loans: Enter as Above</t>
  </si>
  <si>
    <t xml:space="preserve">Insurance Premium Per $1000 of Valuation   </t>
  </si>
  <si>
    <t>Ownership/Acre&gt;&gt;&gt;</t>
  </si>
  <si>
    <t>Operating /Ac.&gt;&gt;&gt;</t>
  </si>
  <si>
    <t>Total Annual Ownership Costs</t>
  </si>
  <si>
    <t>Total Annual Operating Costs</t>
  </si>
  <si>
    <r>
      <t>Acres</t>
    </r>
    <r>
      <rPr>
        <sz val="10"/>
        <rFont val="Arial"/>
        <family val="0"/>
      </rPr>
      <t xml:space="preserve"> (entered above) for this enterprise </t>
    </r>
  </si>
  <si>
    <t>Pickup not used</t>
  </si>
  <si>
    <t>Pickup Use Enterprise Allocation</t>
  </si>
  <si>
    <t>Truck Use Enterprise Allocation</t>
  </si>
  <si>
    <t>Additional Use</t>
  </si>
  <si>
    <t>Power Units (tractors, trucks, pickups)</t>
  </si>
  <si>
    <t>Enter a description for up to three pickups</t>
  </si>
  <si>
    <t>Total Miles</t>
  </si>
  <si>
    <t>Per Year</t>
  </si>
  <si>
    <t xml:space="preserve">Speed in </t>
  </si>
  <si>
    <t>Miles Per Hr.</t>
  </si>
  <si>
    <t>Driven</t>
  </si>
  <si>
    <t>Calculated</t>
  </si>
  <si>
    <t>Total Acres for the entire operation</t>
  </si>
  <si>
    <t>Enter total acres, other than crop/forage, in this operation for:</t>
  </si>
  <si>
    <t>Farmstead &amp; waste</t>
  </si>
  <si>
    <t>Pasture</t>
  </si>
  <si>
    <t>Percent of</t>
  </si>
  <si>
    <t>Enterprises</t>
  </si>
  <si>
    <t>Acres Per</t>
  </si>
  <si>
    <t>Enterprise</t>
  </si>
  <si>
    <t>Totals</t>
  </si>
  <si>
    <t>each enterprise</t>
  </si>
  <si>
    <t>to family</t>
  </si>
  <si>
    <t>Farmstead &amp;</t>
  </si>
  <si>
    <t>Waste</t>
  </si>
  <si>
    <t>Farm/Ranch</t>
  </si>
  <si>
    <t>Use in Hrs</t>
  </si>
  <si>
    <t>Percent of total acres in this enterprise  &gt;&gt;</t>
  </si>
  <si>
    <t>Help</t>
  </si>
  <si>
    <t>Pickup Cost</t>
  </si>
  <si>
    <t>Ent1</t>
  </si>
  <si>
    <t>Ent2</t>
  </si>
  <si>
    <t>Ent3</t>
  </si>
  <si>
    <t>Ent4</t>
  </si>
  <si>
    <t>Ent5</t>
  </si>
  <si>
    <t>Ent6</t>
  </si>
  <si>
    <t>Ent7</t>
  </si>
  <si>
    <t>Ent8</t>
  </si>
  <si>
    <t>Ent9</t>
  </si>
  <si>
    <t>Ent10</t>
  </si>
  <si>
    <t>Ent11</t>
  </si>
  <si>
    <t>Ent12</t>
  </si>
  <si>
    <t>&gt;0</t>
  </si>
  <si>
    <t>This Pickup</t>
  </si>
  <si>
    <t xml:space="preserve">Hours per </t>
  </si>
  <si>
    <t>Day Based</t>
  </si>
  <si>
    <t>on Total Use</t>
  </si>
  <si>
    <t xml:space="preserve">Number </t>
  </si>
  <si>
    <t>Days Used</t>
  </si>
  <si>
    <t>Pasture or</t>
  </si>
  <si>
    <t>Other income per acre (Straw, AUMs Grazing, etc.)</t>
  </si>
  <si>
    <t>Check Sum</t>
  </si>
  <si>
    <t>Machinery</t>
  </si>
  <si>
    <t xml:space="preserve">This text color Means information has been copied from a previous source within this spread sheet. </t>
  </si>
  <si>
    <t>Acres in</t>
  </si>
  <si>
    <t xml:space="preserve">This </t>
  </si>
  <si>
    <t>Not Used</t>
  </si>
  <si>
    <t>Example Brief Descriptions</t>
  </si>
  <si>
    <t>Canola</t>
  </si>
  <si>
    <t>Safflower</t>
  </si>
  <si>
    <t>Brief Description</t>
  </si>
  <si>
    <t>Crop Enterprise #1</t>
  </si>
  <si>
    <t>Crop Enterprise #2</t>
  </si>
  <si>
    <t>Crop Enterprise #3</t>
  </si>
  <si>
    <t>Crop Enterprise #4</t>
  </si>
  <si>
    <t>Crop Enterprise #5</t>
  </si>
  <si>
    <t>Crop Enterprise #6</t>
  </si>
  <si>
    <t>Crop Enterprise #7</t>
  </si>
  <si>
    <t>Crop Enterprise #8</t>
  </si>
  <si>
    <t>Crop Enterprise #9</t>
  </si>
  <si>
    <r>
      <t>Acres</t>
    </r>
    <r>
      <rPr>
        <sz val="10"/>
        <color indexed="10"/>
        <rFont val="Arial"/>
        <family val="2"/>
      </rPr>
      <t xml:space="preserve"> </t>
    </r>
    <r>
      <rPr>
        <sz val="10"/>
        <rFont val="Arial"/>
        <family val="0"/>
      </rPr>
      <t>ALL trucks are used on this enterprise</t>
    </r>
  </si>
  <si>
    <r>
      <t xml:space="preserve">Total </t>
    </r>
    <r>
      <rPr>
        <b/>
        <sz val="10"/>
        <color indexed="10"/>
        <rFont val="Arial"/>
        <family val="2"/>
      </rPr>
      <t>hours</t>
    </r>
    <r>
      <rPr>
        <sz val="10"/>
        <rFont val="Arial"/>
        <family val="0"/>
      </rPr>
      <t xml:space="preserve"> ALL trucks are used on this enterprise</t>
    </r>
  </si>
  <si>
    <t>Enter a brief description of up to three trucks</t>
  </si>
  <si>
    <t>Enter the precent that each truck is used on each enterprise.</t>
  </si>
  <si>
    <t>Section E</t>
  </si>
  <si>
    <t>Section M</t>
  </si>
  <si>
    <t>Tractor Use other than crops</t>
  </si>
  <si>
    <t>Truck use other than crops</t>
  </si>
  <si>
    <t>For each pickup you enter, please enter the:</t>
  </si>
  <si>
    <t>Fuel Type Factor,</t>
  </si>
  <si>
    <t>This factor is used in column M below</t>
  </si>
  <si>
    <t>left corner) for available</t>
  </si>
  <si>
    <t>print macros</t>
  </si>
  <si>
    <t>See "Macros" Tab (lower</t>
  </si>
  <si>
    <t>Help messages</t>
  </si>
  <si>
    <t xml:space="preserve">  &lt;&lt; Move mouse over the top of cell to display help message.</t>
  </si>
  <si>
    <t>Farm Ranch Name</t>
  </si>
  <si>
    <t>Your Name</t>
  </si>
  <si>
    <t>Address</t>
  </si>
  <si>
    <t>City, State, Zip</t>
  </si>
  <si>
    <t>Phone</t>
  </si>
  <si>
    <t>The Following Table contains estimates of machinery speed ranges and field efficiencies.</t>
  </si>
  <si>
    <t>Values were derived from Nebraska tractor test data.</t>
  </si>
  <si>
    <t xml:space="preserve">Performance rate is generally a </t>
  </si>
  <si>
    <t>direct function of the PTO</t>
  </si>
  <si>
    <t>Horsepower available from the power</t>
  </si>
  <si>
    <t>source. Usual is 1.5 to 4 mph.</t>
  </si>
  <si>
    <t>Table 1. Useful Life in Hours &amp; Repair Factor.</t>
  </si>
  <si>
    <t>Table 2. Average Speed and Efficiency Rates.</t>
  </si>
  <si>
    <t>Typical Range</t>
  </si>
  <si>
    <t>(Percent)</t>
  </si>
  <si>
    <t xml:space="preserve">  Forage harvester, flywheel or cylinder knife</t>
  </si>
  <si>
    <t xml:space="preserve">  Flail-type forage harvester green forage</t>
  </si>
  <si>
    <t xml:space="preserve">  Bale-loader-stacker (loading only)</t>
  </si>
  <si>
    <t xml:space="preserve">  Self propelled mower, conditioner-windrower</t>
  </si>
  <si>
    <t xml:space="preserve">  Corn, soybeans, or cotton, drilling seeding only</t>
  </si>
  <si>
    <t xml:space="preserve">  Corn, soybeans, or cotton, drilling, all attach</t>
  </si>
  <si>
    <t>Click the link below to JUMP TO that section of the factors</t>
  </si>
  <si>
    <t>Average Speed and Efficiency for Tillage Equipment</t>
  </si>
  <si>
    <t>Average Speed and Efficiency for Fertilizer and Chemical Equipment</t>
  </si>
  <si>
    <t>Average Speed and Efficiency for Planting Equipment</t>
  </si>
  <si>
    <t>Average Speed and Efficiency for Harvesting Equipment</t>
  </si>
  <si>
    <t>Back to Top</t>
  </si>
  <si>
    <t>Enter the requested items for each enterprise</t>
  </si>
  <si>
    <t>Alfalfa Hay</t>
  </si>
  <si>
    <t>Grass Hay</t>
  </si>
  <si>
    <t>Enterprise Crop Budget Generator</t>
  </si>
  <si>
    <t>Power Unit Summary Hours. Note: each power unit uses two rows in this section.</t>
  </si>
  <si>
    <t>Multiple Use Implement #1 Totals</t>
  </si>
  <si>
    <t>Multiple Use Implement #2 Totals</t>
  </si>
  <si>
    <t>Self Propelled Equip. (Excludes Trucks)</t>
  </si>
  <si>
    <r>
      <t xml:space="preserve">Returns over total costs, (return to labor and management) </t>
    </r>
    <r>
      <rPr>
        <sz val="10"/>
        <color indexed="10"/>
        <rFont val="Arial"/>
        <family val="2"/>
      </rPr>
      <t>includes</t>
    </r>
    <r>
      <rPr>
        <sz val="10"/>
        <rFont val="Arial"/>
        <family val="0"/>
      </rPr>
      <t xml:space="preserve"> government payments</t>
    </r>
  </si>
  <si>
    <r>
      <t xml:space="preserve">Returns over total costs, (return to labor and management) </t>
    </r>
    <r>
      <rPr>
        <sz val="10"/>
        <color indexed="10"/>
        <rFont val="Arial"/>
        <family val="2"/>
      </rPr>
      <t>excludes</t>
    </r>
    <r>
      <rPr>
        <sz val="10"/>
        <rFont val="Arial"/>
        <family val="0"/>
      </rPr>
      <t xml:space="preserve"> government payments</t>
    </r>
  </si>
  <si>
    <t>Interpretation</t>
  </si>
  <si>
    <r>
      <t xml:space="preserve">Returns over operating costs </t>
    </r>
    <r>
      <rPr>
        <sz val="10"/>
        <color indexed="10"/>
        <rFont val="Arial"/>
        <family val="2"/>
      </rPr>
      <t>including</t>
    </r>
    <r>
      <rPr>
        <sz val="10"/>
        <rFont val="Arial"/>
        <family val="0"/>
      </rPr>
      <t xml:space="preserve"> government payments</t>
    </r>
  </si>
  <si>
    <r>
      <t xml:space="preserve">Returns over operating costs </t>
    </r>
    <r>
      <rPr>
        <sz val="10"/>
        <color indexed="10"/>
        <rFont val="Arial"/>
        <family val="2"/>
      </rPr>
      <t>excluding</t>
    </r>
    <r>
      <rPr>
        <sz val="10"/>
        <rFont val="Arial"/>
        <family val="0"/>
      </rPr>
      <t xml:space="preserve"> government payments</t>
    </r>
  </si>
  <si>
    <t>Interest and Opportunity Costs per acre on real estate</t>
  </si>
  <si>
    <t>Operating Costs by enterprise</t>
  </si>
  <si>
    <t xml:space="preserve">Enterprise revenue summary </t>
  </si>
  <si>
    <t xml:space="preserve">    Total Costs (Operating + Ownership Costs)</t>
  </si>
  <si>
    <r>
      <t xml:space="preserve">Enter a brief description of up to 9 </t>
    </r>
    <r>
      <rPr>
        <b/>
        <sz val="12"/>
        <color indexed="10"/>
        <rFont val="Arial"/>
        <family val="2"/>
      </rPr>
      <t>crop and hay</t>
    </r>
    <r>
      <rPr>
        <b/>
        <sz val="12"/>
        <rFont val="Arial"/>
        <family val="2"/>
      </rPr>
      <t xml:space="preserve"> enterprises, including the summer fallow enterprise</t>
    </r>
  </si>
  <si>
    <t>Acres Use</t>
  </si>
  <si>
    <t>Power Unit</t>
  </si>
  <si>
    <t>Multiple use Implements (MUI)-see help</t>
  </si>
  <si>
    <t>Multiple use Self Propelled, MUSP-See Help</t>
  </si>
  <si>
    <t>Enter a brief discreption of up to six tractors (power units)</t>
  </si>
  <si>
    <t>Power Unit #1</t>
  </si>
  <si>
    <t>Power Unit #2</t>
  </si>
  <si>
    <t>Power Unit #3</t>
  </si>
  <si>
    <t>Power Unit #4</t>
  </si>
  <si>
    <t>Power Unit #5</t>
  </si>
  <si>
    <t>Power Unit #6</t>
  </si>
  <si>
    <t>Sample descriptions:</t>
  </si>
  <si>
    <t>JD Model 4020</t>
  </si>
  <si>
    <t>Case</t>
  </si>
  <si>
    <t>Versatile</t>
  </si>
  <si>
    <t>IH Model xxx</t>
  </si>
  <si>
    <t>Not used</t>
  </si>
  <si>
    <t>#4 tractor not used</t>
  </si>
  <si>
    <t>#5 tractor not used</t>
  </si>
  <si>
    <t>#6 tractor not used</t>
  </si>
  <si>
    <t xml:space="preserve">No </t>
  </si>
  <si>
    <t>Entry</t>
  </si>
  <si>
    <t>Required</t>
  </si>
  <si>
    <t>In This</t>
  </si>
  <si>
    <t>Section</t>
  </si>
  <si>
    <t>Data</t>
  </si>
  <si>
    <t>Percent Allocated (should equal 100) &gt;&gt;</t>
  </si>
  <si>
    <t>PTO Horse</t>
  </si>
  <si>
    <r>
      <t xml:space="preserve">Total acres of </t>
    </r>
    <r>
      <rPr>
        <b/>
        <sz val="10"/>
        <color indexed="10"/>
        <rFont val="Arial"/>
        <family val="2"/>
      </rPr>
      <t>crop and hay</t>
    </r>
    <r>
      <rPr>
        <sz val="10"/>
        <rFont val="Arial"/>
        <family val="2"/>
      </rPr>
      <t xml:space="preserve"> as entered above  &gt;&gt;</t>
    </r>
  </si>
  <si>
    <t>125 hP White</t>
  </si>
  <si>
    <t>Pulled</t>
  </si>
  <si>
    <t>Implements</t>
  </si>
  <si>
    <t>Only in</t>
  </si>
  <si>
    <t>This</t>
  </si>
  <si>
    <t xml:space="preserve">Self </t>
  </si>
  <si>
    <t>Propelled</t>
  </si>
  <si>
    <t>in This</t>
  </si>
  <si>
    <t>Date:</t>
  </si>
  <si>
    <t>Tool Bar</t>
  </si>
  <si>
    <t>Farmer Name XYZ if desired</t>
  </si>
  <si>
    <t xml:space="preserve">Any where </t>
  </si>
  <si>
    <t>Any Town</t>
  </si>
  <si>
    <t>406-555-1212</t>
  </si>
  <si>
    <t>Todays Date</t>
  </si>
  <si>
    <t>Barley on Recrop</t>
  </si>
  <si>
    <t>3/4 ton Chevy Pickup</t>
  </si>
  <si>
    <t>260 hp 4wd #11</t>
  </si>
  <si>
    <t>80 hp 2wd #5</t>
  </si>
  <si>
    <t>skid mount sprayer</t>
  </si>
  <si>
    <t>air seeder</t>
  </si>
  <si>
    <t>fertilizer spreader - rented from dealer</t>
  </si>
  <si>
    <t>Combine #1</t>
  </si>
  <si>
    <t>350 bushel truck #1</t>
  </si>
  <si>
    <t>350 bushel truck #2</t>
  </si>
  <si>
    <t>Ford pickup #2</t>
  </si>
  <si>
    <t>Chevy pickup #1</t>
  </si>
  <si>
    <t>bushel</t>
  </si>
  <si>
    <t>Roundup</t>
  </si>
  <si>
    <t>gallon</t>
  </si>
  <si>
    <t>2, 4-D LV 6</t>
  </si>
  <si>
    <t>Surfactant</t>
  </si>
  <si>
    <t>per acre</t>
  </si>
  <si>
    <t>2, 4-D LV6 #2</t>
  </si>
  <si>
    <t>2,4-D amine</t>
  </si>
  <si>
    <t>Surfactant #2</t>
  </si>
  <si>
    <t>11-52-0</t>
  </si>
  <si>
    <t>ton</t>
  </si>
  <si>
    <t>46-0-0</t>
  </si>
  <si>
    <t>Banvel SGF</t>
  </si>
  <si>
    <t>HIRED LABOR</t>
  </si>
  <si>
    <t>Fertilizer Spreader Rental</t>
  </si>
  <si>
    <t>Example farm for CASMGS Project</t>
  </si>
  <si>
    <t>Returns over operating costs including government payments</t>
  </si>
  <si>
    <t>Returns over total costs, (return to labor and management) includes government payments</t>
  </si>
  <si>
    <t>Returns over operating costs excluding government payments</t>
  </si>
  <si>
    <t>Returns over total costs, (return to labor and management) excludes government payments</t>
  </si>
  <si>
    <t xml:space="preserve">From the enterprise numbers listed on Row 403, enter the </t>
  </si>
  <si>
    <t>Returns Over Total Cost, Adjusted for Prorated Enterprise Costs</t>
  </si>
  <si>
    <t>Prorated Enterprise</t>
  </si>
  <si>
    <t>Returns over total costs, (return to labor &amp; manag.) includes gov. payments</t>
  </si>
  <si>
    <t>Allocated</t>
  </si>
  <si>
    <t>Gallons</t>
  </si>
  <si>
    <t>Per</t>
  </si>
  <si>
    <t>Number</t>
  </si>
  <si>
    <t>Hour</t>
  </si>
  <si>
    <t>Estimated Total Fuel and Lubricant Cost</t>
  </si>
  <si>
    <t xml:space="preserve">Enterprise Revenue and Expense Summaries </t>
  </si>
  <si>
    <r>
      <t>Enter the acres of the</t>
    </r>
    <r>
      <rPr>
        <sz val="10"/>
        <rFont val="Arial"/>
        <family val="2"/>
      </rPr>
      <t xml:space="preserve"> </t>
    </r>
    <r>
      <rPr>
        <sz val="10"/>
        <color indexed="10"/>
        <rFont val="Arial"/>
        <family val="2"/>
      </rPr>
      <t>First Entreprise</t>
    </r>
    <r>
      <rPr>
        <sz val="10"/>
        <rFont val="Arial"/>
        <family val="2"/>
      </rPr>
      <t xml:space="preserve"> to allocated to other enterprises</t>
    </r>
  </si>
  <si>
    <r>
      <t xml:space="preserve">number of </t>
    </r>
    <r>
      <rPr>
        <sz val="10"/>
        <rFont val="Arial"/>
        <family val="2"/>
      </rPr>
      <t xml:space="preserve">the </t>
    </r>
    <r>
      <rPr>
        <sz val="10"/>
        <color indexed="10"/>
        <rFont val="Arial"/>
        <family val="2"/>
      </rPr>
      <t>Second</t>
    </r>
    <r>
      <rPr>
        <sz val="10"/>
        <rFont val="Arial"/>
        <family val="2"/>
      </rPr>
      <t xml:space="preserve"> enterprise you would like to prorate.</t>
    </r>
  </si>
  <si>
    <r>
      <t>Enter the acre</t>
    </r>
    <r>
      <rPr>
        <sz val="10"/>
        <rFont val="Arial"/>
        <family val="2"/>
      </rPr>
      <t xml:space="preserve">s of the </t>
    </r>
    <r>
      <rPr>
        <sz val="10"/>
        <color indexed="10"/>
        <rFont val="Arial"/>
        <family val="2"/>
      </rPr>
      <t>Second Entreprise</t>
    </r>
    <r>
      <rPr>
        <sz val="10"/>
        <rFont val="Arial"/>
        <family val="2"/>
      </rPr>
      <t xml:space="preserve"> to allocated to other enterprises</t>
    </r>
  </si>
  <si>
    <r>
      <t>Prorat</t>
    </r>
    <r>
      <rPr>
        <sz val="10"/>
        <rFont val="Arial"/>
        <family val="2"/>
      </rPr>
      <t xml:space="preserve">ed </t>
    </r>
    <r>
      <rPr>
        <sz val="10"/>
        <color indexed="10"/>
        <rFont val="Arial"/>
        <family val="2"/>
      </rPr>
      <t>First</t>
    </r>
    <r>
      <rPr>
        <sz val="10"/>
        <rFont val="Arial"/>
        <family val="2"/>
      </rPr>
      <t xml:space="preserve"> Enterprise</t>
    </r>
  </si>
  <si>
    <r>
      <t>Prora</t>
    </r>
    <r>
      <rPr>
        <sz val="10"/>
        <rFont val="Arial"/>
        <family val="2"/>
      </rPr>
      <t xml:space="preserve">ted </t>
    </r>
    <r>
      <rPr>
        <sz val="10"/>
        <color indexed="10"/>
        <rFont val="Arial"/>
        <family val="2"/>
      </rPr>
      <t>Second</t>
    </r>
    <r>
      <rPr>
        <sz val="10"/>
        <rFont val="Arial"/>
        <family val="2"/>
      </rPr>
      <t xml:space="preserve"> Enterprise</t>
    </r>
  </si>
  <si>
    <t>Prorating Crop Enterprise Cost for Selected Enterprises to other Enterprises.</t>
  </si>
  <si>
    <t>ENTERPRISE NUMBER &gt;&gt;&gt;&gt;&gt;&gt;&gt;&gt;&gt;&gt;&gt;&gt;&gt;&gt;&gt;</t>
  </si>
  <si>
    <t xml:space="preserve">From the enterprise numbers listed on Row 402, enter the </t>
  </si>
  <si>
    <r>
      <t>number o</t>
    </r>
    <r>
      <rPr>
        <sz val="10"/>
        <rFont val="Arial"/>
        <family val="2"/>
      </rPr>
      <t xml:space="preserve">f the </t>
    </r>
    <r>
      <rPr>
        <sz val="10"/>
        <color indexed="10"/>
        <rFont val="Arial"/>
        <family val="2"/>
      </rPr>
      <t>First</t>
    </r>
    <r>
      <rPr>
        <sz val="10"/>
        <rFont val="Arial"/>
        <family val="2"/>
      </rPr>
      <t xml:space="preserve"> enterprise you would like to prorate.</t>
    </r>
  </si>
  <si>
    <t>Returns Over Total Costs from row 404 above.</t>
  </si>
  <si>
    <t>Estimated total fuel and lubricant cost for operation as budgeted.</t>
  </si>
  <si>
    <r>
      <t xml:space="preserve">of </t>
    </r>
    <r>
      <rPr>
        <sz val="10"/>
        <color indexed="10"/>
        <rFont val="Arial"/>
        <family val="2"/>
      </rPr>
      <t>First Enterprise</t>
    </r>
  </si>
  <si>
    <r>
      <t xml:space="preserve">of </t>
    </r>
    <r>
      <rPr>
        <sz val="10"/>
        <color indexed="10"/>
        <rFont val="Arial"/>
        <family val="2"/>
      </rPr>
      <t>Second Enterprise</t>
    </r>
  </si>
  <si>
    <t>Cost This Enterprise</t>
  </si>
  <si>
    <t>Average acres per hour for self propelled &gt;&gt;</t>
  </si>
  <si>
    <t>for machinery used at multiple speeds.    &gt;&gt;</t>
  </si>
  <si>
    <t>Average acres per hour for pulled        &gt;&gt;</t>
  </si>
  <si>
    <t>implementsused at multiple speeds.   &gt;&gt;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</si>
</sst>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quot;$&quot;#,##0\)"/>
    <numFmt numFmtId="165" formatCode="&quot;$&quot;#,##0\ ;[Red]\(&quot;$&quot;#,##0\)"/>
    <numFmt numFmtId="166" formatCode="&quot;$&quot;#,##0.00\ ;\(&quot;$&quot;#,##0.00\)"/>
    <numFmt numFmtId="167" formatCode="&quot;$&quot;#,##0.00\ ;[Red]\(&quot;$&quot;#,##0.00\)"/>
    <numFmt numFmtId="168" formatCode="m/d"/>
    <numFmt numFmtId="169" formatCode="#,##0.000"/>
    <numFmt numFmtId="170" formatCode="#,##0.0"/>
    <numFmt numFmtId="171" formatCode="0.0"/>
    <numFmt numFmtId="172" formatCode="0.000"/>
    <numFmt numFmtId="173" formatCode="0.0%"/>
    <numFmt numFmtId="174" formatCode="0.00000"/>
    <numFmt numFmtId="175" formatCode="0.0000"/>
    <numFmt numFmtId="176" formatCode="0.0000000"/>
    <numFmt numFmtId="177" formatCode="0.000000"/>
    <numFmt numFmtId="178" formatCode="&quot;$&quot;#,##0"/>
    <numFmt numFmtId="179" formatCode="#,##0.0000"/>
    <numFmt numFmtId="180" formatCode="&quot;$&quot;#,##0.0"/>
    <numFmt numFmtId="181" formatCode="&quot;$&quot;#,##0.00"/>
    <numFmt numFmtId="182" formatCode="mmmm\ d\,\ yyyy"/>
    <numFmt numFmtId="183" formatCode="&quot;$&quot;#,##0.00;[Red]&quot;$&quot;#,##0.00"/>
  </numFmts>
  <fonts count="36">
    <font>
      <sz val="12"/>
      <name val="Arial"/>
      <family val="0"/>
    </font>
    <font>
      <sz val="18"/>
      <name val="Arial"/>
      <family val="0"/>
    </font>
    <font>
      <sz val="8"/>
      <name val="Arial"/>
      <family val="0"/>
    </font>
    <font>
      <i/>
      <sz val="12"/>
      <name val="Arial"/>
      <family val="0"/>
    </font>
    <font>
      <b/>
      <sz val="12"/>
      <name val="Arial"/>
      <family val="0"/>
    </font>
    <font>
      <b/>
      <sz val="10"/>
      <name val="Arial"/>
      <family val="0"/>
    </font>
    <font>
      <b/>
      <sz val="18"/>
      <name val="Arial"/>
      <family val="0"/>
    </font>
    <font>
      <sz val="10"/>
      <name val="Arial"/>
      <family val="0"/>
    </font>
    <font>
      <sz val="12"/>
      <color indexed="12"/>
      <name val="Arial"/>
      <family val="2"/>
    </font>
    <font>
      <b/>
      <sz val="12"/>
      <color indexed="12"/>
      <name val="Arial"/>
      <family val="0"/>
    </font>
    <font>
      <b/>
      <sz val="10"/>
      <color indexed="12"/>
      <name val="Arial"/>
      <family val="2"/>
    </font>
    <font>
      <b/>
      <sz val="10"/>
      <color indexed="50"/>
      <name val="Arial"/>
      <family val="2"/>
    </font>
    <font>
      <sz val="10"/>
      <color indexed="10"/>
      <name val="Arial"/>
      <family val="2"/>
    </font>
    <font>
      <b/>
      <sz val="12"/>
      <color indexed="50"/>
      <name val="Arial"/>
      <family val="2"/>
    </font>
    <font>
      <b/>
      <sz val="10"/>
      <color indexed="10"/>
      <name val="Arial"/>
      <family val="2"/>
    </font>
    <font>
      <b/>
      <sz val="14"/>
      <name val="Arial"/>
      <family val="2"/>
    </font>
    <font>
      <sz val="11"/>
      <name val="Arial"/>
      <family val="2"/>
    </font>
    <font>
      <b/>
      <sz val="11"/>
      <name val="Tahoma"/>
      <family val="2"/>
    </font>
    <font>
      <b/>
      <sz val="11"/>
      <color indexed="10"/>
      <name val="Tahoma"/>
      <family val="2"/>
    </font>
    <font>
      <b/>
      <sz val="11"/>
      <name val="Arial"/>
      <family val="2"/>
    </font>
    <font>
      <b/>
      <sz val="12"/>
      <name val="Tahoma"/>
      <family val="2"/>
    </font>
    <font>
      <b/>
      <sz val="12"/>
      <color indexed="10"/>
      <name val="Arial"/>
      <family val="2"/>
    </font>
    <font>
      <b/>
      <sz val="10"/>
      <name val="Tahoma"/>
      <family val="2"/>
    </font>
    <font>
      <sz val="9"/>
      <name val="Arial"/>
      <family val="2"/>
    </font>
    <font>
      <u val="single"/>
      <sz val="12"/>
      <color indexed="12"/>
      <name val="Arial"/>
      <family val="0"/>
    </font>
    <font>
      <u val="single"/>
      <sz val="12"/>
      <color indexed="36"/>
      <name val="Arial"/>
      <family val="0"/>
    </font>
    <font>
      <b/>
      <sz val="10"/>
      <color indexed="10"/>
      <name val="Tahoma"/>
      <family val="2"/>
    </font>
    <font>
      <sz val="8"/>
      <name val="Tahoma"/>
      <family val="0"/>
    </font>
    <font>
      <b/>
      <sz val="9"/>
      <name val="Arial"/>
      <family val="2"/>
    </font>
    <font>
      <sz val="10"/>
      <color indexed="50"/>
      <name val="Arial"/>
      <family val="2"/>
    </font>
    <font>
      <sz val="10"/>
      <name val="Helv"/>
      <family val="0"/>
    </font>
    <font>
      <sz val="10"/>
      <name val="Courier"/>
      <family val="0"/>
    </font>
    <font>
      <sz val="10"/>
      <color indexed="12"/>
      <name val="Courier"/>
      <family val="0"/>
    </font>
    <font>
      <b/>
      <sz val="10"/>
      <name val="Courier"/>
      <family val="3"/>
    </font>
    <font>
      <sz val="10"/>
      <color indexed="12"/>
      <name val="Arial"/>
      <family val="2"/>
    </font>
    <font>
      <b/>
      <sz val="8"/>
      <name val="Arial"/>
      <family val="2"/>
    </font>
  </fonts>
  <fills count="12">
    <fill>
      <patternFill/>
    </fill>
    <fill>
      <patternFill patternType="gray125"/>
    </fill>
    <fill>
      <patternFill patternType="darkTrellis">
        <fgColor indexed="13"/>
      </patternFill>
    </fill>
    <fill>
      <patternFill patternType="solid">
        <fgColor indexed="60"/>
        <bgColor indexed="64"/>
      </patternFill>
    </fill>
    <fill>
      <patternFill patternType="solid">
        <fgColor indexed="43"/>
        <bgColor indexed="64"/>
      </patternFill>
    </fill>
    <fill>
      <patternFill patternType="solid">
        <fgColor indexed="42"/>
        <bgColor indexed="64"/>
      </patternFill>
    </fill>
    <fill>
      <patternFill patternType="lightGray"/>
    </fill>
    <fill>
      <patternFill patternType="darkDown"/>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s>
  <borders count="81">
    <border>
      <left/>
      <right/>
      <top/>
      <bottom/>
      <diagonal/>
    </border>
    <border>
      <left>
        <color indexed="63"/>
      </left>
      <right>
        <color indexed="63"/>
      </right>
      <top>
        <color indexed="63"/>
      </top>
      <bottom style="thick"/>
    </border>
    <border>
      <left style="thin"/>
      <right style="hair">
        <color indexed="12"/>
      </right>
      <top style="thick"/>
      <bottom style="hair">
        <color indexed="12"/>
      </bottom>
    </border>
    <border>
      <left style="hair">
        <color indexed="12"/>
      </left>
      <right style="hair">
        <color indexed="12"/>
      </right>
      <top style="thick"/>
      <bottom style="hair">
        <color indexed="12"/>
      </bottom>
    </border>
    <border>
      <left style="hair">
        <color indexed="12"/>
      </left>
      <right style="thin"/>
      <top style="thick"/>
      <bottom style="hair">
        <color indexed="12"/>
      </bottom>
    </border>
    <border>
      <left style="thin"/>
      <right style="hair">
        <color indexed="12"/>
      </right>
      <top style="hair">
        <color indexed="12"/>
      </top>
      <bottom style="hair">
        <color indexed="12"/>
      </bottom>
    </border>
    <border>
      <left style="hair">
        <color indexed="12"/>
      </left>
      <right style="hair">
        <color indexed="12"/>
      </right>
      <top style="hair">
        <color indexed="12"/>
      </top>
      <bottom style="hair">
        <color indexed="12"/>
      </bottom>
    </border>
    <border>
      <left style="hair">
        <color indexed="12"/>
      </left>
      <right style="thin"/>
      <top style="hair">
        <color indexed="12"/>
      </top>
      <bottom style="hair">
        <color indexed="12"/>
      </bottom>
    </border>
    <border>
      <left style="thin"/>
      <right style="hair">
        <color indexed="12"/>
      </right>
      <top style="hair">
        <color indexed="12"/>
      </top>
      <bottom style="thin"/>
    </border>
    <border>
      <left style="hair">
        <color indexed="12"/>
      </left>
      <right style="hair">
        <color indexed="12"/>
      </right>
      <top style="hair">
        <color indexed="12"/>
      </top>
      <bottom style="thin"/>
    </border>
    <border>
      <left style="hair">
        <color indexed="12"/>
      </left>
      <right style="thin"/>
      <top style="hair">
        <color indexed="12"/>
      </top>
      <bottom style="thin"/>
    </border>
    <border>
      <left>
        <color indexed="63"/>
      </left>
      <right style="hair">
        <color indexed="12"/>
      </right>
      <top style="thin"/>
      <bottom style="hair">
        <color indexed="12"/>
      </bottom>
    </border>
    <border>
      <left style="hair">
        <color indexed="12"/>
      </left>
      <right style="hair">
        <color indexed="12"/>
      </right>
      <top style="thin"/>
      <bottom style="hair">
        <color indexed="12"/>
      </bottom>
    </border>
    <border>
      <left style="hair">
        <color indexed="12"/>
      </left>
      <right style="thin"/>
      <top style="thin"/>
      <bottom style="hair">
        <color indexed="12"/>
      </bottom>
    </border>
    <border>
      <left>
        <color indexed="63"/>
      </left>
      <right style="hair">
        <color indexed="12"/>
      </right>
      <top style="hair">
        <color indexed="12"/>
      </top>
      <bottom style="hair">
        <color indexed="12"/>
      </bottom>
    </border>
    <border>
      <left>
        <color indexed="63"/>
      </left>
      <right style="hair">
        <color indexed="12"/>
      </right>
      <top style="hair">
        <color indexed="12"/>
      </top>
      <bottom style="thin"/>
    </border>
    <border>
      <left style="thin"/>
      <right>
        <color indexed="63"/>
      </right>
      <top style="hair">
        <color indexed="12"/>
      </top>
      <bottom style="hair">
        <color indexed="12"/>
      </bottom>
    </border>
    <border>
      <left style="thin"/>
      <right>
        <color indexed="63"/>
      </right>
      <top style="hair">
        <color indexed="12"/>
      </top>
      <bottom style="thin"/>
    </border>
    <border>
      <left>
        <color indexed="63"/>
      </left>
      <right style="thin"/>
      <top style="hair">
        <color indexed="12"/>
      </top>
      <bottom style="hair">
        <color indexed="12"/>
      </bottom>
    </border>
    <border>
      <left>
        <color indexed="63"/>
      </left>
      <right style="thin"/>
      <top style="hair">
        <color indexed="12"/>
      </top>
      <bottom style="thin"/>
    </border>
    <border>
      <left style="thin"/>
      <right style="hair">
        <color indexed="12"/>
      </right>
      <top style="thin"/>
      <bottom style="hair">
        <color indexed="12"/>
      </bottom>
    </border>
    <border>
      <left style="hair">
        <color indexed="12"/>
      </left>
      <right style="thin"/>
      <top style="hair">
        <color indexed="12"/>
      </top>
      <bottom>
        <color indexed="63"/>
      </bottom>
    </border>
    <border>
      <left style="hair">
        <color indexed="12"/>
      </left>
      <right style="thin"/>
      <top>
        <color indexed="63"/>
      </top>
      <bottom style="hair">
        <color indexed="12"/>
      </bottom>
    </border>
    <border>
      <left style="thin"/>
      <right style="thin"/>
      <top style="thin"/>
      <bottom style="hair">
        <color indexed="12"/>
      </bottom>
    </border>
    <border>
      <left style="thin"/>
      <right style="thin"/>
      <top style="hair">
        <color indexed="12"/>
      </top>
      <bottom style="hair">
        <color indexed="12"/>
      </bottom>
    </border>
    <border>
      <left style="thin"/>
      <right style="thin"/>
      <top style="hair">
        <color indexed="12"/>
      </top>
      <bottom style="thin"/>
    </border>
    <border>
      <left style="thin"/>
      <right style="thin"/>
      <top style="hair">
        <color indexed="12"/>
      </top>
      <bottom style="thick"/>
    </border>
    <border>
      <left style="hair">
        <color indexed="12"/>
      </left>
      <right>
        <color indexed="63"/>
      </right>
      <top style="thin"/>
      <bottom style="hair">
        <color indexed="12"/>
      </bottom>
    </border>
    <border>
      <left style="hair">
        <color indexed="12"/>
      </left>
      <right>
        <color indexed="63"/>
      </right>
      <top style="hair">
        <color indexed="12"/>
      </top>
      <bottom style="hair">
        <color indexed="12"/>
      </bottom>
    </border>
    <border>
      <left style="hair">
        <color indexed="12"/>
      </left>
      <right>
        <color indexed="63"/>
      </right>
      <top style="hair">
        <color indexed="12"/>
      </top>
      <bottom style="thin"/>
    </border>
    <border>
      <left style="thin"/>
      <right style="thin"/>
      <top style="hair">
        <color indexed="12"/>
      </top>
      <bottom>
        <color indexed="63"/>
      </bottom>
    </border>
    <border>
      <left style="thin"/>
      <right style="hair">
        <color indexed="12"/>
      </right>
      <top>
        <color indexed="63"/>
      </top>
      <bottom style="hair">
        <color indexed="12"/>
      </bottom>
    </border>
    <border>
      <left style="hair">
        <color indexed="12"/>
      </left>
      <right style="hair">
        <color indexed="12"/>
      </right>
      <top>
        <color indexed="63"/>
      </top>
      <bottom style="hair">
        <color indexed="12"/>
      </bottom>
    </border>
    <border>
      <left style="thin"/>
      <right style="hair">
        <color indexed="12"/>
      </right>
      <top style="hair">
        <color indexed="12"/>
      </top>
      <bottom>
        <color indexed="63"/>
      </bottom>
    </border>
    <border>
      <left style="hair">
        <color indexed="12"/>
      </left>
      <right style="hair">
        <color indexed="12"/>
      </right>
      <top style="hair">
        <color indexed="12"/>
      </top>
      <bottom>
        <color indexed="63"/>
      </bottom>
    </border>
    <border>
      <left style="double"/>
      <right style="thin"/>
      <top style="hair">
        <color indexed="12"/>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hair">
        <color indexed="12"/>
      </right>
      <top>
        <color indexed="63"/>
      </top>
      <bottom style="hair">
        <color indexed="12"/>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style="double"/>
      <top style="double"/>
      <bottom style="double"/>
    </border>
    <border>
      <left style="double"/>
      <right style="double"/>
      <top style="double"/>
      <bottom style="double"/>
    </border>
    <border>
      <left style="thin"/>
      <right style="thin"/>
      <top style="thin"/>
      <bottom style="thin"/>
    </border>
    <border>
      <left>
        <color indexed="63"/>
      </left>
      <right>
        <color indexed="63"/>
      </right>
      <top style="thin"/>
      <bottom style="thin"/>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color indexed="63"/>
      </top>
      <bottom style="medium"/>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thin"/>
      <right style="thin"/>
      <top>
        <color indexed="63"/>
      </top>
      <bottom style="thin"/>
    </border>
    <border>
      <left>
        <color indexed="63"/>
      </left>
      <right>
        <color indexed="63"/>
      </right>
      <top style="double"/>
      <bottom style="thin"/>
    </border>
    <border>
      <left>
        <color indexed="63"/>
      </left>
      <right>
        <color indexed="63"/>
      </right>
      <top style="hair">
        <color indexed="12"/>
      </top>
      <bottom style="hair">
        <color indexed="12"/>
      </bottom>
    </border>
    <border>
      <left style="thin"/>
      <right>
        <color indexed="63"/>
      </right>
      <top style="thin"/>
      <bottom style="hair">
        <color indexed="12"/>
      </bottom>
    </border>
    <border>
      <left>
        <color indexed="63"/>
      </left>
      <right style="thin"/>
      <top style="thin"/>
      <bottom style="hair">
        <color indexed="12"/>
      </bottom>
    </border>
    <border>
      <left>
        <color indexed="63"/>
      </left>
      <right>
        <color indexed="63"/>
      </right>
      <top style="hair">
        <color indexed="12"/>
      </top>
      <bottom style="thin"/>
    </border>
    <border>
      <left style="double"/>
      <right style="double"/>
      <top style="double"/>
      <bottom>
        <color indexed="63"/>
      </bottom>
    </border>
    <border>
      <left style="double"/>
      <right style="double"/>
      <top>
        <color indexed="63"/>
      </top>
      <bottom style="double"/>
    </border>
    <border>
      <left>
        <color indexed="63"/>
      </left>
      <right>
        <color indexed="63"/>
      </right>
      <top style="thin"/>
      <bottom style="hair">
        <color indexed="12"/>
      </bottom>
    </border>
    <border>
      <left style="thin"/>
      <right style="hair">
        <color indexed="12"/>
      </right>
      <top style="thin"/>
      <bottom style="thin"/>
    </border>
    <border>
      <left style="hair">
        <color indexed="12"/>
      </left>
      <right style="hair">
        <color indexed="12"/>
      </right>
      <top style="thin"/>
      <bottom style="thin"/>
    </border>
    <border>
      <left style="hair">
        <color indexed="12"/>
      </left>
      <right style="thin"/>
      <top style="thin"/>
      <bottom style="thin"/>
    </border>
    <border>
      <left>
        <color indexed="63"/>
      </left>
      <right>
        <color indexed="63"/>
      </right>
      <top style="double"/>
      <bottom style="medium"/>
    </border>
    <border>
      <left>
        <color indexed="63"/>
      </left>
      <right style="thin"/>
      <top style="double"/>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30" fillId="0" borderId="0" applyFont="0" applyFill="0" applyBorder="0" applyAlignment="0" applyProtection="0"/>
    <xf numFmtId="8" fontId="30" fillId="0" borderId="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31" fillId="0" borderId="0">
      <alignment/>
      <protection/>
    </xf>
    <xf numFmtId="9" fontId="30" fillId="0" borderId="0" applyFont="0" applyFill="0" applyBorder="0" applyAlignment="0" applyProtection="0"/>
  </cellStyleXfs>
  <cellXfs count="551">
    <xf numFmtId="0" fontId="0" fillId="0" borderId="0" xfId="0" applyAlignment="1">
      <alignment/>
    </xf>
    <xf numFmtId="166" fontId="0" fillId="0" borderId="0" xfId="0" applyNumberFormat="1" applyAlignment="1">
      <alignment/>
    </xf>
    <xf numFmtId="0" fontId="7" fillId="0" borderId="0" xfId="0" applyFont="1" applyAlignment="1">
      <alignment horizontal="center"/>
    </xf>
    <xf numFmtId="0" fontId="7" fillId="0" borderId="1" xfId="0" applyFont="1" applyBorder="1" applyAlignment="1">
      <alignment/>
    </xf>
    <xf numFmtId="0" fontId="5" fillId="2" borderId="0" xfId="0" applyFont="1" applyFill="1" applyAlignment="1">
      <alignment/>
    </xf>
    <xf numFmtId="0" fontId="7" fillId="0" borderId="0" xfId="0" applyFont="1" applyAlignment="1">
      <alignment/>
    </xf>
    <xf numFmtId="0" fontId="5" fillId="0" borderId="0" xfId="0" applyFont="1" applyAlignment="1">
      <alignment/>
    </xf>
    <xf numFmtId="169" fontId="7" fillId="0" borderId="0" xfId="0" applyNumberFormat="1" applyFont="1" applyAlignment="1" applyProtection="1">
      <alignment/>
      <protection locked="0"/>
    </xf>
    <xf numFmtId="0" fontId="7" fillId="0" borderId="0" xfId="0" applyFont="1" applyAlignment="1">
      <alignment horizontal="center"/>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10" fillId="0" borderId="4" xfId="0" applyFont="1" applyBorder="1" applyAlignment="1" applyProtection="1">
      <alignment horizontal="center"/>
      <protection locked="0"/>
    </xf>
    <xf numFmtId="0" fontId="10" fillId="0" borderId="5" xfId="0" applyFont="1" applyBorder="1" applyAlignment="1" applyProtection="1">
      <alignment horizontal="center"/>
      <protection locked="0"/>
    </xf>
    <xf numFmtId="0" fontId="10" fillId="0" borderId="6" xfId="0" applyFont="1" applyBorder="1" applyAlignment="1" applyProtection="1">
      <alignment horizontal="center"/>
      <protection locked="0"/>
    </xf>
    <xf numFmtId="0" fontId="10" fillId="0" borderId="7" xfId="0" applyFont="1" applyBorder="1" applyAlignment="1" applyProtection="1">
      <alignment horizontal="center"/>
      <protection locked="0"/>
    </xf>
    <xf numFmtId="0" fontId="10" fillId="0" borderId="8" xfId="0" applyFont="1" applyBorder="1" applyAlignment="1" applyProtection="1">
      <alignment horizontal="center"/>
      <protection locked="0"/>
    </xf>
    <xf numFmtId="0" fontId="10" fillId="0" borderId="9" xfId="0" applyFont="1" applyBorder="1" applyAlignment="1" applyProtection="1">
      <alignment horizontal="center"/>
      <protection locked="0"/>
    </xf>
    <xf numFmtId="0" fontId="10" fillId="0" borderId="10" xfId="0" applyFont="1" applyBorder="1" applyAlignment="1" applyProtection="1">
      <alignment horizontal="center"/>
      <protection locked="0"/>
    </xf>
    <xf numFmtId="2" fontId="10" fillId="0" borderId="11" xfId="0" applyNumberFormat="1" applyFont="1" applyBorder="1" applyAlignment="1" applyProtection="1">
      <alignment horizontal="center"/>
      <protection locked="0"/>
    </xf>
    <xf numFmtId="0" fontId="10" fillId="0" borderId="12" xfId="0" applyFont="1" applyBorder="1" applyAlignment="1" applyProtection="1">
      <alignment horizontal="center"/>
      <protection locked="0"/>
    </xf>
    <xf numFmtId="0" fontId="10" fillId="0" borderId="13" xfId="0" applyFont="1" applyBorder="1" applyAlignment="1" applyProtection="1">
      <alignment horizontal="center"/>
      <protection locked="0"/>
    </xf>
    <xf numFmtId="2" fontId="10" fillId="0" borderId="14" xfId="0" applyNumberFormat="1" applyFont="1" applyBorder="1" applyAlignment="1" applyProtection="1">
      <alignment horizontal="center"/>
      <protection locked="0"/>
    </xf>
    <xf numFmtId="2" fontId="10" fillId="0" borderId="15" xfId="0" applyNumberFormat="1" applyFont="1" applyBorder="1" applyAlignment="1" applyProtection="1">
      <alignment horizontal="center"/>
      <protection locked="0"/>
    </xf>
    <xf numFmtId="0" fontId="10" fillId="0" borderId="16" xfId="0" applyFont="1" applyBorder="1" applyAlignment="1" applyProtection="1">
      <alignment/>
      <protection locked="0"/>
    </xf>
    <xf numFmtId="0" fontId="10" fillId="0" borderId="17" xfId="0" applyFont="1" applyBorder="1" applyAlignment="1" applyProtection="1">
      <alignment/>
      <protection locked="0"/>
    </xf>
    <xf numFmtId="0" fontId="10" fillId="0" borderId="18" xfId="0" applyFont="1" applyBorder="1" applyAlignment="1" applyProtection="1">
      <alignment/>
      <protection locked="0"/>
    </xf>
    <xf numFmtId="0" fontId="10" fillId="0" borderId="19" xfId="0" applyFont="1" applyBorder="1" applyAlignment="1" applyProtection="1">
      <alignment/>
      <protection locked="0"/>
    </xf>
    <xf numFmtId="0" fontId="10" fillId="0" borderId="20" xfId="0" applyFont="1" applyBorder="1" applyAlignment="1" applyProtection="1">
      <alignment horizontal="center"/>
      <protection locked="0"/>
    </xf>
    <xf numFmtId="0" fontId="10" fillId="0" borderId="21"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4" xfId="0" applyFont="1" applyBorder="1" applyAlignment="1" applyProtection="1">
      <alignment horizontal="center"/>
      <protection locked="0"/>
    </xf>
    <xf numFmtId="0" fontId="10" fillId="0" borderId="25" xfId="0" applyFont="1" applyBorder="1" applyAlignment="1" applyProtection="1">
      <alignment horizontal="center"/>
      <protection locked="0"/>
    </xf>
    <xf numFmtId="2" fontId="10" fillId="0" borderId="23" xfId="0" applyNumberFormat="1" applyFont="1" applyBorder="1" applyAlignment="1" applyProtection="1">
      <alignment horizontal="center"/>
      <protection locked="0"/>
    </xf>
    <xf numFmtId="2" fontId="10" fillId="0" borderId="24" xfId="0" applyNumberFormat="1" applyFont="1" applyBorder="1" applyAlignment="1" applyProtection="1">
      <alignment horizontal="center"/>
      <protection locked="0"/>
    </xf>
    <xf numFmtId="2" fontId="10" fillId="0" borderId="25" xfId="0" applyNumberFormat="1" applyFont="1" applyBorder="1" applyAlignment="1" applyProtection="1">
      <alignment horizontal="center"/>
      <protection locked="0"/>
    </xf>
    <xf numFmtId="172" fontId="10" fillId="0" borderId="13" xfId="0" applyNumberFormat="1" applyFont="1" applyBorder="1" applyAlignment="1" applyProtection="1">
      <alignment horizontal="center"/>
      <protection locked="0"/>
    </xf>
    <xf numFmtId="2" fontId="10" fillId="0" borderId="6" xfId="0" applyNumberFormat="1" applyFont="1" applyBorder="1" applyAlignment="1" applyProtection="1">
      <alignment horizontal="center"/>
      <protection locked="0"/>
    </xf>
    <xf numFmtId="172" fontId="10" fillId="0" borderId="7" xfId="0" applyNumberFormat="1" applyFont="1" applyBorder="1" applyAlignment="1" applyProtection="1">
      <alignment horizontal="center"/>
      <protection locked="0"/>
    </xf>
    <xf numFmtId="2" fontId="10" fillId="0" borderId="9" xfId="0" applyNumberFormat="1" applyFont="1" applyBorder="1" applyAlignment="1" applyProtection="1">
      <alignment horizontal="center"/>
      <protection locked="0"/>
    </xf>
    <xf numFmtId="172" fontId="10" fillId="0" borderId="10" xfId="0" applyNumberFormat="1" applyFont="1" applyBorder="1" applyAlignment="1" applyProtection="1">
      <alignment horizontal="center"/>
      <protection locked="0"/>
    </xf>
    <xf numFmtId="166" fontId="10" fillId="0" borderId="24" xfId="0" applyNumberFormat="1" applyFont="1" applyBorder="1" applyAlignment="1" applyProtection="1">
      <alignment horizontal="center"/>
      <protection locked="0"/>
    </xf>
    <xf numFmtId="166" fontId="10" fillId="0" borderId="26" xfId="0" applyNumberFormat="1" applyFont="1" applyBorder="1" applyAlignment="1" applyProtection="1">
      <alignment horizontal="center"/>
      <protection locked="0"/>
    </xf>
    <xf numFmtId="0" fontId="10" fillId="0" borderId="27" xfId="0" applyFont="1" applyBorder="1" applyAlignment="1" applyProtection="1">
      <alignment horizontal="center"/>
      <protection locked="0"/>
    </xf>
    <xf numFmtId="0" fontId="10" fillId="0" borderId="28" xfId="0" applyFont="1" applyBorder="1" applyAlignment="1" applyProtection="1">
      <alignment horizontal="center"/>
      <protection locked="0"/>
    </xf>
    <xf numFmtId="0" fontId="10" fillId="0" borderId="29" xfId="0" applyFont="1" applyBorder="1" applyAlignment="1" applyProtection="1">
      <alignment horizontal="center"/>
      <protection locked="0"/>
    </xf>
    <xf numFmtId="1" fontId="10" fillId="0" borderId="12" xfId="0" applyNumberFormat="1" applyFont="1" applyBorder="1" applyAlignment="1" applyProtection="1">
      <alignment horizontal="center"/>
      <protection locked="0"/>
    </xf>
    <xf numFmtId="171" fontId="10" fillId="0" borderId="13" xfId="0" applyNumberFormat="1" applyFont="1" applyBorder="1" applyAlignment="1" applyProtection="1">
      <alignment horizontal="center"/>
      <protection locked="0"/>
    </xf>
    <xf numFmtId="1" fontId="10" fillId="0" borderId="6" xfId="0" applyNumberFormat="1" applyFont="1" applyBorder="1" applyAlignment="1" applyProtection="1">
      <alignment horizontal="center"/>
      <protection locked="0"/>
    </xf>
    <xf numFmtId="171" fontId="10" fillId="0" borderId="7" xfId="0" applyNumberFormat="1" applyFont="1" applyBorder="1" applyAlignment="1" applyProtection="1">
      <alignment horizontal="center"/>
      <protection locked="0"/>
    </xf>
    <xf numFmtId="1" fontId="10" fillId="0" borderId="9" xfId="0" applyNumberFormat="1" applyFont="1" applyBorder="1" applyAlignment="1" applyProtection="1">
      <alignment horizontal="center"/>
      <protection locked="0"/>
    </xf>
    <xf numFmtId="171" fontId="10" fillId="0" borderId="10" xfId="0" applyNumberFormat="1" applyFont="1" applyBorder="1" applyAlignment="1" applyProtection="1">
      <alignment horizontal="center"/>
      <protection locked="0"/>
    </xf>
    <xf numFmtId="169" fontId="10" fillId="0" borderId="20" xfId="0" applyNumberFormat="1" applyFont="1" applyBorder="1" applyAlignment="1" applyProtection="1">
      <alignment horizontal="center"/>
      <protection locked="0"/>
    </xf>
    <xf numFmtId="170" fontId="10" fillId="0" borderId="13" xfId="0" applyNumberFormat="1" applyFont="1" applyBorder="1" applyAlignment="1" applyProtection="1">
      <alignment horizontal="center"/>
      <protection locked="0"/>
    </xf>
    <xf numFmtId="169" fontId="10" fillId="0" borderId="5" xfId="0" applyNumberFormat="1" applyFont="1" applyBorder="1" applyAlignment="1" applyProtection="1">
      <alignment horizontal="center"/>
      <protection locked="0"/>
    </xf>
    <xf numFmtId="170" fontId="10" fillId="0" borderId="7" xfId="0" applyNumberFormat="1" applyFont="1" applyBorder="1" applyAlignment="1" applyProtection="1">
      <alignment horizontal="center"/>
      <protection locked="0"/>
    </xf>
    <xf numFmtId="169" fontId="10" fillId="0" borderId="8" xfId="0" applyNumberFormat="1" applyFont="1" applyBorder="1" applyAlignment="1" applyProtection="1">
      <alignment horizontal="center"/>
      <protection locked="0"/>
    </xf>
    <xf numFmtId="170" fontId="10" fillId="0" borderId="10" xfId="0" applyNumberFormat="1" applyFont="1" applyBorder="1" applyAlignment="1" applyProtection="1">
      <alignment horizontal="center"/>
      <protection locked="0"/>
    </xf>
    <xf numFmtId="172" fontId="10" fillId="0" borderId="5" xfId="0" applyNumberFormat="1" applyFont="1" applyBorder="1" applyAlignment="1" applyProtection="1">
      <alignment horizontal="center"/>
      <protection locked="0"/>
    </xf>
    <xf numFmtId="172" fontId="10" fillId="0" borderId="8" xfId="0" applyNumberFormat="1" applyFont="1" applyBorder="1" applyAlignment="1" applyProtection="1">
      <alignment horizontal="center"/>
      <protection locked="0"/>
    </xf>
    <xf numFmtId="171" fontId="10" fillId="0" borderId="23" xfId="0" applyNumberFormat="1" applyFont="1" applyBorder="1" applyAlignment="1" applyProtection="1">
      <alignment horizontal="center"/>
      <protection locked="0"/>
    </xf>
    <xf numFmtId="171" fontId="10" fillId="0" borderId="24" xfId="0" applyNumberFormat="1" applyFont="1" applyBorder="1" applyAlignment="1" applyProtection="1">
      <alignment horizontal="center"/>
      <protection locked="0"/>
    </xf>
    <xf numFmtId="171" fontId="10" fillId="0" borderId="30" xfId="0" applyNumberFormat="1" applyFont="1" applyBorder="1" applyAlignment="1" applyProtection="1">
      <alignment horizontal="center"/>
      <protection locked="0"/>
    </xf>
    <xf numFmtId="169" fontId="10" fillId="0" borderId="31" xfId="0" applyNumberFormat="1" applyFont="1" applyBorder="1" applyAlignment="1" applyProtection="1">
      <alignment horizontal="center"/>
      <protection locked="0"/>
    </xf>
    <xf numFmtId="1" fontId="10" fillId="0" borderId="32" xfId="0" applyNumberFormat="1" applyFont="1" applyBorder="1" applyAlignment="1" applyProtection="1">
      <alignment horizontal="center"/>
      <protection locked="0"/>
    </xf>
    <xf numFmtId="170" fontId="10" fillId="0" borderId="22" xfId="0" applyNumberFormat="1" applyFont="1" applyBorder="1" applyAlignment="1" applyProtection="1">
      <alignment horizontal="center"/>
      <protection locked="0"/>
    </xf>
    <xf numFmtId="0" fontId="7" fillId="0" borderId="1" xfId="0" applyFont="1" applyBorder="1" applyAlignment="1">
      <alignment horizontal="center"/>
    </xf>
    <xf numFmtId="178" fontId="10" fillId="0" borderId="11" xfId="0" applyNumberFormat="1" applyFont="1" applyBorder="1" applyAlignment="1" applyProtection="1">
      <alignment horizontal="center"/>
      <protection locked="0"/>
    </xf>
    <xf numFmtId="178" fontId="10" fillId="0" borderId="12" xfId="0" applyNumberFormat="1" applyFont="1" applyBorder="1" applyAlignment="1" applyProtection="1">
      <alignment horizontal="center"/>
      <protection locked="0"/>
    </xf>
    <xf numFmtId="178" fontId="10" fillId="0" borderId="14" xfId="0" applyNumberFormat="1" applyFont="1" applyBorder="1" applyAlignment="1" applyProtection="1">
      <alignment horizontal="center"/>
      <protection locked="0"/>
    </xf>
    <xf numFmtId="178" fontId="10" fillId="0" borderId="6" xfId="0" applyNumberFormat="1" applyFont="1" applyBorder="1" applyAlignment="1" applyProtection="1">
      <alignment horizontal="center"/>
      <protection locked="0"/>
    </xf>
    <xf numFmtId="178" fontId="10" fillId="0" borderId="8" xfId="0" applyNumberFormat="1" applyFont="1" applyBorder="1" applyAlignment="1" applyProtection="1">
      <alignment horizontal="center"/>
      <protection locked="0"/>
    </xf>
    <xf numFmtId="178" fontId="10" fillId="0" borderId="10" xfId="0" applyNumberFormat="1" applyFont="1" applyBorder="1" applyAlignment="1" applyProtection="1">
      <alignment horizontal="center"/>
      <protection locked="0"/>
    </xf>
    <xf numFmtId="178" fontId="10" fillId="0" borderId="20" xfId="0" applyNumberFormat="1" applyFont="1" applyBorder="1" applyAlignment="1" applyProtection="1">
      <alignment horizontal="center"/>
      <protection locked="0"/>
    </xf>
    <xf numFmtId="178" fontId="10" fillId="0" borderId="5" xfId="0" applyNumberFormat="1" applyFont="1" applyBorder="1" applyAlignment="1" applyProtection="1">
      <alignment horizontal="center"/>
      <protection locked="0"/>
    </xf>
    <xf numFmtId="178" fontId="10" fillId="0" borderId="9" xfId="0" applyNumberFormat="1" applyFont="1" applyBorder="1" applyAlignment="1" applyProtection="1">
      <alignment horizontal="center"/>
      <protection locked="0"/>
    </xf>
    <xf numFmtId="178" fontId="10" fillId="0" borderId="33" xfId="0" applyNumberFormat="1" applyFont="1" applyBorder="1" applyAlignment="1" applyProtection="1">
      <alignment horizontal="center"/>
      <protection locked="0"/>
    </xf>
    <xf numFmtId="178" fontId="10" fillId="0" borderId="34" xfId="0" applyNumberFormat="1" applyFont="1" applyBorder="1" applyAlignment="1" applyProtection="1">
      <alignment horizontal="center"/>
      <protection locked="0"/>
    </xf>
    <xf numFmtId="178" fontId="10" fillId="0" borderId="31" xfId="0" applyNumberFormat="1" applyFont="1" applyBorder="1" applyAlignment="1" applyProtection="1">
      <alignment horizontal="center"/>
      <protection locked="0"/>
    </xf>
    <xf numFmtId="178" fontId="10" fillId="0" borderId="32" xfId="0" applyNumberFormat="1" applyFont="1" applyBorder="1" applyAlignment="1" applyProtection="1">
      <alignment horizontal="center"/>
      <protection locked="0"/>
    </xf>
    <xf numFmtId="3" fontId="10" fillId="0" borderId="8" xfId="0" applyNumberFormat="1" applyFont="1" applyBorder="1" applyAlignment="1" applyProtection="1">
      <alignment horizontal="center"/>
      <protection locked="0"/>
    </xf>
    <xf numFmtId="9" fontId="10" fillId="0" borderId="25" xfId="0" applyNumberFormat="1" applyFont="1" applyBorder="1" applyAlignment="1" applyProtection="1">
      <alignment horizontal="center"/>
      <protection locked="0"/>
    </xf>
    <xf numFmtId="0" fontId="5" fillId="0" borderId="0" xfId="0" applyFont="1" applyBorder="1" applyAlignment="1" applyProtection="1">
      <alignment horizontal="center" wrapText="1"/>
      <protection locked="0"/>
    </xf>
    <xf numFmtId="9" fontId="10" fillId="0" borderId="20" xfId="0" applyNumberFormat="1" applyFont="1" applyBorder="1" applyAlignment="1" applyProtection="1">
      <alignment horizontal="center"/>
      <protection locked="0"/>
    </xf>
    <xf numFmtId="9" fontId="10" fillId="0" borderId="12" xfId="0" applyNumberFormat="1" applyFont="1" applyBorder="1" applyAlignment="1" applyProtection="1">
      <alignment horizontal="center"/>
      <protection locked="0"/>
    </xf>
    <xf numFmtId="9" fontId="10" fillId="0" borderId="13" xfId="0" applyNumberFormat="1" applyFont="1" applyBorder="1" applyAlignment="1" applyProtection="1">
      <alignment horizontal="center"/>
      <protection locked="0"/>
    </xf>
    <xf numFmtId="9" fontId="10" fillId="0" borderId="5" xfId="0" applyNumberFormat="1" applyFont="1" applyBorder="1" applyAlignment="1" applyProtection="1">
      <alignment horizontal="center"/>
      <protection locked="0"/>
    </xf>
    <xf numFmtId="9" fontId="10" fillId="0" borderId="6" xfId="0" applyNumberFormat="1" applyFont="1" applyBorder="1" applyAlignment="1" applyProtection="1">
      <alignment horizontal="center"/>
      <protection locked="0"/>
    </xf>
    <xf numFmtId="9" fontId="10" fillId="0" borderId="7" xfId="0" applyNumberFormat="1" applyFont="1" applyBorder="1" applyAlignment="1" applyProtection="1">
      <alignment horizontal="center"/>
      <protection locked="0"/>
    </xf>
    <xf numFmtId="9" fontId="10" fillId="0" borderId="8" xfId="0" applyNumberFormat="1" applyFont="1" applyBorder="1" applyAlignment="1" applyProtection="1">
      <alignment horizontal="center"/>
      <protection locked="0"/>
    </xf>
    <xf numFmtId="9" fontId="10" fillId="0" borderId="9" xfId="0" applyNumberFormat="1" applyFont="1" applyBorder="1" applyAlignment="1" applyProtection="1">
      <alignment horizontal="center"/>
      <protection locked="0"/>
    </xf>
    <xf numFmtId="9" fontId="10" fillId="0" borderId="10" xfId="0" applyNumberFormat="1" applyFont="1" applyBorder="1" applyAlignment="1" applyProtection="1">
      <alignment horizontal="center"/>
      <protection locked="0"/>
    </xf>
    <xf numFmtId="0" fontId="10" fillId="0" borderId="35" xfId="0" applyFont="1" applyBorder="1" applyAlignment="1" applyProtection="1">
      <alignment horizontal="center"/>
      <protection locked="0"/>
    </xf>
    <xf numFmtId="172" fontId="10" fillId="0" borderId="11" xfId="0" applyNumberFormat="1" applyFont="1" applyBorder="1" applyAlignment="1" applyProtection="1">
      <alignment horizontal="center"/>
      <protection locked="0"/>
    </xf>
    <xf numFmtId="172" fontId="10" fillId="0" borderId="14" xfId="0" applyNumberFormat="1" applyFont="1" applyBorder="1" applyAlignment="1" applyProtection="1">
      <alignment horizontal="center"/>
      <protection locked="0"/>
    </xf>
    <xf numFmtId="172" fontId="10" fillId="0" borderId="15" xfId="0" applyNumberFormat="1" applyFont="1" applyBorder="1" applyAlignment="1" applyProtection="1">
      <alignment horizontal="center"/>
      <protection locked="0"/>
    </xf>
    <xf numFmtId="3" fontId="10" fillId="0" borderId="25" xfId="0" applyNumberFormat="1" applyFont="1" applyBorder="1" applyAlignment="1" applyProtection="1">
      <alignment horizontal="center"/>
      <protection locked="0"/>
    </xf>
    <xf numFmtId="2" fontId="10" fillId="0" borderId="3" xfId="0" applyNumberFormat="1" applyFont="1" applyBorder="1" applyAlignment="1" applyProtection="1">
      <alignment horizontal="center"/>
      <protection locked="0"/>
    </xf>
    <xf numFmtId="0" fontId="7" fillId="0" borderId="36" xfId="0" applyFont="1" applyBorder="1" applyAlignment="1">
      <alignment/>
    </xf>
    <xf numFmtId="1" fontId="10" fillId="0" borderId="20" xfId="0" applyNumberFormat="1" applyFont="1" applyBorder="1" applyAlignment="1" applyProtection="1">
      <alignment horizontal="center"/>
      <protection locked="0"/>
    </xf>
    <xf numFmtId="1" fontId="10" fillId="0" borderId="13" xfId="0" applyNumberFormat="1" applyFont="1" applyBorder="1" applyAlignment="1" applyProtection="1">
      <alignment horizontal="center"/>
      <protection locked="0"/>
    </xf>
    <xf numFmtId="1" fontId="10" fillId="0" borderId="5" xfId="0" applyNumberFormat="1" applyFont="1" applyBorder="1" applyAlignment="1" applyProtection="1">
      <alignment horizontal="center"/>
      <protection locked="0"/>
    </xf>
    <xf numFmtId="1" fontId="10" fillId="0" borderId="7" xfId="0" applyNumberFormat="1" applyFont="1" applyBorder="1" applyAlignment="1" applyProtection="1">
      <alignment horizontal="center"/>
      <protection locked="0"/>
    </xf>
    <xf numFmtId="0" fontId="7" fillId="0" borderId="37" xfId="0" applyFont="1" applyBorder="1" applyAlignment="1">
      <alignment/>
    </xf>
    <xf numFmtId="0" fontId="7" fillId="0" borderId="38" xfId="0" applyFont="1" applyBorder="1" applyAlignment="1">
      <alignment/>
    </xf>
    <xf numFmtId="0" fontId="7" fillId="0" borderId="39" xfId="0" applyFont="1" applyBorder="1" applyAlignment="1">
      <alignment/>
    </xf>
    <xf numFmtId="0" fontId="7" fillId="0" borderId="40" xfId="0" applyFont="1" applyBorder="1" applyAlignment="1">
      <alignment/>
    </xf>
    <xf numFmtId="0" fontId="7" fillId="0" borderId="41" xfId="0" applyFont="1" applyBorder="1" applyAlignment="1">
      <alignment/>
    </xf>
    <xf numFmtId="0" fontId="5" fillId="2" borderId="0" xfId="0" applyFont="1" applyFill="1" applyAlignment="1">
      <alignment horizontal="center"/>
    </xf>
    <xf numFmtId="0" fontId="7" fillId="0" borderId="42" xfId="0" applyFont="1" applyBorder="1" applyAlignment="1">
      <alignment/>
    </xf>
    <xf numFmtId="0" fontId="7" fillId="0" borderId="0" xfId="0" applyFont="1" applyBorder="1" applyAlignment="1">
      <alignment/>
    </xf>
    <xf numFmtId="0" fontId="7" fillId="0" borderId="43" xfId="0" applyFont="1" applyBorder="1" applyAlignment="1">
      <alignment/>
    </xf>
    <xf numFmtId="2" fontId="7" fillId="0" borderId="0" xfId="0" applyNumberFormat="1" applyFont="1" applyAlignment="1">
      <alignment horizontal="center"/>
    </xf>
    <xf numFmtId="0" fontId="19" fillId="2" borderId="0" xfId="0" applyFont="1" applyFill="1" applyAlignment="1">
      <alignment/>
    </xf>
    <xf numFmtId="2" fontId="10" fillId="0" borderId="44" xfId="0" applyNumberFormat="1" applyFont="1" applyBorder="1" applyAlignment="1" applyProtection="1">
      <alignment horizontal="center"/>
      <protection locked="0"/>
    </xf>
    <xf numFmtId="0" fontId="10" fillId="0" borderId="32" xfId="0" applyFont="1" applyBorder="1" applyAlignment="1" applyProtection="1">
      <alignment horizontal="center"/>
      <protection locked="0"/>
    </xf>
    <xf numFmtId="2" fontId="10" fillId="0" borderId="11" xfId="0" applyNumberFormat="1" applyFont="1" applyFill="1" applyBorder="1" applyAlignment="1" applyProtection="1">
      <alignment horizontal="center"/>
      <protection locked="0"/>
    </xf>
    <xf numFmtId="0" fontId="10" fillId="0" borderId="12" xfId="0" applyFont="1" applyFill="1" applyBorder="1" applyAlignment="1" applyProtection="1">
      <alignment horizontal="center"/>
      <protection locked="0"/>
    </xf>
    <xf numFmtId="0" fontId="10" fillId="0" borderId="13" xfId="0" applyFont="1" applyFill="1" applyBorder="1" applyAlignment="1" applyProtection="1">
      <alignment horizontal="center"/>
      <protection locked="0"/>
    </xf>
    <xf numFmtId="181" fontId="10" fillId="0" borderId="25" xfId="0" applyNumberFormat="1" applyFont="1" applyBorder="1" applyAlignment="1" applyProtection="1">
      <alignment horizontal="center"/>
      <protection locked="0"/>
    </xf>
    <xf numFmtId="3" fontId="10" fillId="0" borderId="20" xfId="0" applyNumberFormat="1" applyFont="1" applyFill="1" applyBorder="1" applyAlignment="1" applyProtection="1">
      <alignment horizontal="center"/>
      <protection locked="0"/>
    </xf>
    <xf numFmtId="3" fontId="10" fillId="0" borderId="5" xfId="0" applyNumberFormat="1" applyFont="1" applyFill="1" applyBorder="1" applyAlignment="1" applyProtection="1">
      <alignment horizontal="center"/>
      <protection locked="0"/>
    </xf>
    <xf numFmtId="0" fontId="10" fillId="0" borderId="7" xfId="0" applyFont="1" applyFill="1" applyBorder="1" applyAlignment="1" applyProtection="1">
      <alignment horizontal="center"/>
      <protection locked="0"/>
    </xf>
    <xf numFmtId="9" fontId="10" fillId="0" borderId="23" xfId="0" applyNumberFormat="1" applyFont="1" applyFill="1" applyBorder="1" applyAlignment="1" applyProtection="1">
      <alignment horizontal="center"/>
      <protection locked="0"/>
    </xf>
    <xf numFmtId="9" fontId="10" fillId="0" borderId="24" xfId="0" applyNumberFormat="1" applyFont="1" applyFill="1" applyBorder="1" applyAlignment="1" applyProtection="1">
      <alignment horizontal="center"/>
      <protection locked="0"/>
    </xf>
    <xf numFmtId="3" fontId="10" fillId="0" borderId="23" xfId="0" applyNumberFormat="1" applyFont="1" applyFill="1" applyBorder="1" applyAlignment="1" applyProtection="1">
      <alignment horizontal="center"/>
      <protection locked="0"/>
    </xf>
    <xf numFmtId="3" fontId="10" fillId="0" borderId="24" xfId="0" applyNumberFormat="1" applyFont="1" applyFill="1" applyBorder="1" applyAlignment="1" applyProtection="1">
      <alignment horizontal="center"/>
      <protection locked="0"/>
    </xf>
    <xf numFmtId="9" fontId="10" fillId="0" borderId="12" xfId="0" applyNumberFormat="1" applyFont="1" applyFill="1" applyBorder="1" applyAlignment="1" applyProtection="1">
      <alignment horizontal="center"/>
      <protection locked="0"/>
    </xf>
    <xf numFmtId="9" fontId="10" fillId="0" borderId="6" xfId="0" applyNumberFormat="1" applyFont="1" applyFill="1" applyBorder="1" applyAlignment="1" applyProtection="1">
      <alignment horizontal="center"/>
      <protection locked="0"/>
    </xf>
    <xf numFmtId="10" fontId="10" fillId="0" borderId="23" xfId="0" applyNumberFormat="1" applyFont="1" applyBorder="1" applyAlignment="1" applyProtection="1">
      <alignment horizontal="center"/>
      <protection locked="0"/>
    </xf>
    <xf numFmtId="10" fontId="10" fillId="0" borderId="24" xfId="0" applyNumberFormat="1" applyFont="1" applyBorder="1" applyAlignment="1" applyProtection="1">
      <alignment horizontal="center"/>
      <protection locked="0"/>
    </xf>
    <xf numFmtId="181" fontId="10" fillId="0" borderId="24" xfId="0" applyNumberFormat="1" applyFont="1" applyBorder="1" applyAlignment="1" applyProtection="1">
      <alignment horizontal="center"/>
      <protection locked="0"/>
    </xf>
    <xf numFmtId="0" fontId="10" fillId="0" borderId="22" xfId="0" applyFont="1" applyFill="1" applyBorder="1" applyAlignment="1" applyProtection="1">
      <alignment horizontal="center"/>
      <protection locked="0"/>
    </xf>
    <xf numFmtId="0" fontId="10" fillId="0" borderId="45" xfId="0" applyFont="1" applyBorder="1" applyAlignment="1" applyProtection="1">
      <alignment/>
      <protection locked="0"/>
    </xf>
    <xf numFmtId="0" fontId="10" fillId="0" borderId="46" xfId="0" applyFont="1" applyBorder="1" applyAlignment="1" applyProtection="1">
      <alignment/>
      <protection locked="0"/>
    </xf>
    <xf numFmtId="181" fontId="10" fillId="0" borderId="20" xfId="0" applyNumberFormat="1" applyFont="1" applyBorder="1" applyAlignment="1" applyProtection="1">
      <alignment horizontal="center"/>
      <protection locked="0"/>
    </xf>
    <xf numFmtId="181" fontId="10" fillId="0" borderId="5" xfId="0" applyNumberFormat="1" applyFont="1" applyBorder="1" applyAlignment="1" applyProtection="1">
      <alignment horizontal="center"/>
      <protection locked="0"/>
    </xf>
    <xf numFmtId="181" fontId="10" fillId="0" borderId="8" xfId="0" applyNumberFormat="1" applyFont="1" applyBorder="1" applyAlignment="1" applyProtection="1">
      <alignment horizontal="center"/>
      <protection locked="0"/>
    </xf>
    <xf numFmtId="0" fontId="6" fillId="0" borderId="0" xfId="0" applyFont="1" applyAlignment="1" applyProtection="1">
      <alignment/>
      <protection/>
    </xf>
    <xf numFmtId="0" fontId="0" fillId="0" borderId="0" xfId="0" applyAlignment="1" applyProtection="1">
      <alignment/>
      <protection/>
    </xf>
    <xf numFmtId="0" fontId="0" fillId="0" borderId="47" xfId="0" applyBorder="1" applyAlignment="1" applyProtection="1">
      <alignment/>
      <protection/>
    </xf>
    <xf numFmtId="0" fontId="0" fillId="0" borderId="48" xfId="0" applyBorder="1" applyAlignment="1" applyProtection="1">
      <alignment/>
      <protection/>
    </xf>
    <xf numFmtId="0" fontId="14" fillId="0" borderId="0" xfId="0" applyFont="1" applyAlignment="1" applyProtection="1">
      <alignment horizontal="center"/>
      <protection/>
    </xf>
    <xf numFmtId="0" fontId="9" fillId="0" borderId="47" xfId="0" applyFont="1" applyBorder="1" applyAlignment="1" applyProtection="1">
      <alignment/>
      <protection/>
    </xf>
    <xf numFmtId="0" fontId="8" fillId="0" borderId="48" xfId="0" applyFont="1" applyBorder="1" applyAlignment="1" applyProtection="1">
      <alignment/>
      <protection/>
    </xf>
    <xf numFmtId="0" fontId="13" fillId="0" borderId="0" xfId="0" applyFont="1" applyAlignment="1" applyProtection="1">
      <alignment/>
      <protection/>
    </xf>
    <xf numFmtId="0" fontId="4" fillId="0" borderId="0" xfId="0" applyFont="1" applyAlignment="1" applyProtection="1">
      <alignment/>
      <protection/>
    </xf>
    <xf numFmtId="0" fontId="0" fillId="3" borderId="0" xfId="0" applyFill="1"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0" fillId="0" borderId="0" xfId="0" applyBorder="1" applyAlignment="1" applyProtection="1">
      <alignment/>
      <protection/>
    </xf>
    <xf numFmtId="0" fontId="4" fillId="4" borderId="0" xfId="0" applyFont="1" applyFill="1" applyAlignment="1" applyProtection="1">
      <alignment/>
      <protection/>
    </xf>
    <xf numFmtId="0" fontId="4" fillId="0" borderId="0" xfId="0" applyFont="1" applyFill="1" applyBorder="1" applyAlignment="1" applyProtection="1">
      <alignment horizontal="left"/>
      <protection/>
    </xf>
    <xf numFmtId="0" fontId="7" fillId="0" borderId="0" xfId="0" applyFont="1" applyAlignment="1" applyProtection="1">
      <alignment/>
      <protection/>
    </xf>
    <xf numFmtId="0" fontId="7" fillId="0" borderId="0" xfId="0" applyFont="1" applyBorder="1" applyAlignment="1" applyProtection="1">
      <alignment horizontal="center"/>
      <protection/>
    </xf>
    <xf numFmtId="0" fontId="7" fillId="0" borderId="0" xfId="0" applyFont="1" applyAlignment="1" applyProtection="1">
      <alignment horizontal="center"/>
      <protection/>
    </xf>
    <xf numFmtId="0" fontId="7" fillId="0" borderId="40" xfId="0" applyFont="1" applyBorder="1" applyAlignment="1" applyProtection="1">
      <alignment/>
      <protection/>
    </xf>
    <xf numFmtId="0" fontId="0" fillId="0" borderId="40" xfId="0" applyBorder="1" applyAlignment="1" applyProtection="1">
      <alignment/>
      <protection/>
    </xf>
    <xf numFmtId="0" fontId="5" fillId="0" borderId="0" xfId="0" applyFont="1" applyFill="1" applyAlignment="1" applyProtection="1">
      <alignment/>
      <protection/>
    </xf>
    <xf numFmtId="0" fontId="7" fillId="0" borderId="0" xfId="0" applyFont="1" applyFill="1" applyAlignment="1" applyProtection="1">
      <alignment horizontal="center"/>
      <protection/>
    </xf>
    <xf numFmtId="0" fontId="7" fillId="0" borderId="0" xfId="0" applyFont="1" applyFill="1" applyAlignment="1" applyProtection="1">
      <alignment horizontal="right"/>
      <protection/>
    </xf>
    <xf numFmtId="3" fontId="7" fillId="0" borderId="0" xfId="0" applyNumberFormat="1" applyFont="1" applyFill="1" applyAlignment="1" applyProtection="1">
      <alignment horizontal="center"/>
      <protection/>
    </xf>
    <xf numFmtId="0" fontId="7" fillId="0" borderId="0" xfId="0" applyFont="1" applyFill="1" applyAlignment="1" applyProtection="1">
      <alignment/>
      <protection/>
    </xf>
    <xf numFmtId="0" fontId="5" fillId="0" borderId="0" xfId="0" applyFont="1" applyFill="1" applyAlignment="1" applyProtection="1">
      <alignment horizontal="right"/>
      <protection/>
    </xf>
    <xf numFmtId="3" fontId="7" fillId="0" borderId="0" xfId="0" applyNumberFormat="1" applyFont="1" applyFill="1" applyBorder="1" applyAlignment="1" applyProtection="1">
      <alignment horizontal="center"/>
      <protection/>
    </xf>
    <xf numFmtId="0" fontId="4" fillId="0" borderId="0" xfId="0" applyFont="1" applyFill="1" applyAlignment="1" applyProtection="1">
      <alignment/>
      <protection/>
    </xf>
    <xf numFmtId="0" fontId="15" fillId="0" borderId="0" xfId="0" applyFont="1" applyFill="1" applyAlignment="1" applyProtection="1">
      <alignment/>
      <protection/>
    </xf>
    <xf numFmtId="0" fontId="7" fillId="0" borderId="0" xfId="0" applyFont="1" applyFill="1" applyAlignment="1" applyProtection="1">
      <alignment horizontal="center"/>
      <protection/>
    </xf>
    <xf numFmtId="0" fontId="0" fillId="0" borderId="0" xfId="0" applyFont="1" applyFill="1" applyAlignment="1" applyProtection="1">
      <alignment horizontal="right"/>
      <protection/>
    </xf>
    <xf numFmtId="3" fontId="0" fillId="0" borderId="0" xfId="0" applyNumberFormat="1" applyFont="1" applyFill="1" applyBorder="1" applyAlignment="1" applyProtection="1">
      <alignment horizontal="center"/>
      <protection/>
    </xf>
    <xf numFmtId="0" fontId="4" fillId="5" borderId="0" xfId="0" applyFont="1" applyFill="1" applyAlignment="1" applyProtection="1">
      <alignment horizontal="center"/>
      <protection/>
    </xf>
    <xf numFmtId="0" fontId="7" fillId="0" borderId="40" xfId="0" applyFont="1" applyFill="1" applyBorder="1" applyAlignment="1" applyProtection="1">
      <alignment horizontal="left"/>
      <protection/>
    </xf>
    <xf numFmtId="0" fontId="0" fillId="0" borderId="40" xfId="0" applyFont="1" applyFill="1" applyBorder="1" applyAlignment="1" applyProtection="1">
      <alignment horizontal="right"/>
      <protection/>
    </xf>
    <xf numFmtId="0" fontId="7" fillId="0" borderId="0" xfId="0" applyFont="1" applyFill="1" applyAlignment="1" applyProtection="1">
      <alignment horizontal="left"/>
      <protection/>
    </xf>
    <xf numFmtId="0" fontId="0" fillId="0" borderId="0" xfId="0" applyFill="1" applyAlignment="1" applyProtection="1">
      <alignment/>
      <protection/>
    </xf>
    <xf numFmtId="0" fontId="0" fillId="0" borderId="0" xfId="0" applyAlignment="1" applyProtection="1">
      <alignment horizontal="center"/>
      <protection/>
    </xf>
    <xf numFmtId="0" fontId="23" fillId="0" borderId="0" xfId="0" applyFont="1" applyFill="1" applyAlignment="1" applyProtection="1">
      <alignment horizontal="center" wrapText="1"/>
      <protection/>
    </xf>
    <xf numFmtId="0" fontId="23" fillId="0" borderId="0" xfId="0" applyFont="1" applyFill="1" applyBorder="1" applyAlignment="1" applyProtection="1">
      <alignment horizontal="center" wrapText="1"/>
      <protection/>
    </xf>
    <xf numFmtId="0" fontId="7" fillId="0" borderId="0" xfId="0" applyFont="1" applyAlignment="1" applyProtection="1">
      <alignment/>
      <protection/>
    </xf>
    <xf numFmtId="0" fontId="5" fillId="0" borderId="0" xfId="0" applyFont="1" applyBorder="1" applyAlignment="1" applyProtection="1">
      <alignment horizontal="center" wrapText="1"/>
      <protection/>
    </xf>
    <xf numFmtId="0" fontId="7" fillId="0" borderId="0" xfId="0" applyFont="1" applyFill="1" applyAlignment="1" applyProtection="1">
      <alignment horizontal="right"/>
      <protection/>
    </xf>
    <xf numFmtId="0" fontId="16" fillId="0" borderId="0" xfId="0" applyFont="1" applyAlignment="1" applyProtection="1">
      <alignment horizontal="center"/>
      <protection/>
    </xf>
    <xf numFmtId="0" fontId="7" fillId="0" borderId="0" xfId="0" applyFont="1" applyAlignment="1" applyProtection="1">
      <alignment horizontal="center"/>
      <protection/>
    </xf>
    <xf numFmtId="0" fontId="16" fillId="0" borderId="0" xfId="0" applyFont="1" applyFill="1" applyAlignment="1" applyProtection="1">
      <alignment horizontal="center"/>
      <protection/>
    </xf>
    <xf numFmtId="3" fontId="13" fillId="0" borderId="51" xfId="0" applyNumberFormat="1" applyFont="1" applyBorder="1" applyAlignment="1" applyProtection="1">
      <alignment horizontal="center"/>
      <protection/>
    </xf>
    <xf numFmtId="0" fontId="7" fillId="0" borderId="0" xfId="0" applyFont="1" applyFill="1" applyBorder="1" applyAlignment="1" applyProtection="1">
      <alignment horizontal="center"/>
      <protection/>
    </xf>
    <xf numFmtId="0" fontId="7" fillId="0" borderId="1" xfId="0" applyFont="1" applyBorder="1" applyAlignment="1" applyProtection="1">
      <alignment horizontal="center"/>
      <protection/>
    </xf>
    <xf numFmtId="0" fontId="7" fillId="0" borderId="1" xfId="0" applyFont="1" applyFill="1" applyBorder="1" applyAlignment="1" applyProtection="1">
      <alignment horizontal="center"/>
      <protection/>
    </xf>
    <xf numFmtId="170" fontId="5" fillId="0" borderId="0" xfId="0" applyNumberFormat="1" applyFont="1" applyFill="1" applyAlignment="1" applyProtection="1">
      <alignment horizontal="center"/>
      <protection/>
    </xf>
    <xf numFmtId="1" fontId="5" fillId="0" borderId="0" xfId="0" applyNumberFormat="1" applyFont="1" applyFill="1" applyAlignment="1" applyProtection="1">
      <alignment horizontal="center"/>
      <protection/>
    </xf>
    <xf numFmtId="169" fontId="7" fillId="0" borderId="0" xfId="0" applyNumberFormat="1" applyFont="1" applyBorder="1" applyAlignment="1" applyProtection="1">
      <alignment/>
      <protection/>
    </xf>
    <xf numFmtId="0" fontId="7" fillId="0" borderId="52" xfId="0" applyFont="1" applyBorder="1" applyAlignment="1" applyProtection="1">
      <alignment horizontal="center"/>
      <protection/>
    </xf>
    <xf numFmtId="0" fontId="7" fillId="0" borderId="52" xfId="0" applyFont="1" applyBorder="1" applyAlignment="1" applyProtection="1">
      <alignment horizontal="center"/>
      <protection/>
    </xf>
    <xf numFmtId="171" fontId="5" fillId="0" borderId="0" xfId="0" applyNumberFormat="1" applyFont="1" applyFill="1" applyAlignment="1" applyProtection="1">
      <alignment horizontal="center"/>
      <protection/>
    </xf>
    <xf numFmtId="0" fontId="5" fillId="0" borderId="42" xfId="0" applyFont="1" applyFill="1" applyBorder="1" applyAlignment="1" applyProtection="1">
      <alignment horizontal="center"/>
      <protection/>
    </xf>
    <xf numFmtId="0" fontId="5" fillId="3" borderId="0" xfId="0" applyFont="1" applyFill="1" applyAlignment="1" applyProtection="1">
      <alignment horizontal="center"/>
      <protection/>
    </xf>
    <xf numFmtId="0" fontId="5" fillId="0" borderId="0" xfId="0" applyFont="1" applyFill="1" applyAlignment="1" applyProtection="1">
      <alignment horizontal="center"/>
      <protection/>
    </xf>
    <xf numFmtId="0" fontId="5" fillId="3" borderId="43" xfId="0" applyFont="1" applyFill="1" applyBorder="1" applyAlignment="1" applyProtection="1">
      <alignment horizontal="center"/>
      <protection/>
    </xf>
    <xf numFmtId="2" fontId="7" fillId="0" borderId="0" xfId="0" applyNumberFormat="1" applyFont="1" applyFill="1" applyAlignment="1" applyProtection="1">
      <alignment horizontal="center"/>
      <protection/>
    </xf>
    <xf numFmtId="0" fontId="5" fillId="0" borderId="53" xfId="0" applyFont="1" applyFill="1" applyBorder="1" applyAlignment="1" applyProtection="1">
      <alignment horizontal="center"/>
      <protection/>
    </xf>
    <xf numFmtId="0" fontId="5" fillId="0" borderId="0" xfId="0" applyFont="1" applyFill="1" applyBorder="1" applyAlignment="1" applyProtection="1">
      <alignment horizontal="center"/>
      <protection/>
    </xf>
    <xf numFmtId="0" fontId="5" fillId="0" borderId="40" xfId="0" applyFont="1" applyFill="1" applyBorder="1" applyAlignment="1" applyProtection="1">
      <alignment horizontal="center"/>
      <protection/>
    </xf>
    <xf numFmtId="0" fontId="5" fillId="0" borderId="38" xfId="0" applyFont="1" applyFill="1" applyBorder="1" applyAlignment="1" applyProtection="1">
      <alignment horizontal="center"/>
      <protection/>
    </xf>
    <xf numFmtId="0" fontId="5" fillId="0" borderId="0" xfId="0" applyFont="1" applyAlignment="1" applyProtection="1">
      <alignment/>
      <protection/>
    </xf>
    <xf numFmtId="0" fontId="7" fillId="0" borderId="52" xfId="0" applyFont="1" applyFill="1" applyBorder="1" applyAlignment="1" applyProtection="1">
      <alignment horizontal="center"/>
      <protection/>
    </xf>
    <xf numFmtId="0" fontId="7" fillId="0" borderId="36" xfId="0" applyFont="1" applyFill="1" applyBorder="1" applyAlignment="1" applyProtection="1">
      <alignment horizontal="center"/>
      <protection/>
    </xf>
    <xf numFmtId="0" fontId="10" fillId="3" borderId="38" xfId="0" applyFont="1" applyFill="1" applyBorder="1" applyAlignment="1" applyProtection="1">
      <alignment horizontal="center"/>
      <protection/>
    </xf>
    <xf numFmtId="0" fontId="10" fillId="3" borderId="39" xfId="0" applyFont="1" applyFill="1" applyBorder="1" applyAlignment="1" applyProtection="1">
      <alignment horizontal="center"/>
      <protection/>
    </xf>
    <xf numFmtId="169" fontId="7" fillId="0" borderId="0" xfId="0" applyNumberFormat="1" applyFont="1" applyAlignment="1" applyProtection="1">
      <alignment/>
      <protection/>
    </xf>
    <xf numFmtId="0" fontId="10" fillId="3" borderId="0" xfId="0" applyFont="1" applyFill="1" applyAlignment="1" applyProtection="1">
      <alignment horizontal="center"/>
      <protection/>
    </xf>
    <xf numFmtId="0" fontId="10" fillId="3" borderId="43" xfId="0" applyFont="1" applyFill="1" applyBorder="1" applyAlignment="1" applyProtection="1">
      <alignment horizontal="center"/>
      <protection/>
    </xf>
    <xf numFmtId="0" fontId="10" fillId="3" borderId="40" xfId="0" applyFont="1" applyFill="1" applyBorder="1" applyAlignment="1" applyProtection="1">
      <alignment horizontal="center"/>
      <protection/>
    </xf>
    <xf numFmtId="0" fontId="10" fillId="3" borderId="41" xfId="0" applyFont="1" applyFill="1" applyBorder="1" applyAlignment="1" applyProtection="1">
      <alignment horizontal="center"/>
      <protection/>
    </xf>
    <xf numFmtId="0" fontId="7" fillId="0" borderId="0" xfId="0" applyFont="1" applyBorder="1" applyAlignment="1" applyProtection="1">
      <alignment/>
      <protection/>
    </xf>
    <xf numFmtId="0" fontId="5" fillId="0" borderId="42" xfId="0" applyFont="1" applyBorder="1" applyAlignment="1" applyProtection="1">
      <alignment horizontal="center"/>
      <protection/>
    </xf>
    <xf numFmtId="0" fontId="5" fillId="0" borderId="0" xfId="0" applyFont="1" applyAlignment="1" applyProtection="1">
      <alignment horizontal="center"/>
      <protection/>
    </xf>
    <xf numFmtId="0" fontId="5" fillId="0" borderId="36" xfId="0" applyFont="1" applyBorder="1" applyAlignment="1" applyProtection="1">
      <alignment horizontal="center"/>
      <protection/>
    </xf>
    <xf numFmtId="0" fontId="5" fillId="0" borderId="40" xfId="0" applyFont="1" applyBorder="1" applyAlignment="1" applyProtection="1">
      <alignment horizontal="center"/>
      <protection/>
    </xf>
    <xf numFmtId="0" fontId="5" fillId="0" borderId="0" xfId="0" applyFont="1" applyFill="1" applyAlignment="1" applyProtection="1">
      <alignment horizontal="center"/>
      <protection/>
    </xf>
    <xf numFmtId="0" fontId="7" fillId="0" borderId="1" xfId="0" applyFont="1" applyBorder="1" applyAlignment="1" applyProtection="1">
      <alignment horizontal="center"/>
      <protection/>
    </xf>
    <xf numFmtId="0" fontId="7" fillId="6" borderId="0" xfId="0" applyFont="1" applyFill="1" applyAlignment="1" applyProtection="1">
      <alignment horizontal="center"/>
      <protection/>
    </xf>
    <xf numFmtId="0" fontId="5" fillId="0" borderId="0" xfId="0" applyNumberFormat="1" applyFont="1" applyFill="1" applyAlignment="1" applyProtection="1">
      <alignment horizontal="center"/>
      <protection/>
    </xf>
    <xf numFmtId="0" fontId="4" fillId="0" borderId="0" xfId="0" applyFont="1" applyAlignment="1" applyProtection="1">
      <alignment horizontal="center"/>
      <protection/>
    </xf>
    <xf numFmtId="0" fontId="11" fillId="0" borderId="54" xfId="0" applyFont="1" applyBorder="1" applyAlignment="1" applyProtection="1">
      <alignment horizontal="center"/>
      <protection/>
    </xf>
    <xf numFmtId="0" fontId="11" fillId="0" borderId="55" xfId="0" applyFont="1" applyBorder="1" applyAlignment="1" applyProtection="1">
      <alignment horizontal="center"/>
      <protection/>
    </xf>
    <xf numFmtId="0" fontId="5" fillId="0" borderId="56" xfId="0" applyFont="1" applyFill="1" applyBorder="1" applyAlignment="1" applyProtection="1">
      <alignment horizontal="center"/>
      <protection/>
    </xf>
    <xf numFmtId="0" fontId="11" fillId="0" borderId="57" xfId="0" applyFont="1" applyBorder="1" applyAlignment="1" applyProtection="1">
      <alignment/>
      <protection/>
    </xf>
    <xf numFmtId="0" fontId="11" fillId="0" borderId="58" xfId="0" applyFont="1" applyBorder="1" applyAlignment="1" applyProtection="1">
      <alignment/>
      <protection/>
    </xf>
    <xf numFmtId="0" fontId="11" fillId="0" borderId="59" xfId="0" applyFont="1" applyBorder="1" applyAlignment="1" applyProtection="1">
      <alignment/>
      <protection/>
    </xf>
    <xf numFmtId="0" fontId="11" fillId="0" borderId="60" xfId="0" applyFont="1" applyBorder="1" applyAlignment="1" applyProtection="1">
      <alignment/>
      <protection/>
    </xf>
    <xf numFmtId="0" fontId="11" fillId="0" borderId="61" xfId="0" applyFont="1" applyBorder="1" applyAlignment="1" applyProtection="1">
      <alignment/>
      <protection/>
    </xf>
    <xf numFmtId="0" fontId="11" fillId="0" borderId="62" xfId="0" applyFont="1" applyBorder="1" applyAlignment="1" applyProtection="1">
      <alignment/>
      <protection/>
    </xf>
    <xf numFmtId="0" fontId="7" fillId="6" borderId="42" xfId="0" applyFont="1" applyFill="1" applyBorder="1" applyAlignment="1" applyProtection="1">
      <alignment horizontal="center"/>
      <protection/>
    </xf>
    <xf numFmtId="0" fontId="7" fillId="6" borderId="0" xfId="0" applyFont="1" applyFill="1" applyBorder="1" applyAlignment="1" applyProtection="1">
      <alignment horizontal="center"/>
      <protection/>
    </xf>
    <xf numFmtId="0" fontId="4" fillId="0" borderId="56" xfId="0" applyFont="1" applyBorder="1" applyAlignment="1" applyProtection="1">
      <alignment/>
      <protection/>
    </xf>
    <xf numFmtId="0" fontId="7" fillId="0" borderId="56" xfId="0" applyFont="1" applyBorder="1" applyAlignment="1" applyProtection="1">
      <alignment/>
      <protection/>
    </xf>
    <xf numFmtId="0" fontId="16" fillId="0" borderId="0" xfId="0" applyFont="1" applyAlignment="1" applyProtection="1">
      <alignment/>
      <protection/>
    </xf>
    <xf numFmtId="0" fontId="12" fillId="0" borderId="0" xfId="0" applyFont="1" applyAlignment="1" applyProtection="1">
      <alignment/>
      <protection/>
    </xf>
    <xf numFmtId="3" fontId="5" fillId="0" borderId="0" xfId="0" applyNumberFormat="1" applyFont="1" applyBorder="1" applyAlignment="1" applyProtection="1">
      <alignment horizontal="center"/>
      <protection/>
    </xf>
    <xf numFmtId="0" fontId="16" fillId="0" borderId="56" xfId="0" applyFont="1" applyBorder="1" applyAlignment="1" applyProtection="1">
      <alignment/>
      <protection/>
    </xf>
    <xf numFmtId="0" fontId="14" fillId="0" borderId="0" xfId="0" applyFont="1" applyAlignment="1" applyProtection="1">
      <alignment/>
      <protection/>
    </xf>
    <xf numFmtId="3" fontId="5" fillId="0" borderId="0" xfId="0" applyNumberFormat="1" applyFont="1" applyAlignment="1" applyProtection="1">
      <alignment horizontal="center"/>
      <protection/>
    </xf>
    <xf numFmtId="0" fontId="7" fillId="0" borderId="58" xfId="0" applyFont="1" applyBorder="1" applyAlignment="1" applyProtection="1">
      <alignment/>
      <protection/>
    </xf>
    <xf numFmtId="3" fontId="0" fillId="0" borderId="0" xfId="0" applyNumberFormat="1" applyFont="1" applyBorder="1" applyAlignment="1" applyProtection="1">
      <alignment horizontal="center"/>
      <protection/>
    </xf>
    <xf numFmtId="173" fontId="0" fillId="0" borderId="0" xfId="0" applyNumberFormat="1" applyFont="1" applyBorder="1" applyAlignment="1" applyProtection="1">
      <alignment horizontal="center"/>
      <protection/>
    </xf>
    <xf numFmtId="0" fontId="7" fillId="0" borderId="0" xfId="0" applyFont="1" applyBorder="1" applyAlignment="1" applyProtection="1">
      <alignment horizontal="center"/>
      <protection/>
    </xf>
    <xf numFmtId="0" fontId="7" fillId="0" borderId="60" xfId="0" applyFont="1" applyBorder="1" applyAlignment="1" applyProtection="1">
      <alignment/>
      <protection/>
    </xf>
    <xf numFmtId="173" fontId="7" fillId="0" borderId="0" xfId="0" applyNumberFormat="1" applyFont="1" applyBorder="1" applyAlignment="1" applyProtection="1">
      <alignment horizontal="center"/>
      <protection/>
    </xf>
    <xf numFmtId="1" fontId="7" fillId="0" borderId="0" xfId="0" applyNumberFormat="1" applyFont="1" applyBorder="1" applyAlignment="1" applyProtection="1">
      <alignment horizontal="center"/>
      <protection/>
    </xf>
    <xf numFmtId="0" fontId="0" fillId="0" borderId="60" xfId="0" applyBorder="1" applyAlignment="1" applyProtection="1">
      <alignment/>
      <protection/>
    </xf>
    <xf numFmtId="0" fontId="7" fillId="0" borderId="0" xfId="0" applyFont="1" applyAlignment="1" applyProtection="1">
      <alignment horizontal="left"/>
      <protection/>
    </xf>
    <xf numFmtId="0" fontId="7" fillId="0" borderId="40" xfId="0" applyFont="1" applyBorder="1" applyAlignment="1" applyProtection="1">
      <alignment horizontal="center"/>
      <protection/>
    </xf>
    <xf numFmtId="0" fontId="10" fillId="0" borderId="0" xfId="0" applyFont="1" applyBorder="1" applyAlignment="1" applyProtection="1">
      <alignment/>
      <protection/>
    </xf>
    <xf numFmtId="0" fontId="7" fillId="0" borderId="0" xfId="0" applyFont="1" applyAlignment="1" applyProtection="1">
      <alignment horizontal="right"/>
      <protection/>
    </xf>
    <xf numFmtId="0" fontId="0" fillId="0" borderId="0" xfId="0" applyBorder="1" applyAlignment="1" applyProtection="1">
      <alignment/>
      <protection/>
    </xf>
    <xf numFmtId="0" fontId="4" fillId="0" borderId="56" xfId="0" applyFont="1" applyBorder="1" applyAlignment="1" applyProtection="1">
      <alignment horizontal="left"/>
      <protection/>
    </xf>
    <xf numFmtId="0" fontId="7" fillId="0" borderId="56" xfId="0" applyFont="1" applyBorder="1" applyAlignment="1" applyProtection="1">
      <alignment horizontal="center"/>
      <protection/>
    </xf>
    <xf numFmtId="0" fontId="7" fillId="0" borderId="0" xfId="0" applyFont="1" applyBorder="1" applyAlignment="1" applyProtection="1">
      <alignment horizontal="right"/>
      <protection/>
    </xf>
    <xf numFmtId="0" fontId="7" fillId="0" borderId="0" xfId="0" applyFont="1" applyFill="1" applyBorder="1" applyAlignment="1" applyProtection="1">
      <alignment horizontal="center"/>
      <protection/>
    </xf>
    <xf numFmtId="0" fontId="10" fillId="0" borderId="0" xfId="0" applyFont="1" applyFill="1" applyBorder="1" applyAlignment="1" applyProtection="1">
      <alignment horizontal="center"/>
      <protection/>
    </xf>
    <xf numFmtId="0" fontId="0" fillId="0" borderId="62" xfId="0" applyBorder="1" applyAlignment="1" applyProtection="1">
      <alignment/>
      <protection/>
    </xf>
    <xf numFmtId="3" fontId="0" fillId="0" borderId="61" xfId="0" applyNumberFormat="1" applyFont="1" applyFill="1" applyBorder="1" applyAlignment="1" applyProtection="1">
      <alignment horizontal="center"/>
      <protection/>
    </xf>
    <xf numFmtId="173" fontId="0" fillId="0" borderId="55" xfId="0" applyNumberFormat="1" applyFont="1" applyBorder="1" applyAlignment="1" applyProtection="1">
      <alignment horizontal="center"/>
      <protection/>
    </xf>
    <xf numFmtId="3" fontId="4" fillId="0" borderId="0" xfId="0" applyNumberFormat="1" applyFont="1" applyFill="1" applyBorder="1" applyAlignment="1" applyProtection="1">
      <alignment horizontal="center"/>
      <protection/>
    </xf>
    <xf numFmtId="173" fontId="4" fillId="0" borderId="0" xfId="0" applyNumberFormat="1" applyFont="1" applyAlignment="1" applyProtection="1">
      <alignment horizontal="center"/>
      <protection/>
    </xf>
    <xf numFmtId="0" fontId="14" fillId="0" borderId="0" xfId="0" applyFont="1" applyBorder="1" applyAlignment="1" applyProtection="1">
      <alignment horizontal="center"/>
      <protection/>
    </xf>
    <xf numFmtId="0" fontId="5" fillId="0" borderId="0" xfId="0" applyFont="1" applyBorder="1" applyAlignment="1" applyProtection="1">
      <alignment horizontal="center"/>
      <protection/>
    </xf>
    <xf numFmtId="2" fontId="5" fillId="0" borderId="0" xfId="0" applyNumberFormat="1" applyFont="1" applyAlignment="1" applyProtection="1">
      <alignment horizontal="center"/>
      <protection/>
    </xf>
    <xf numFmtId="0" fontId="10" fillId="0" borderId="0" xfId="0" applyFont="1" applyBorder="1" applyAlignment="1" applyProtection="1">
      <alignment horizontal="center"/>
      <protection/>
    </xf>
    <xf numFmtId="0" fontId="0" fillId="0" borderId="0" xfId="0" applyFont="1" applyAlignment="1" applyProtection="1">
      <alignment/>
      <protection/>
    </xf>
    <xf numFmtId="171" fontId="10" fillId="0" borderId="0" xfId="0" applyNumberFormat="1" applyFont="1" applyBorder="1" applyAlignment="1" applyProtection="1">
      <alignment horizontal="center"/>
      <protection/>
    </xf>
    <xf numFmtId="173" fontId="5" fillId="0" borderId="0" xfId="0" applyNumberFormat="1" applyFont="1" applyBorder="1" applyAlignment="1" applyProtection="1">
      <alignment horizontal="center"/>
      <protection/>
    </xf>
    <xf numFmtId="0" fontId="0" fillId="0" borderId="0" xfId="0" applyFont="1" applyBorder="1" applyAlignment="1" applyProtection="1">
      <alignment horizontal="right"/>
      <protection/>
    </xf>
    <xf numFmtId="173" fontId="5" fillId="0" borderId="0" xfId="0" applyNumberFormat="1" applyFont="1" applyFill="1" applyAlignment="1" applyProtection="1">
      <alignment horizontal="center"/>
      <protection/>
    </xf>
    <xf numFmtId="0" fontId="0" fillId="0" borderId="0" xfId="0" applyFont="1" applyFill="1" applyBorder="1" applyAlignment="1" applyProtection="1">
      <alignment/>
      <protection/>
    </xf>
    <xf numFmtId="0" fontId="5" fillId="0" borderId="0" xfId="0" applyFont="1" applyAlignment="1" applyProtection="1">
      <alignment horizontal="left"/>
      <protection/>
    </xf>
    <xf numFmtId="0" fontId="11" fillId="0" borderId="0" xfId="0" applyFont="1" applyBorder="1" applyAlignment="1" applyProtection="1">
      <alignment/>
      <protection/>
    </xf>
    <xf numFmtId="0" fontId="5" fillId="5" borderId="0" xfId="0" applyFont="1" applyFill="1" applyAlignment="1" applyProtection="1">
      <alignment horizontal="center"/>
      <protection/>
    </xf>
    <xf numFmtId="0" fontId="7" fillId="0" borderId="37" xfId="0" applyFont="1" applyBorder="1" applyAlignment="1" applyProtection="1">
      <alignment/>
      <protection/>
    </xf>
    <xf numFmtId="0" fontId="7" fillId="0" borderId="38" xfId="0" applyFont="1" applyBorder="1" applyAlignment="1" applyProtection="1">
      <alignment/>
      <protection/>
    </xf>
    <xf numFmtId="0" fontId="7" fillId="0" borderId="39" xfId="0" applyFont="1" applyBorder="1" applyAlignment="1" applyProtection="1">
      <alignment/>
      <protection/>
    </xf>
    <xf numFmtId="0" fontId="7" fillId="0" borderId="36" xfId="0" applyFont="1" applyBorder="1" applyAlignment="1" applyProtection="1">
      <alignment/>
      <protection/>
    </xf>
    <xf numFmtId="0" fontId="7" fillId="0" borderId="40" xfId="0" applyFont="1" applyBorder="1" applyAlignment="1" applyProtection="1">
      <alignment/>
      <protection/>
    </xf>
    <xf numFmtId="0" fontId="7" fillId="0" borderId="41" xfId="0" applyFont="1" applyBorder="1" applyAlignment="1" applyProtection="1">
      <alignment/>
      <protection/>
    </xf>
    <xf numFmtId="0" fontId="7" fillId="0" borderId="45" xfId="0" applyFont="1" applyBorder="1" applyAlignment="1" applyProtection="1">
      <alignment horizontal="center"/>
      <protection/>
    </xf>
    <xf numFmtId="0" fontId="7" fillId="0" borderId="42" xfId="0" applyFont="1" applyBorder="1" applyAlignment="1" applyProtection="1">
      <alignment/>
      <protection/>
    </xf>
    <xf numFmtId="0" fontId="7" fillId="0" borderId="46" xfId="0" applyFont="1" applyBorder="1" applyAlignment="1" applyProtection="1">
      <alignment horizontal="center"/>
      <protection/>
    </xf>
    <xf numFmtId="0" fontId="7" fillId="0" borderId="36" xfId="0" applyFont="1" applyBorder="1" applyAlignment="1" applyProtection="1">
      <alignment/>
      <protection/>
    </xf>
    <xf numFmtId="0" fontId="7" fillId="0" borderId="63" xfId="0" applyFont="1" applyBorder="1" applyAlignment="1" applyProtection="1">
      <alignment horizontal="center"/>
      <protection/>
    </xf>
    <xf numFmtId="0" fontId="7" fillId="7" borderId="0" xfId="0" applyFont="1" applyFill="1" applyAlignment="1" applyProtection="1">
      <alignment horizontal="center"/>
      <protection/>
    </xf>
    <xf numFmtId="169" fontId="7" fillId="0" borderId="0" xfId="0" applyNumberFormat="1" applyFont="1" applyAlignment="1" applyProtection="1">
      <alignment horizontal="center"/>
      <protection/>
    </xf>
    <xf numFmtId="2" fontId="7" fillId="0" borderId="0" xfId="0" applyNumberFormat="1" applyFont="1" applyAlignment="1" applyProtection="1">
      <alignment horizontal="center"/>
      <protection/>
    </xf>
    <xf numFmtId="0" fontId="5" fillId="0" borderId="1" xfId="0" applyFont="1" applyBorder="1" applyAlignment="1" applyProtection="1">
      <alignment/>
      <protection/>
    </xf>
    <xf numFmtId="0" fontId="7" fillId="0" borderId="1" xfId="0" applyFont="1" applyBorder="1" applyAlignment="1" applyProtection="1">
      <alignment/>
      <protection/>
    </xf>
    <xf numFmtId="2" fontId="7" fillId="0" borderId="1" xfId="0" applyNumberFormat="1" applyFont="1" applyBorder="1" applyAlignment="1" applyProtection="1">
      <alignment horizontal="center"/>
      <protection/>
    </xf>
    <xf numFmtId="169" fontId="7" fillId="0" borderId="1" xfId="0" applyNumberFormat="1" applyFont="1" applyBorder="1" applyAlignment="1" applyProtection="1">
      <alignment horizontal="center"/>
      <protection/>
    </xf>
    <xf numFmtId="2" fontId="5" fillId="0" borderId="0" xfId="0" applyNumberFormat="1" applyFont="1" applyFill="1" applyAlignment="1" applyProtection="1">
      <alignment horizontal="center"/>
      <protection/>
    </xf>
    <xf numFmtId="0" fontId="5" fillId="3" borderId="0" xfId="0" applyFont="1" applyFill="1" applyAlignment="1" applyProtection="1">
      <alignment horizontal="center"/>
      <protection/>
    </xf>
    <xf numFmtId="3" fontId="5" fillId="0" borderId="0" xfId="0" applyNumberFormat="1" applyFont="1" applyFill="1" applyAlignment="1" applyProtection="1">
      <alignment horizontal="center"/>
      <protection/>
    </xf>
    <xf numFmtId="4" fontId="5" fillId="0" borderId="0" xfId="0" applyNumberFormat="1" applyFont="1" applyFill="1" applyAlignment="1" applyProtection="1">
      <alignment horizontal="center"/>
      <protection/>
    </xf>
    <xf numFmtId="178" fontId="5" fillId="0" borderId="0" xfId="0" applyNumberFormat="1" applyFont="1" applyFill="1" applyAlignment="1" applyProtection="1">
      <alignment horizontal="center"/>
      <protection/>
    </xf>
    <xf numFmtId="0" fontId="5" fillId="2" borderId="60" xfId="0" applyFont="1" applyFill="1" applyBorder="1" applyAlignment="1" applyProtection="1">
      <alignment/>
      <protection/>
    </xf>
    <xf numFmtId="0" fontId="5" fillId="2" borderId="62" xfId="0" applyFont="1" applyFill="1" applyBorder="1" applyAlignment="1" applyProtection="1">
      <alignment/>
      <protection/>
    </xf>
    <xf numFmtId="0" fontId="7" fillId="0" borderId="52" xfId="0" applyFont="1" applyFill="1" applyBorder="1" applyAlignment="1" applyProtection="1">
      <alignment horizontal="center"/>
      <protection/>
    </xf>
    <xf numFmtId="0" fontId="7" fillId="0" borderId="47" xfId="0" applyFont="1" applyFill="1" applyBorder="1" applyAlignment="1" applyProtection="1">
      <alignment horizontal="center"/>
      <protection/>
    </xf>
    <xf numFmtId="0" fontId="5" fillId="3" borderId="0" xfId="0" applyFont="1" applyFill="1" applyBorder="1" applyAlignment="1" applyProtection="1">
      <alignment horizontal="center"/>
      <protection/>
    </xf>
    <xf numFmtId="0" fontId="7" fillId="0" borderId="48" xfId="0" applyFont="1" applyFill="1" applyBorder="1" applyAlignment="1" applyProtection="1">
      <alignment horizontal="center"/>
      <protection/>
    </xf>
    <xf numFmtId="3" fontId="5" fillId="0" borderId="1" xfId="0" applyNumberFormat="1" applyFont="1" applyFill="1" applyBorder="1" applyAlignment="1" applyProtection="1">
      <alignment horizontal="center"/>
      <protection/>
    </xf>
    <xf numFmtId="178" fontId="5" fillId="0" borderId="0" xfId="0" applyNumberFormat="1" applyFont="1" applyAlignment="1" applyProtection="1">
      <alignment horizontal="center"/>
      <protection/>
    </xf>
    <xf numFmtId="0" fontId="5" fillId="0" borderId="0" xfId="0" applyFont="1" applyAlignment="1" applyProtection="1">
      <alignment horizontal="center"/>
      <protection/>
    </xf>
    <xf numFmtId="1" fontId="5" fillId="0" borderId="0" xfId="0" applyNumberFormat="1" applyFont="1" applyAlignment="1" applyProtection="1">
      <alignment horizontal="center"/>
      <protection/>
    </xf>
    <xf numFmtId="0" fontId="4" fillId="4" borderId="0" xfId="0" applyFont="1" applyFill="1" applyAlignment="1" applyProtection="1">
      <alignment/>
      <protection/>
    </xf>
    <xf numFmtId="0" fontId="7" fillId="4" borderId="0" xfId="0" applyFont="1" applyFill="1" applyAlignment="1" applyProtection="1">
      <alignment/>
      <protection/>
    </xf>
    <xf numFmtId="0" fontId="7" fillId="8" borderId="0" xfId="0" applyFont="1" applyFill="1" applyAlignment="1" applyProtection="1">
      <alignment/>
      <protection/>
    </xf>
    <xf numFmtId="1" fontId="7" fillId="4" borderId="0" xfId="0" applyNumberFormat="1" applyFont="1" applyFill="1" applyAlignment="1" applyProtection="1">
      <alignment/>
      <protection/>
    </xf>
    <xf numFmtId="2" fontId="7" fillId="4" borderId="0" xfId="0" applyNumberFormat="1" applyFont="1" applyFill="1" applyAlignment="1" applyProtection="1">
      <alignment/>
      <protection/>
    </xf>
    <xf numFmtId="0" fontId="5" fillId="0" borderId="0" xfId="0" applyFont="1" applyAlignment="1" applyProtection="1">
      <alignment/>
      <protection/>
    </xf>
    <xf numFmtId="0" fontId="5" fillId="5" borderId="0" xfId="0" applyFont="1" applyFill="1" applyAlignment="1" applyProtection="1">
      <alignment/>
      <protection/>
    </xf>
    <xf numFmtId="0" fontId="7" fillId="0" borderId="40" xfId="0" applyFont="1" applyFill="1" applyBorder="1" applyAlignment="1" applyProtection="1">
      <alignment horizontal="center"/>
      <protection/>
    </xf>
    <xf numFmtId="1" fontId="7" fillId="0" borderId="0" xfId="0" applyNumberFormat="1" applyFont="1" applyAlignment="1" applyProtection="1">
      <alignment horizontal="center"/>
      <protection/>
    </xf>
    <xf numFmtId="0" fontId="5" fillId="0" borderId="1" xfId="0" applyFont="1" applyFill="1" applyBorder="1" applyAlignment="1" applyProtection="1">
      <alignment/>
      <protection/>
    </xf>
    <xf numFmtId="0" fontId="11" fillId="0" borderId="1" xfId="0" applyFont="1" applyBorder="1" applyAlignment="1" applyProtection="1">
      <alignment/>
      <protection/>
    </xf>
    <xf numFmtId="0" fontId="5" fillId="0" borderId="1" xfId="0" applyFont="1" applyBorder="1" applyAlignment="1" applyProtection="1">
      <alignment/>
      <protection/>
    </xf>
    <xf numFmtId="0" fontId="7" fillId="0" borderId="1" xfId="0" applyFont="1" applyFill="1" applyBorder="1" applyAlignment="1" applyProtection="1">
      <alignment horizontal="center"/>
      <protection/>
    </xf>
    <xf numFmtId="0" fontId="5" fillId="0" borderId="0" xfId="0" applyFont="1" applyAlignment="1" applyProtection="1">
      <alignment horizontal="right"/>
      <protection/>
    </xf>
    <xf numFmtId="2" fontId="5" fillId="5" borderId="0" xfId="0" applyNumberFormat="1" applyFont="1" applyFill="1" applyAlignment="1" applyProtection="1">
      <alignment horizontal="center"/>
      <protection/>
    </xf>
    <xf numFmtId="0" fontId="19" fillId="0" borderId="40" xfId="0" applyFont="1" applyBorder="1" applyAlignment="1" applyProtection="1">
      <alignment/>
      <protection/>
    </xf>
    <xf numFmtId="0" fontId="4" fillId="0" borderId="1" xfId="0" applyFont="1" applyBorder="1" applyAlignment="1" applyProtection="1">
      <alignment/>
      <protection/>
    </xf>
    <xf numFmtId="0" fontId="5" fillId="0" borderId="1" xfId="0" applyFont="1" applyBorder="1" applyAlignment="1" applyProtection="1">
      <alignment horizontal="center"/>
      <protection/>
    </xf>
    <xf numFmtId="0" fontId="5" fillId="0" borderId="0" xfId="0" applyFont="1" applyBorder="1" applyAlignment="1" applyProtection="1">
      <alignment horizontal="center"/>
      <protection/>
    </xf>
    <xf numFmtId="0" fontId="10" fillId="6" borderId="0" xfId="0" applyFont="1" applyFill="1" applyAlignment="1" applyProtection="1">
      <alignment/>
      <protection/>
    </xf>
    <xf numFmtId="0" fontId="10" fillId="6" borderId="0" xfId="0" applyFont="1" applyFill="1" applyAlignment="1" applyProtection="1">
      <alignment horizontal="center"/>
      <protection/>
    </xf>
    <xf numFmtId="0" fontId="7" fillId="0" borderId="42" xfId="0" applyFont="1" applyBorder="1" applyAlignment="1" applyProtection="1">
      <alignment horizontal="left"/>
      <protection/>
    </xf>
    <xf numFmtId="0" fontId="10" fillId="6" borderId="1" xfId="0" applyFont="1" applyFill="1" applyBorder="1" applyAlignment="1" applyProtection="1">
      <alignment/>
      <protection/>
    </xf>
    <xf numFmtId="0" fontId="10" fillId="6" borderId="1" xfId="0" applyFont="1" applyFill="1" applyBorder="1" applyAlignment="1" applyProtection="1">
      <alignment horizontal="center"/>
      <protection/>
    </xf>
    <xf numFmtId="166" fontId="5" fillId="0" borderId="0" xfId="0" applyNumberFormat="1" applyFont="1" applyFill="1" applyAlignment="1" applyProtection="1">
      <alignment horizontal="center"/>
      <protection/>
    </xf>
    <xf numFmtId="0" fontId="7" fillId="0" borderId="0" xfId="0" applyFont="1" applyBorder="1" applyAlignment="1" applyProtection="1">
      <alignment horizontal="left"/>
      <protection/>
    </xf>
    <xf numFmtId="0" fontId="10" fillId="0" borderId="42" xfId="0" applyFont="1" applyBorder="1" applyAlignment="1" applyProtection="1">
      <alignment horizontal="center"/>
      <protection/>
    </xf>
    <xf numFmtId="0" fontId="10" fillId="0" borderId="0" xfId="0" applyFont="1" applyAlignment="1" applyProtection="1">
      <alignment horizontal="center"/>
      <protection/>
    </xf>
    <xf numFmtId="0" fontId="10" fillId="0" borderId="38" xfId="0" applyFont="1" applyBorder="1" applyAlignment="1" applyProtection="1">
      <alignment horizontal="center"/>
      <protection/>
    </xf>
    <xf numFmtId="0" fontId="5" fillId="6" borderId="0" xfId="0" applyFont="1" applyFill="1" applyAlignment="1" applyProtection="1">
      <alignment horizontal="center"/>
      <protection/>
    </xf>
    <xf numFmtId="0" fontId="5" fillId="6" borderId="43" xfId="0" applyFont="1" applyFill="1" applyBorder="1" applyAlignment="1" applyProtection="1">
      <alignment horizontal="center"/>
      <protection/>
    </xf>
    <xf numFmtId="0" fontId="5" fillId="6" borderId="42" xfId="0" applyFont="1" applyFill="1" applyBorder="1" applyAlignment="1" applyProtection="1">
      <alignment horizontal="center"/>
      <protection/>
    </xf>
    <xf numFmtId="0" fontId="28" fillId="5" borderId="0" xfId="0" applyFont="1" applyFill="1" applyAlignment="1" applyProtection="1">
      <alignment/>
      <protection/>
    </xf>
    <xf numFmtId="0" fontId="0" fillId="0" borderId="0" xfId="0" applyBorder="1" applyAlignment="1" applyProtection="1">
      <alignment horizontal="left"/>
      <protection/>
    </xf>
    <xf numFmtId="166" fontId="5" fillId="0" borderId="0" xfId="0" applyNumberFormat="1" applyFont="1" applyFill="1" applyAlignment="1" applyProtection="1">
      <alignment horizontal="center"/>
      <protection/>
    </xf>
    <xf numFmtId="166" fontId="0" fillId="0" borderId="0" xfId="0" applyBorder="1" applyAlignment="1" applyProtection="1">
      <alignment horizontal="left"/>
      <protection/>
    </xf>
    <xf numFmtId="166" fontId="0" fillId="0" borderId="0" xfId="0" applyNumberFormat="1" applyAlignment="1" applyProtection="1">
      <alignment/>
      <protection/>
    </xf>
    <xf numFmtId="9" fontId="0" fillId="0" borderId="0" xfId="0" applyNumberFormat="1" applyBorder="1" applyAlignment="1" applyProtection="1">
      <alignment/>
      <protection/>
    </xf>
    <xf numFmtId="3" fontId="10" fillId="0" borderId="13" xfId="0" applyNumberFormat="1" applyFont="1" applyFill="1" applyBorder="1" applyAlignment="1" applyProtection="1">
      <alignment horizontal="center"/>
      <protection locked="0"/>
    </xf>
    <xf numFmtId="3" fontId="10" fillId="0" borderId="7" xfId="0" applyNumberFormat="1" applyFont="1" applyFill="1" applyBorder="1" applyAlignment="1" applyProtection="1">
      <alignment horizontal="center"/>
      <protection locked="0"/>
    </xf>
    <xf numFmtId="3" fontId="10" fillId="0" borderId="10" xfId="0" applyNumberFormat="1" applyFont="1" applyFill="1" applyBorder="1" applyAlignment="1" applyProtection="1">
      <alignment horizontal="center"/>
      <protection locked="0"/>
    </xf>
    <xf numFmtId="3" fontId="10" fillId="0" borderId="25" xfId="0" applyNumberFormat="1" applyFont="1" applyFill="1" applyBorder="1" applyAlignment="1" applyProtection="1">
      <alignment horizontal="center"/>
      <protection locked="0"/>
    </xf>
    <xf numFmtId="0" fontId="10" fillId="0" borderId="52" xfId="0" applyFont="1" applyBorder="1" applyAlignment="1" applyProtection="1">
      <alignment horizontal="center"/>
      <protection locked="0"/>
    </xf>
    <xf numFmtId="0" fontId="11" fillId="0" borderId="51" xfId="0" applyFont="1" applyBorder="1" applyAlignment="1" applyProtection="1">
      <alignment horizontal="center" wrapText="1"/>
      <protection/>
    </xf>
    <xf numFmtId="181" fontId="5" fillId="0" borderId="0" xfId="0" applyNumberFormat="1" applyFont="1" applyAlignment="1" applyProtection="1">
      <alignment horizontal="center"/>
      <protection/>
    </xf>
    <xf numFmtId="4" fontId="5" fillId="0" borderId="0" xfId="0" applyNumberFormat="1" applyFont="1" applyAlignment="1" applyProtection="1">
      <alignment horizontal="center"/>
      <protection/>
    </xf>
    <xf numFmtId="3" fontId="5" fillId="0" borderId="52" xfId="0" applyNumberFormat="1" applyFont="1" applyBorder="1" applyAlignment="1" applyProtection="1">
      <alignment horizontal="center"/>
      <protection/>
    </xf>
    <xf numFmtId="181" fontId="5" fillId="0" borderId="55" xfId="0" applyNumberFormat="1" applyFont="1" applyBorder="1" applyAlignment="1" applyProtection="1">
      <alignment horizontal="center"/>
      <protection/>
    </xf>
    <xf numFmtId="0" fontId="7" fillId="0" borderId="55" xfId="0" applyFont="1" applyBorder="1" applyAlignment="1" applyProtection="1">
      <alignment/>
      <protection/>
    </xf>
    <xf numFmtId="0" fontId="7" fillId="0" borderId="55" xfId="0" applyFont="1" applyBorder="1" applyAlignment="1" applyProtection="1">
      <alignment horizontal="center"/>
      <protection/>
    </xf>
    <xf numFmtId="0" fontId="33" fillId="0" borderId="64" xfId="26" applyFont="1" applyBorder="1" applyAlignment="1" applyProtection="1">
      <alignment horizontal="center"/>
      <protection/>
    </xf>
    <xf numFmtId="0" fontId="31" fillId="0" borderId="0" xfId="26" applyFont="1" applyAlignment="1" applyProtection="1">
      <alignment horizontal="left"/>
      <protection/>
    </xf>
    <xf numFmtId="8" fontId="7" fillId="0" borderId="0" xfId="0" applyNumberFormat="1" applyFont="1" applyAlignment="1" applyProtection="1">
      <alignment horizontal="center"/>
      <protection/>
    </xf>
    <xf numFmtId="8" fontId="5" fillId="0" borderId="55" xfId="0" applyNumberFormat="1" applyFont="1" applyBorder="1" applyAlignment="1" applyProtection="1">
      <alignment horizontal="center"/>
      <protection/>
    </xf>
    <xf numFmtId="3" fontId="11" fillId="0" borderId="52" xfId="0" applyNumberFormat="1" applyFont="1" applyBorder="1" applyAlignment="1" applyProtection="1">
      <alignment horizontal="center" wrapText="1"/>
      <protection/>
    </xf>
    <xf numFmtId="0" fontId="10" fillId="0" borderId="18" xfId="0" applyFont="1" applyFill="1" applyBorder="1" applyAlignment="1" applyProtection="1">
      <alignment/>
      <protection locked="0"/>
    </xf>
    <xf numFmtId="0" fontId="10" fillId="0" borderId="17" xfId="0" applyFont="1" applyFill="1" applyBorder="1" applyAlignment="1" applyProtection="1">
      <alignment/>
      <protection locked="0"/>
    </xf>
    <xf numFmtId="0" fontId="10" fillId="0" borderId="19" xfId="0" applyFont="1" applyFill="1" applyBorder="1" applyAlignment="1" applyProtection="1">
      <alignment/>
      <protection locked="0"/>
    </xf>
    <xf numFmtId="0" fontId="10" fillId="0" borderId="65" xfId="0" applyFont="1" applyFill="1" applyBorder="1" applyAlignment="1" applyProtection="1">
      <alignment/>
      <protection locked="0"/>
    </xf>
    <xf numFmtId="0" fontId="7" fillId="0" borderId="0" xfId="0" applyFont="1" applyFill="1" applyAlignment="1" applyProtection="1">
      <alignment/>
      <protection/>
    </xf>
    <xf numFmtId="0" fontId="10" fillId="0" borderId="66" xfId="0" applyFont="1" applyFill="1" applyBorder="1" applyAlignment="1" applyProtection="1">
      <alignment/>
      <protection locked="0"/>
    </xf>
    <xf numFmtId="0" fontId="10" fillId="0" borderId="67" xfId="0" applyFont="1" applyFill="1" applyBorder="1" applyAlignment="1" applyProtection="1">
      <alignment/>
      <protection locked="0"/>
    </xf>
    <xf numFmtId="0" fontId="11" fillId="0" borderId="53" xfId="0" applyFont="1" applyBorder="1" applyAlignment="1" applyProtection="1">
      <alignment horizontal="left"/>
      <protection/>
    </xf>
    <xf numFmtId="0" fontId="11" fillId="0" borderId="47" xfId="0" applyFont="1" applyBorder="1" applyAlignment="1" applyProtection="1">
      <alignment horizontal="left"/>
      <protection/>
    </xf>
    <xf numFmtId="0" fontId="5" fillId="0" borderId="37" xfId="0" applyFont="1" applyBorder="1" applyAlignment="1" applyProtection="1">
      <alignment/>
      <protection/>
    </xf>
    <xf numFmtId="0" fontId="5" fillId="0" borderId="39" xfId="0" applyFont="1" applyBorder="1" applyAlignment="1" applyProtection="1">
      <alignment/>
      <protection/>
    </xf>
    <xf numFmtId="0" fontId="5" fillId="0" borderId="42" xfId="0" applyFont="1" applyBorder="1" applyAlignment="1" applyProtection="1">
      <alignment/>
      <protection/>
    </xf>
    <xf numFmtId="0" fontId="5" fillId="0" borderId="43" xfId="0" applyFont="1" applyBorder="1" applyAlignment="1" applyProtection="1">
      <alignment/>
      <protection/>
    </xf>
    <xf numFmtId="0" fontId="31" fillId="0" borderId="0" xfId="26" applyProtection="1">
      <alignment/>
      <protection/>
    </xf>
    <xf numFmtId="0" fontId="32" fillId="0" borderId="0" xfId="26" applyFont="1" applyAlignment="1" applyProtection="1">
      <alignment horizontal="center"/>
      <protection/>
    </xf>
    <xf numFmtId="0" fontId="31" fillId="0" borderId="0" xfId="26" applyBorder="1" applyProtection="1">
      <alignment/>
      <protection/>
    </xf>
    <xf numFmtId="0" fontId="32" fillId="0" borderId="0" xfId="26" applyFont="1" applyAlignment="1" applyProtection="1">
      <alignment horizontal="left"/>
      <protection/>
    </xf>
    <xf numFmtId="0" fontId="33" fillId="0" borderId="0" xfId="26" applyFont="1" applyAlignment="1" applyProtection="1">
      <alignment horizontal="center"/>
      <protection/>
    </xf>
    <xf numFmtId="182" fontId="10" fillId="0" borderId="17" xfId="0" applyNumberFormat="1" applyFont="1" applyFill="1" applyBorder="1" applyAlignment="1" applyProtection="1">
      <alignment horizontal="left"/>
      <protection locked="0"/>
    </xf>
    <xf numFmtId="182" fontId="10" fillId="0" borderId="68" xfId="0" applyNumberFormat="1" applyFont="1" applyFill="1" applyBorder="1" applyAlignment="1" applyProtection="1">
      <alignment horizontal="left"/>
      <protection locked="0"/>
    </xf>
    <xf numFmtId="182" fontId="10" fillId="0" borderId="19" xfId="0" applyNumberFormat="1" applyFont="1" applyFill="1" applyBorder="1" applyAlignment="1" applyProtection="1">
      <alignment horizontal="left"/>
      <protection locked="0"/>
    </xf>
    <xf numFmtId="0" fontId="10" fillId="0" borderId="16" xfId="0" applyFont="1" applyFill="1" applyBorder="1" applyAlignment="1" applyProtection="1">
      <alignment/>
      <protection locked="0"/>
    </xf>
    <xf numFmtId="0" fontId="11" fillId="0" borderId="48" xfId="0" applyFont="1" applyBorder="1" applyAlignment="1" applyProtection="1">
      <alignment horizontal="left"/>
      <protection/>
    </xf>
    <xf numFmtId="0" fontId="29" fillId="0" borderId="53" xfId="0" applyFont="1" applyBorder="1" applyAlignment="1" applyProtection="1">
      <alignment horizontal="left"/>
      <protection/>
    </xf>
    <xf numFmtId="0" fontId="10" fillId="0" borderId="66" xfId="0" applyFont="1" applyBorder="1" applyAlignment="1" applyProtection="1">
      <alignment/>
      <protection locked="0"/>
    </xf>
    <xf numFmtId="0" fontId="10" fillId="0" borderId="11" xfId="0" applyFont="1" applyBorder="1" applyAlignment="1" applyProtection="1">
      <alignment/>
      <protection locked="0"/>
    </xf>
    <xf numFmtId="0" fontId="10" fillId="0" borderId="16" xfId="0" applyFont="1" applyBorder="1" applyAlignment="1" applyProtection="1">
      <alignment/>
      <protection locked="0"/>
    </xf>
    <xf numFmtId="0" fontId="10" fillId="0" borderId="14" xfId="0" applyFont="1" applyBorder="1" applyAlignment="1" applyProtection="1">
      <alignment/>
      <protection locked="0"/>
    </xf>
    <xf numFmtId="0" fontId="10" fillId="0" borderId="17" xfId="0" applyFont="1" applyBorder="1" applyAlignment="1" applyProtection="1">
      <alignment/>
      <protection locked="0"/>
    </xf>
    <xf numFmtId="0" fontId="10" fillId="0" borderId="15" xfId="0" applyFont="1" applyBorder="1" applyAlignment="1" applyProtection="1">
      <alignment/>
      <protection locked="0"/>
    </xf>
    <xf numFmtId="0" fontId="11" fillId="0" borderId="59" xfId="0" applyFont="1" applyBorder="1" applyAlignment="1" applyProtection="1">
      <alignment/>
      <protection/>
    </xf>
    <xf numFmtId="0" fontId="11" fillId="0" borderId="60" xfId="0" applyFont="1" applyBorder="1" applyAlignment="1" applyProtection="1">
      <alignment/>
      <protection/>
    </xf>
    <xf numFmtId="0" fontId="11" fillId="0" borderId="61" xfId="0" applyFont="1" applyBorder="1" applyAlignment="1" applyProtection="1">
      <alignment/>
      <protection/>
    </xf>
    <xf numFmtId="0" fontId="11" fillId="0" borderId="62" xfId="0" applyFont="1" applyBorder="1" applyAlignment="1" applyProtection="1">
      <alignment/>
      <protection/>
    </xf>
    <xf numFmtId="0" fontId="11" fillId="5" borderId="59" xfId="0" applyFont="1" applyFill="1" applyBorder="1" applyAlignment="1" applyProtection="1">
      <alignment/>
      <protection/>
    </xf>
    <xf numFmtId="0" fontId="11" fillId="5" borderId="60" xfId="0" applyFont="1" applyFill="1" applyBorder="1" applyAlignment="1" applyProtection="1">
      <alignment/>
      <protection/>
    </xf>
    <xf numFmtId="0" fontId="11" fillId="0" borderId="57" xfId="0" applyFont="1" applyBorder="1" applyAlignment="1" applyProtection="1">
      <alignment/>
      <protection/>
    </xf>
    <xf numFmtId="0" fontId="11" fillId="0" borderId="58" xfId="0" applyFont="1" applyBorder="1" applyAlignment="1" applyProtection="1">
      <alignment/>
      <protection/>
    </xf>
    <xf numFmtId="0" fontId="19" fillId="0" borderId="1" xfId="0" applyFont="1" applyBorder="1" applyAlignment="1" applyProtection="1">
      <alignment/>
      <protection/>
    </xf>
    <xf numFmtId="0" fontId="10" fillId="0" borderId="19" xfId="0" applyFont="1" applyBorder="1" applyAlignment="1" applyProtection="1">
      <alignment/>
      <protection locked="0"/>
    </xf>
    <xf numFmtId="0" fontId="10" fillId="0" borderId="67" xfId="0" applyFont="1" applyBorder="1" applyAlignment="1" applyProtection="1">
      <alignment/>
      <protection locked="0"/>
    </xf>
    <xf numFmtId="0" fontId="10" fillId="0" borderId="18" xfId="0" applyFont="1" applyBorder="1" applyAlignment="1" applyProtection="1">
      <alignment/>
      <protection locked="0"/>
    </xf>
    <xf numFmtId="0" fontId="11" fillId="0" borderId="69" xfId="0" applyFont="1" applyBorder="1" applyAlignment="1" applyProtection="1">
      <alignment horizontal="center" wrapText="1"/>
      <protection/>
    </xf>
    <xf numFmtId="0" fontId="11" fillId="0" borderId="70" xfId="0" applyFont="1" applyBorder="1" applyAlignment="1" applyProtection="1">
      <alignment horizontal="center" wrapText="1"/>
      <protection/>
    </xf>
    <xf numFmtId="0" fontId="4" fillId="9" borderId="59" xfId="0" applyFont="1" applyFill="1" applyBorder="1" applyAlignment="1" applyProtection="1">
      <alignment horizontal="center"/>
      <protection/>
    </xf>
    <xf numFmtId="0" fontId="4" fillId="9" borderId="60" xfId="0" applyFont="1" applyFill="1" applyBorder="1" applyAlignment="1" applyProtection="1">
      <alignment horizontal="center"/>
      <protection/>
    </xf>
    <xf numFmtId="0" fontId="11" fillId="0" borderId="54" xfId="0" applyFont="1" applyBorder="1" applyAlignment="1" applyProtection="1">
      <alignment horizontal="center" wrapText="1"/>
      <protection/>
    </xf>
    <xf numFmtId="0" fontId="11" fillId="0" borderId="55" xfId="0" applyFont="1" applyBorder="1" applyAlignment="1" applyProtection="1">
      <alignment horizontal="center" wrapText="1"/>
      <protection/>
    </xf>
    <xf numFmtId="0" fontId="11" fillId="0" borderId="58" xfId="0" applyFont="1" applyBorder="1" applyAlignment="1" applyProtection="1">
      <alignment horizontal="center" wrapText="1"/>
      <protection/>
    </xf>
    <xf numFmtId="0" fontId="11" fillId="0" borderId="62" xfId="0" applyFont="1" applyBorder="1" applyAlignment="1" applyProtection="1">
      <alignment horizontal="center" wrapText="1"/>
      <protection/>
    </xf>
    <xf numFmtId="0" fontId="11" fillId="0" borderId="57" xfId="0" applyFont="1" applyBorder="1" applyAlignment="1" applyProtection="1">
      <alignment horizontal="center" wrapText="1"/>
      <protection/>
    </xf>
    <xf numFmtId="0" fontId="11" fillId="0" borderId="61" xfId="0" applyFont="1" applyBorder="1" applyAlignment="1" applyProtection="1">
      <alignment horizontal="center" wrapText="1"/>
      <protection/>
    </xf>
    <xf numFmtId="3" fontId="11" fillId="0" borderId="69" xfId="0" applyNumberFormat="1" applyFont="1" applyBorder="1" applyAlignment="1" applyProtection="1">
      <alignment horizontal="center" wrapText="1"/>
      <protection/>
    </xf>
    <xf numFmtId="0" fontId="10" fillId="0" borderId="14" xfId="0" applyFont="1" applyFill="1" applyBorder="1" applyAlignment="1" applyProtection="1">
      <alignment/>
      <protection locked="0"/>
    </xf>
    <xf numFmtId="0" fontId="10" fillId="0" borderId="5" xfId="0" applyFont="1" applyBorder="1" applyAlignment="1" applyProtection="1">
      <alignment/>
      <protection locked="0"/>
    </xf>
    <xf numFmtId="0" fontId="10" fillId="0" borderId="6" xfId="0" applyFont="1" applyBorder="1" applyAlignment="1" applyProtection="1">
      <alignment/>
      <protection locked="0"/>
    </xf>
    <xf numFmtId="0" fontId="10" fillId="0" borderId="8" xfId="0" applyFont="1" applyBorder="1" applyAlignment="1" applyProtection="1">
      <alignment/>
      <protection locked="0"/>
    </xf>
    <xf numFmtId="0" fontId="10" fillId="0" borderId="9" xfId="0" applyFont="1" applyBorder="1" applyAlignment="1" applyProtection="1">
      <alignment/>
      <protection locked="0"/>
    </xf>
    <xf numFmtId="0" fontId="7" fillId="0" borderId="36" xfId="0" applyFont="1" applyFill="1" applyBorder="1" applyAlignment="1" applyProtection="1">
      <alignment horizontal="left" vertical="center" wrapText="1"/>
      <protection/>
    </xf>
    <xf numFmtId="0" fontId="7" fillId="0" borderId="4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protection/>
    </xf>
    <xf numFmtId="0" fontId="4" fillId="9" borderId="57" xfId="0" applyFont="1" applyFill="1" applyBorder="1" applyAlignment="1" applyProtection="1">
      <alignment horizontal="center"/>
      <protection/>
    </xf>
    <xf numFmtId="0" fontId="4" fillId="9" borderId="58" xfId="0" applyFont="1" applyFill="1" applyBorder="1" applyAlignment="1" applyProtection="1">
      <alignment horizontal="center"/>
      <protection/>
    </xf>
    <xf numFmtId="0" fontId="5" fillId="10" borderId="56" xfId="0" applyFont="1" applyFill="1" applyBorder="1" applyAlignment="1" applyProtection="1">
      <alignment horizontal="center"/>
      <protection/>
    </xf>
    <xf numFmtId="0" fontId="10" fillId="0" borderId="2" xfId="0" applyFont="1" applyBorder="1" applyAlignment="1" applyProtection="1">
      <alignment/>
      <protection locked="0"/>
    </xf>
    <xf numFmtId="0" fontId="10" fillId="0" borderId="3" xfId="0" applyFont="1" applyBorder="1" applyAlignment="1" applyProtection="1">
      <alignment/>
      <protection locked="0"/>
    </xf>
    <xf numFmtId="3" fontId="7" fillId="0" borderId="0" xfId="0" applyNumberFormat="1" applyFont="1" applyFill="1" applyBorder="1" applyAlignment="1" applyProtection="1">
      <alignment horizontal="left"/>
      <protection/>
    </xf>
    <xf numFmtId="3" fontId="10" fillId="0" borderId="16" xfId="0" applyNumberFormat="1" applyFont="1" applyFill="1" applyBorder="1" applyAlignment="1" applyProtection="1">
      <alignment horizontal="left"/>
      <protection locked="0"/>
    </xf>
    <xf numFmtId="3" fontId="10" fillId="0" borderId="14" xfId="0" applyNumberFormat="1" applyFont="1" applyFill="1" applyBorder="1" applyAlignment="1" applyProtection="1">
      <alignment horizontal="left"/>
      <protection locked="0"/>
    </xf>
    <xf numFmtId="0" fontId="7" fillId="0" borderId="40" xfId="0" applyFont="1" applyBorder="1" applyAlignment="1" applyProtection="1">
      <alignment horizontal="left"/>
      <protection/>
    </xf>
    <xf numFmtId="0" fontId="4" fillId="5" borderId="40" xfId="0" applyFont="1" applyFill="1" applyBorder="1" applyAlignment="1" applyProtection="1">
      <alignment horizontal="center"/>
      <protection/>
    </xf>
    <xf numFmtId="0" fontId="10" fillId="0" borderId="71" xfId="0" applyFont="1" applyFill="1" applyBorder="1" applyAlignment="1" applyProtection="1">
      <alignment/>
      <protection locked="0"/>
    </xf>
    <xf numFmtId="3" fontId="10" fillId="0" borderId="17" xfId="0" applyNumberFormat="1" applyFont="1" applyFill="1" applyBorder="1" applyAlignment="1" applyProtection="1">
      <alignment horizontal="left"/>
      <protection locked="0"/>
    </xf>
    <xf numFmtId="3" fontId="10" fillId="0" borderId="15" xfId="0" applyNumberFormat="1" applyFont="1" applyFill="1" applyBorder="1" applyAlignment="1" applyProtection="1">
      <alignment horizontal="left"/>
      <protection locked="0"/>
    </xf>
    <xf numFmtId="3" fontId="10" fillId="0" borderId="66" xfId="0" applyNumberFormat="1" applyFont="1" applyFill="1" applyBorder="1" applyAlignment="1" applyProtection="1">
      <alignment horizontal="left"/>
      <protection locked="0"/>
    </xf>
    <xf numFmtId="3" fontId="10" fillId="0" borderId="11" xfId="0" applyNumberFormat="1" applyFont="1" applyFill="1" applyBorder="1" applyAlignment="1" applyProtection="1">
      <alignment horizontal="left"/>
      <protection locked="0"/>
    </xf>
    <xf numFmtId="0" fontId="0" fillId="0" borderId="0" xfId="0" applyAlignment="1">
      <alignment horizontal="center"/>
    </xf>
    <xf numFmtId="0" fontId="0" fillId="0" borderId="0" xfId="0" applyFont="1" applyAlignment="1">
      <alignment horizontal="center"/>
    </xf>
    <xf numFmtId="1" fontId="0" fillId="0" borderId="0" xfId="0" applyNumberFormat="1" applyFont="1" applyAlignment="1">
      <alignment horizontal="center"/>
    </xf>
    <xf numFmtId="178" fontId="0" fillId="0" borderId="0" xfId="0" applyNumberFormat="1" applyAlignment="1">
      <alignment horizontal="center"/>
    </xf>
    <xf numFmtId="0" fontId="7" fillId="0" borderId="0" xfId="0" applyFont="1" applyAlignment="1">
      <alignment/>
    </xf>
    <xf numFmtId="178" fontId="0" fillId="0" borderId="0" xfId="0" applyNumberFormat="1" applyAlignment="1">
      <alignment/>
    </xf>
    <xf numFmtId="0" fontId="0" fillId="0" borderId="0" xfId="0" applyBorder="1" applyAlignment="1">
      <alignment/>
    </xf>
    <xf numFmtId="0" fontId="5" fillId="0" borderId="0" xfId="0" applyFont="1" applyBorder="1" applyAlignment="1">
      <alignment horizontal="center"/>
    </xf>
    <xf numFmtId="0" fontId="0" fillId="0" borderId="0" xfId="0" applyFont="1" applyBorder="1" applyAlignment="1">
      <alignment horizontal="center"/>
    </xf>
    <xf numFmtId="1" fontId="0" fillId="0" borderId="0" xfId="0" applyNumberFormat="1" applyFont="1" applyBorder="1" applyAlignment="1">
      <alignment horizontal="center"/>
    </xf>
    <xf numFmtId="178" fontId="0" fillId="0" borderId="0" xfId="0" applyNumberFormat="1" applyBorder="1" applyAlignment="1">
      <alignment horizontal="center"/>
    </xf>
    <xf numFmtId="0" fontId="7" fillId="0" borderId="0" xfId="0" applyFont="1" applyBorder="1" applyAlignment="1">
      <alignment/>
    </xf>
    <xf numFmtId="178" fontId="0" fillId="0" borderId="0" xfId="0" applyNumberFormat="1" applyBorder="1" applyAlignment="1">
      <alignment/>
    </xf>
    <xf numFmtId="0" fontId="7" fillId="0" borderId="0" xfId="0" applyFont="1" applyBorder="1" applyAlignment="1" applyProtection="1">
      <alignment/>
      <protection/>
    </xf>
    <xf numFmtId="0" fontId="7" fillId="0" borderId="0" xfId="0" applyFont="1" applyBorder="1" applyAlignment="1" applyProtection="1">
      <alignment horizontal="left"/>
      <protection/>
    </xf>
    <xf numFmtId="0" fontId="5" fillId="0" borderId="47" xfId="0" applyFont="1" applyBorder="1" applyAlignment="1" applyProtection="1">
      <alignment/>
      <protection/>
    </xf>
    <xf numFmtId="0" fontId="5" fillId="0" borderId="53" xfId="0" applyFont="1" applyBorder="1" applyAlignment="1" applyProtection="1">
      <alignment/>
      <protection/>
    </xf>
    <xf numFmtId="0" fontId="5" fillId="0" borderId="48" xfId="0" applyFont="1" applyBorder="1" applyAlignment="1" applyProtection="1">
      <alignment/>
      <protection/>
    </xf>
    <xf numFmtId="0" fontId="5" fillId="0" borderId="43" xfId="0" applyFont="1" applyBorder="1" applyAlignment="1" applyProtection="1">
      <alignment/>
      <protection/>
    </xf>
    <xf numFmtId="0" fontId="5" fillId="0" borderId="47" xfId="0" applyFont="1" applyBorder="1" applyAlignment="1" applyProtection="1">
      <alignment/>
      <protection/>
    </xf>
    <xf numFmtId="0" fontId="5" fillId="0" borderId="53" xfId="0" applyFont="1" applyBorder="1" applyAlignment="1" applyProtection="1">
      <alignment/>
      <protection/>
    </xf>
    <xf numFmtId="0" fontId="5" fillId="0" borderId="48" xfId="0" applyFont="1" applyBorder="1" applyAlignment="1" applyProtection="1">
      <alignment/>
      <protection/>
    </xf>
    <xf numFmtId="0" fontId="11" fillId="0" borderId="59" xfId="0" applyFont="1" applyBorder="1" applyAlignment="1" applyProtection="1">
      <alignment horizontal="left"/>
      <protection/>
    </xf>
    <xf numFmtId="0" fontId="4" fillId="0" borderId="40" xfId="0" applyFont="1" applyBorder="1" applyAlignment="1" applyProtection="1">
      <alignment/>
      <protection/>
    </xf>
    <xf numFmtId="0" fontId="0" fillId="0" borderId="40" xfId="0" applyFont="1" applyBorder="1" applyAlignment="1" applyProtection="1">
      <alignment/>
      <protection/>
    </xf>
    <xf numFmtId="0" fontId="0" fillId="0" borderId="40" xfId="0" applyFont="1" applyBorder="1" applyAlignment="1" applyProtection="1">
      <alignment horizontal="center"/>
      <protection/>
    </xf>
    <xf numFmtId="0" fontId="16" fillId="0" borderId="0" xfId="0" applyFont="1" applyBorder="1" applyAlignment="1" applyProtection="1">
      <alignment/>
      <protection/>
    </xf>
    <xf numFmtId="0" fontId="16" fillId="0" borderId="0" xfId="0" applyFont="1" applyAlignment="1" applyProtection="1">
      <alignment horizontal="center"/>
      <protection/>
    </xf>
    <xf numFmtId="0" fontId="16" fillId="0" borderId="0" xfId="0" applyFont="1" applyAlignment="1" applyProtection="1">
      <alignment/>
      <protection/>
    </xf>
    <xf numFmtId="0" fontId="16" fillId="0" borderId="1" xfId="0" applyFont="1" applyBorder="1" applyAlignment="1" applyProtection="1">
      <alignment/>
      <protection/>
    </xf>
    <xf numFmtId="0" fontId="16" fillId="0" borderId="55" xfId="0" applyFont="1" applyBorder="1" applyAlignment="1" applyProtection="1">
      <alignment/>
      <protection/>
    </xf>
    <xf numFmtId="0" fontId="19" fillId="0" borderId="0" xfId="0" applyFont="1" applyAlignment="1" applyProtection="1">
      <alignment/>
      <protection/>
    </xf>
    <xf numFmtId="0" fontId="16" fillId="0" borderId="1" xfId="0" applyFont="1" applyBorder="1" applyAlignment="1" applyProtection="1">
      <alignment/>
      <protection/>
    </xf>
    <xf numFmtId="0" fontId="7" fillId="0" borderId="52" xfId="26" applyFont="1" applyBorder="1" applyAlignment="1" applyProtection="1">
      <alignment horizontal="center" wrapText="1"/>
      <protection/>
    </xf>
    <xf numFmtId="0" fontId="5" fillId="0" borderId="40" xfId="0" applyFont="1" applyBorder="1" applyAlignment="1" applyProtection="1">
      <alignment/>
      <protection/>
    </xf>
    <xf numFmtId="0" fontId="31" fillId="0" borderId="40" xfId="26" applyBorder="1" applyProtection="1">
      <alignment/>
      <protection/>
    </xf>
    <xf numFmtId="0" fontId="33" fillId="0" borderId="40" xfId="26" applyFont="1" applyBorder="1" applyProtection="1">
      <alignment/>
      <protection/>
    </xf>
    <xf numFmtId="0" fontId="7" fillId="0" borderId="0" xfId="26" applyFont="1" applyProtection="1">
      <alignment/>
      <protection/>
    </xf>
    <xf numFmtId="0" fontId="4" fillId="5" borderId="47" xfId="0" applyFont="1" applyFill="1" applyBorder="1" applyAlignment="1" applyProtection="1">
      <alignment horizontal="center"/>
      <protection/>
    </xf>
    <xf numFmtId="0" fontId="4" fillId="5" borderId="53" xfId="0" applyFont="1" applyFill="1" applyBorder="1" applyAlignment="1" applyProtection="1">
      <alignment horizontal="center"/>
      <protection/>
    </xf>
    <xf numFmtId="0" fontId="4" fillId="5" borderId="48" xfId="0" applyFont="1" applyFill="1" applyBorder="1" applyAlignment="1" applyProtection="1">
      <alignment horizontal="center"/>
      <protection/>
    </xf>
    <xf numFmtId="0" fontId="10" fillId="0" borderId="37" xfId="0" applyFont="1" applyBorder="1" applyAlignment="1" applyProtection="1">
      <alignment/>
      <protection locked="0"/>
    </xf>
    <xf numFmtId="0" fontId="10" fillId="0" borderId="39" xfId="0" applyFont="1" applyBorder="1" applyAlignment="1" applyProtection="1">
      <alignment/>
      <protection locked="0"/>
    </xf>
    <xf numFmtId="0" fontId="10" fillId="0" borderId="42" xfId="0" applyFont="1" applyBorder="1" applyAlignment="1" applyProtection="1">
      <alignment/>
      <protection locked="0"/>
    </xf>
    <xf numFmtId="0" fontId="10" fillId="0" borderId="43" xfId="0" applyFont="1" applyBorder="1" applyAlignment="1" applyProtection="1">
      <alignment/>
      <protection locked="0"/>
    </xf>
    <xf numFmtId="0" fontId="10" fillId="0" borderId="36" xfId="0" applyFont="1" applyBorder="1" applyAlignment="1" applyProtection="1">
      <alignment/>
      <protection locked="0"/>
    </xf>
    <xf numFmtId="0" fontId="10" fillId="0" borderId="41" xfId="0" applyFont="1" applyBorder="1" applyAlignment="1" applyProtection="1">
      <alignment/>
      <protection locked="0"/>
    </xf>
    <xf numFmtId="0" fontId="10" fillId="0" borderId="46" xfId="0" applyFont="1" applyBorder="1" applyAlignment="1" applyProtection="1">
      <alignment horizontal="center"/>
      <protection locked="0"/>
    </xf>
    <xf numFmtId="0" fontId="10" fillId="0" borderId="63" xfId="0" applyFont="1" applyBorder="1" applyAlignment="1" applyProtection="1">
      <alignment horizontal="center"/>
      <protection locked="0"/>
    </xf>
    <xf numFmtId="0" fontId="10" fillId="0" borderId="52" xfId="26" applyFont="1" applyBorder="1" applyAlignment="1" applyProtection="1">
      <alignment horizontal="center"/>
      <protection locked="0"/>
    </xf>
    <xf numFmtId="0" fontId="7" fillId="0" borderId="0" xfId="26" applyFont="1" applyAlignment="1" applyProtection="1">
      <alignment horizontal="left"/>
      <protection/>
    </xf>
    <xf numFmtId="0" fontId="7" fillId="0" borderId="0" xfId="26" applyFont="1" applyAlignment="1" applyProtection="1">
      <alignment horizontal="center"/>
      <protection/>
    </xf>
    <xf numFmtId="3" fontId="10" fillId="0" borderId="72" xfId="26" applyNumberFormat="1" applyFont="1" applyBorder="1" applyAlignment="1" applyProtection="1">
      <alignment horizontal="center"/>
      <protection locked="0"/>
    </xf>
    <xf numFmtId="3" fontId="10" fillId="0" borderId="73" xfId="26" applyNumberFormat="1" applyFont="1" applyBorder="1" applyAlignment="1" applyProtection="1">
      <alignment horizontal="center"/>
      <protection locked="0"/>
    </xf>
    <xf numFmtId="3" fontId="10" fillId="0" borderId="74" xfId="26" applyNumberFormat="1" applyFont="1" applyBorder="1" applyAlignment="1" applyProtection="1">
      <alignment horizontal="center"/>
      <protection locked="0"/>
    </xf>
    <xf numFmtId="3" fontId="5" fillId="0" borderId="0" xfId="26" applyNumberFormat="1" applyFont="1" applyAlignment="1" applyProtection="1">
      <alignment horizontal="center"/>
      <protection/>
    </xf>
    <xf numFmtId="0" fontId="34" fillId="0" borderId="0" xfId="26" applyFont="1" applyAlignment="1" applyProtection="1">
      <alignment horizontal="left"/>
      <protection/>
    </xf>
    <xf numFmtId="0" fontId="5" fillId="0" borderId="42" xfId="0" applyFont="1" applyBorder="1" applyAlignment="1" applyProtection="1">
      <alignment/>
      <protection/>
    </xf>
    <xf numFmtId="0" fontId="5" fillId="0" borderId="36" xfId="0" applyFont="1" applyBorder="1" applyAlignment="1" applyProtection="1">
      <alignment/>
      <protection/>
    </xf>
    <xf numFmtId="0" fontId="5" fillId="0" borderId="41" xfId="0" applyFont="1" applyBorder="1" applyAlignment="1" applyProtection="1">
      <alignment/>
      <protection/>
    </xf>
    <xf numFmtId="0" fontId="7" fillId="0" borderId="0" xfId="0" applyFont="1" applyAlignment="1" applyProtection="1">
      <alignment horizontal="center" wrapText="1"/>
      <protection/>
    </xf>
    <xf numFmtId="0" fontId="0" fillId="0" borderId="0" xfId="0" applyFont="1" applyBorder="1" applyAlignment="1" applyProtection="1">
      <alignment/>
      <protection/>
    </xf>
    <xf numFmtId="0" fontId="0" fillId="0" borderId="0" xfId="0" applyFont="1" applyAlignment="1">
      <alignment horizontal="center"/>
    </xf>
    <xf numFmtId="0" fontId="4" fillId="0" borderId="47" xfId="0" applyFont="1" applyBorder="1" applyAlignment="1" applyProtection="1">
      <alignment/>
      <protection/>
    </xf>
    <xf numFmtId="0" fontId="4" fillId="0" borderId="53" xfId="0" applyFont="1" applyBorder="1" applyAlignment="1" applyProtection="1">
      <alignment/>
      <protection/>
    </xf>
    <xf numFmtId="0" fontId="4" fillId="0" borderId="48" xfId="0" applyFont="1" applyBorder="1" applyAlignment="1" applyProtection="1">
      <alignment/>
      <protection/>
    </xf>
    <xf numFmtId="0" fontId="0" fillId="0" borderId="0" xfId="0" applyFont="1" applyBorder="1" applyAlignment="1" applyProtection="1">
      <alignment horizontal="left"/>
      <protection/>
    </xf>
    <xf numFmtId="1" fontId="0" fillId="0" borderId="0" xfId="0" applyNumberFormat="1" applyFont="1" applyAlignment="1">
      <alignment horizontal="center"/>
    </xf>
    <xf numFmtId="178" fontId="0" fillId="0" borderId="0" xfId="0" applyNumberFormat="1" applyFont="1" applyAlignment="1">
      <alignment horizontal="center"/>
    </xf>
    <xf numFmtId="0" fontId="0" fillId="0" borderId="0" xfId="0" applyFont="1" applyBorder="1" applyAlignment="1" applyProtection="1">
      <alignment/>
      <protection/>
    </xf>
    <xf numFmtId="0" fontId="4" fillId="0" borderId="47" xfId="0" applyFont="1" applyBorder="1" applyAlignment="1" applyProtection="1">
      <alignment/>
      <protection/>
    </xf>
    <xf numFmtId="0" fontId="4" fillId="0" borderId="53" xfId="0" applyFont="1" applyBorder="1" applyAlignment="1" applyProtection="1">
      <alignment/>
      <protection/>
    </xf>
    <xf numFmtId="0" fontId="4" fillId="0" borderId="48" xfId="0" applyFont="1" applyBorder="1" applyAlignment="1" applyProtection="1">
      <alignment/>
      <protection/>
    </xf>
    <xf numFmtId="0" fontId="23" fillId="0" borderId="36" xfId="0" applyFont="1" applyFill="1" applyBorder="1" applyAlignment="1" applyProtection="1">
      <alignment horizontal="left" vertical="center" wrapText="1"/>
      <protection/>
    </xf>
    <xf numFmtId="0" fontId="23" fillId="0" borderId="40" xfId="0" applyFont="1" applyFill="1" applyBorder="1" applyAlignment="1" applyProtection="1">
      <alignment horizontal="left" vertical="center" wrapText="1"/>
      <protection/>
    </xf>
    <xf numFmtId="0" fontId="23" fillId="0" borderId="37" xfId="0" applyFont="1" applyFill="1" applyBorder="1" applyAlignment="1" applyProtection="1">
      <alignment horizontal="left" vertical="center" wrapText="1"/>
      <protection/>
    </xf>
    <xf numFmtId="0" fontId="23" fillId="0" borderId="38" xfId="0" applyFont="1" applyFill="1" applyBorder="1" applyAlignment="1" applyProtection="1">
      <alignment horizontal="left" vertical="center" wrapText="1"/>
      <protection/>
    </xf>
    <xf numFmtId="0" fontId="23" fillId="0" borderId="39" xfId="0" applyFont="1" applyFill="1" applyBorder="1" applyAlignment="1" applyProtection="1">
      <alignment horizontal="left" vertical="center" wrapText="1"/>
      <protection/>
    </xf>
    <xf numFmtId="0" fontId="23" fillId="0" borderId="41" xfId="0" applyFont="1" applyFill="1" applyBorder="1" applyAlignment="1" applyProtection="1">
      <alignment horizontal="left" vertical="center" wrapText="1"/>
      <protection/>
    </xf>
    <xf numFmtId="0" fontId="7" fillId="0" borderId="37" xfId="0" applyFont="1" applyFill="1" applyBorder="1" applyAlignment="1" applyProtection="1">
      <alignment horizontal="left" vertical="center" wrapText="1"/>
      <protection/>
    </xf>
    <xf numFmtId="0" fontId="7" fillId="0" borderId="38" xfId="0" applyFont="1" applyFill="1" applyBorder="1" applyAlignment="1" applyProtection="1">
      <alignment horizontal="left" vertical="center" wrapText="1"/>
      <protection/>
    </xf>
    <xf numFmtId="0" fontId="7" fillId="0" borderId="39" xfId="0" applyFont="1" applyFill="1" applyBorder="1" applyAlignment="1" applyProtection="1">
      <alignment horizontal="left" vertical="center" wrapText="1"/>
      <protection/>
    </xf>
    <xf numFmtId="0" fontId="7" fillId="0" borderId="41" xfId="0" applyFont="1" applyFill="1" applyBorder="1" applyAlignment="1" applyProtection="1">
      <alignment horizontal="left" vertical="center" wrapText="1"/>
      <protection/>
    </xf>
    <xf numFmtId="0" fontId="5" fillId="0" borderId="75" xfId="0" applyFont="1" applyBorder="1" applyAlignment="1" applyProtection="1">
      <alignment/>
      <protection/>
    </xf>
    <xf numFmtId="0" fontId="7" fillId="0" borderId="76" xfId="0" applyFont="1" applyBorder="1" applyAlignment="1" applyProtection="1">
      <alignment/>
      <protection/>
    </xf>
    <xf numFmtId="3" fontId="7" fillId="0" borderId="52" xfId="0" applyNumberFormat="1" applyFont="1" applyBorder="1" applyAlignment="1" applyProtection="1">
      <alignment horizontal="center"/>
      <protection/>
    </xf>
    <xf numFmtId="3" fontId="5" fillId="0" borderId="56" xfId="0" applyNumberFormat="1" applyFont="1" applyFill="1" applyBorder="1" applyAlignment="1" applyProtection="1">
      <alignment horizontal="center"/>
      <protection/>
    </xf>
    <xf numFmtId="4" fontId="7" fillId="0" borderId="52" xfId="0" applyNumberFormat="1" applyFont="1" applyFill="1" applyBorder="1" applyAlignment="1" applyProtection="1">
      <alignment horizontal="center"/>
      <protection/>
    </xf>
    <xf numFmtId="4" fontId="10" fillId="0" borderId="77" xfId="0" applyNumberFormat="1" applyFont="1" applyFill="1" applyBorder="1" applyAlignment="1" applyProtection="1">
      <alignment horizontal="center"/>
      <protection locked="0"/>
    </xf>
    <xf numFmtId="4" fontId="10" fillId="0" borderId="78" xfId="0" applyNumberFormat="1" applyFont="1" applyFill="1" applyBorder="1" applyAlignment="1" applyProtection="1">
      <alignment horizontal="center"/>
      <protection locked="0"/>
    </xf>
    <xf numFmtId="4" fontId="10" fillId="0" borderId="79" xfId="0" applyNumberFormat="1" applyFont="1" applyFill="1" applyBorder="1" applyAlignment="1" applyProtection="1">
      <alignment horizontal="center"/>
      <protection locked="0"/>
    </xf>
    <xf numFmtId="4" fontId="5" fillId="0" borderId="56" xfId="0" applyNumberFormat="1" applyFont="1" applyFill="1" applyBorder="1" applyAlignment="1" applyProtection="1">
      <alignment horizontal="center"/>
      <protection/>
    </xf>
    <xf numFmtId="178" fontId="7" fillId="0" borderId="52" xfId="0" applyNumberFormat="1" applyFont="1" applyFill="1" applyBorder="1" applyAlignment="1" applyProtection="1">
      <alignment horizontal="center"/>
      <protection/>
    </xf>
    <xf numFmtId="178" fontId="5" fillId="0" borderId="56" xfId="0" applyNumberFormat="1" applyFont="1" applyFill="1" applyBorder="1" applyAlignment="1" applyProtection="1">
      <alignment horizontal="center"/>
      <protection/>
    </xf>
    <xf numFmtId="181" fontId="5" fillId="0" borderId="0" xfId="0" applyNumberFormat="1" applyFont="1" applyFill="1" applyAlignment="1" applyProtection="1">
      <alignment horizontal="center"/>
      <protection/>
    </xf>
    <xf numFmtId="181" fontId="7" fillId="0" borderId="52" xfId="0" applyNumberFormat="1" applyFont="1" applyFill="1" applyBorder="1" applyAlignment="1" applyProtection="1">
      <alignment horizontal="center"/>
      <protection/>
    </xf>
    <xf numFmtId="181" fontId="5" fillId="0" borderId="56" xfId="0" applyNumberFormat="1" applyFont="1" applyFill="1" applyBorder="1" applyAlignment="1" applyProtection="1">
      <alignment horizontal="center"/>
      <protection/>
    </xf>
    <xf numFmtId="181" fontId="5" fillId="0" borderId="80" xfId="0" applyNumberFormat="1" applyFont="1" applyFill="1" applyBorder="1" applyAlignment="1" applyProtection="1">
      <alignment horizontal="center"/>
      <protection/>
    </xf>
    <xf numFmtId="0" fontId="7" fillId="0" borderId="56" xfId="0" applyFont="1" applyBorder="1" applyAlignment="1" applyProtection="1">
      <alignment/>
      <protection/>
    </xf>
    <xf numFmtId="0" fontId="5" fillId="0" borderId="56" xfId="0" applyFont="1" applyBorder="1" applyAlignment="1" applyProtection="1">
      <alignment horizontal="center"/>
      <protection/>
    </xf>
    <xf numFmtId="0" fontId="5" fillId="6" borderId="56" xfId="0" applyFont="1" applyFill="1" applyBorder="1" applyAlignment="1" applyProtection="1">
      <alignment horizontal="center"/>
      <protection/>
    </xf>
    <xf numFmtId="166" fontId="5" fillId="0" borderId="56" xfId="0" applyNumberFormat="1" applyFont="1" applyFill="1" applyBorder="1" applyAlignment="1" applyProtection="1">
      <alignment horizontal="center"/>
      <protection/>
    </xf>
    <xf numFmtId="181" fontId="5" fillId="0" borderId="1" xfId="0" applyNumberFormat="1" applyFont="1" applyFill="1" applyBorder="1" applyAlignment="1" applyProtection="1">
      <alignment horizontal="center"/>
      <protection/>
    </xf>
    <xf numFmtId="3" fontId="5" fillId="5" borderId="0" xfId="0" applyNumberFormat="1" applyFont="1" applyFill="1" applyAlignment="1" applyProtection="1">
      <alignment horizontal="center"/>
      <protection/>
    </xf>
    <xf numFmtId="3" fontId="7" fillId="0" borderId="0" xfId="0" applyNumberFormat="1" applyFont="1" applyAlignment="1" applyProtection="1">
      <alignment horizontal="center"/>
      <protection/>
    </xf>
    <xf numFmtId="3" fontId="7" fillId="0" borderId="40" xfId="0" applyNumberFormat="1" applyFont="1" applyBorder="1" applyAlignment="1" applyProtection="1">
      <alignment horizontal="center"/>
      <protection/>
    </xf>
    <xf numFmtId="3" fontId="5" fillId="3" borderId="0" xfId="0" applyNumberFormat="1" applyFont="1" applyFill="1" applyAlignment="1" applyProtection="1">
      <alignment horizontal="center"/>
      <protection/>
    </xf>
    <xf numFmtId="3" fontId="5" fillId="11" borderId="0" xfId="0" applyNumberFormat="1" applyFont="1" applyFill="1" applyAlignment="1" applyProtection="1">
      <alignment horizontal="center"/>
      <protection/>
    </xf>
    <xf numFmtId="3" fontId="7" fillId="0" borderId="0" xfId="0" applyNumberFormat="1" applyFont="1" applyFill="1" applyAlignment="1" applyProtection="1">
      <alignment horizontal="center"/>
      <protection/>
    </xf>
  </cellXfs>
  <cellStyles count="14">
    <cellStyle name="Normal" xfId="0"/>
    <cellStyle name="Comma" xfId="15"/>
    <cellStyle name="Currency" xfId="16"/>
    <cellStyle name="F2" xfId="17"/>
    <cellStyle name="F3" xfId="18"/>
    <cellStyle name="F4" xfId="19"/>
    <cellStyle name="F5" xfId="20"/>
    <cellStyle name="F6" xfId="21"/>
    <cellStyle name="F7" xfId="22"/>
    <cellStyle name="F8" xfId="23"/>
    <cellStyle name="Followed Hyperlink" xfId="24"/>
    <cellStyle name="Hyperlink" xfId="25"/>
    <cellStyle name="Normal_EnterpriseBudgets" xfId="26"/>
    <cellStyle name="Percent" xfId="27"/>
  </cellStyles>
  <dxfs count="2">
    <dxf>
      <font>
        <color rgb="FFC0C0C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147</xdr:row>
      <xdr:rowOff>123825</xdr:rowOff>
    </xdr:from>
    <xdr:to>
      <xdr:col>7</xdr:col>
      <xdr:colOff>180975</xdr:colOff>
      <xdr:row>159</xdr:row>
      <xdr:rowOff>9525</xdr:rowOff>
    </xdr:to>
    <xdr:sp>
      <xdr:nvSpPr>
        <xdr:cNvPr id="1" name="TextBox 1"/>
        <xdr:cNvSpPr txBox="1">
          <a:spLocks noChangeArrowheads="1"/>
        </xdr:cNvSpPr>
      </xdr:nvSpPr>
      <xdr:spPr>
        <a:xfrm>
          <a:off x="4495800" y="28984575"/>
          <a:ext cx="2400300" cy="222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For each tractor, truck and pickup listed at left, enter the </a:t>
          </a:r>
          <a:r>
            <a:rPr lang="en-US" cap="none" sz="1200" b="1" i="0" u="none" baseline="0">
              <a:latin typeface="Arial"/>
              <a:ea typeface="Arial"/>
              <a:cs typeface="Arial"/>
            </a:rPr>
            <a:t>hours of additional use</a:t>
          </a:r>
          <a:r>
            <a:rPr lang="en-US" cap="none" sz="1200" b="0" i="0" u="none" baseline="0">
              <a:latin typeface="Arial"/>
              <a:ea typeface="Arial"/>
              <a:cs typeface="Arial"/>
            </a:rPr>
            <a:t> for activities other than the cropping enterprises.  
Example: Tractors could be used to plow roads and feeding livestock, among other uses.  Trucks could be used for livestock enterprises.</a:t>
          </a:r>
        </a:p>
      </xdr:txBody>
    </xdr:sp>
    <xdr:clientData/>
  </xdr:twoCellAnchor>
  <xdr:twoCellAnchor>
    <xdr:from>
      <xdr:col>3</xdr:col>
      <xdr:colOff>38100</xdr:colOff>
      <xdr:row>112</xdr:row>
      <xdr:rowOff>9525</xdr:rowOff>
    </xdr:from>
    <xdr:to>
      <xdr:col>5</xdr:col>
      <xdr:colOff>781050</xdr:colOff>
      <xdr:row>115</xdr:row>
      <xdr:rowOff>0</xdr:rowOff>
    </xdr:to>
    <xdr:sp>
      <xdr:nvSpPr>
        <xdr:cNvPr id="2" name="TextBox 18"/>
        <xdr:cNvSpPr txBox="1">
          <a:spLocks noChangeArrowheads="1"/>
        </xdr:cNvSpPr>
      </xdr:nvSpPr>
      <xdr:spPr>
        <a:xfrm>
          <a:off x="3333750" y="21821775"/>
          <a:ext cx="248602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Scroll to the right edge of this spreadsheet, column Z, to enter hours and acres of use for these power units.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13</xdr:row>
      <xdr:rowOff>171450</xdr:rowOff>
    </xdr:from>
    <xdr:to>
      <xdr:col>8</xdr:col>
      <xdr:colOff>9525</xdr:colOff>
      <xdr:row>17</xdr:row>
      <xdr:rowOff>104775</xdr:rowOff>
    </xdr:to>
    <xdr:sp>
      <xdr:nvSpPr>
        <xdr:cNvPr id="1" name="TextBox 1"/>
        <xdr:cNvSpPr txBox="1">
          <a:spLocks noChangeArrowheads="1"/>
        </xdr:cNvSpPr>
      </xdr:nvSpPr>
      <xdr:spPr>
        <a:xfrm>
          <a:off x="400050" y="2647950"/>
          <a:ext cx="528637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The following table contains a guide for machinery repair factors and hours of useful life for farm machinery. These factors are required input in this template and were derived from several years of Nebraska tractor test data.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AP462"/>
  <sheetViews>
    <sheetView showGridLines="0" tabSelected="1" zoomScale="80" zoomScaleNormal="80" workbookViewId="0" topLeftCell="A1">
      <selection activeCell="B15" sqref="B15"/>
    </sheetView>
  </sheetViews>
  <sheetFormatPr defaultColWidth="8.88671875" defaultRowHeight="15"/>
  <cols>
    <col min="2" max="2" width="19.4453125" style="0" customWidth="1"/>
    <col min="3" max="3" width="10.10546875" style="0" customWidth="1"/>
    <col min="4" max="4" width="10.88671875" style="0" customWidth="1"/>
    <col min="5" max="6" width="9.4453125" style="0" customWidth="1"/>
    <col min="7" max="7" width="10.10546875" style="0" customWidth="1"/>
    <col min="8" max="8" width="10.99609375" style="0" customWidth="1"/>
    <col min="9" max="9" width="7.88671875" style="0" customWidth="1"/>
    <col min="10" max="10" width="9.4453125" style="0" customWidth="1"/>
    <col min="12" max="12" width="9.10546875" style="0" customWidth="1"/>
    <col min="13" max="13" width="9.4453125" style="0" customWidth="1"/>
    <col min="14" max="14" width="9.5546875" style="0" customWidth="1"/>
    <col min="15" max="15" width="10.88671875" style="0" customWidth="1"/>
    <col min="16" max="16" width="9.5546875" style="0" customWidth="1"/>
    <col min="17" max="19" width="9.4453125" style="0" customWidth="1"/>
    <col min="20" max="20" width="9.10546875" style="0" customWidth="1"/>
    <col min="21" max="21" width="8.4453125" style="0" customWidth="1"/>
    <col min="22" max="22" width="9.4453125" style="0" customWidth="1"/>
    <col min="23" max="24" width="9.5546875" style="0" customWidth="1"/>
    <col min="25" max="25" width="9.4453125" style="0" customWidth="1"/>
    <col min="26" max="26" width="10.5546875" style="0" customWidth="1"/>
    <col min="27" max="31" width="9.4453125" style="0" customWidth="1"/>
    <col min="32" max="32" width="8.10546875" style="0" customWidth="1"/>
    <col min="33" max="35" width="9.77734375" style="0" customWidth="1"/>
    <col min="36" max="36" width="9.4453125" style="0" customWidth="1"/>
    <col min="37" max="38" width="6.3359375" style="0" customWidth="1"/>
    <col min="39" max="40" width="9.77734375" style="0" customWidth="1"/>
    <col min="41" max="41" width="6.3359375" style="0" customWidth="1"/>
    <col min="42" max="16384" width="9.77734375" style="0" customWidth="1"/>
  </cols>
  <sheetData>
    <row r="1" spans="1:36" ht="23.25">
      <c r="A1" s="138" t="s">
        <v>455</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row>
    <row r="2" spans="1:36" ht="15" customHeight="1">
      <c r="A2" s="139"/>
      <c r="B2" s="139"/>
      <c r="C2" s="436" t="s">
        <v>423</v>
      </c>
      <c r="D2" s="436"/>
      <c r="E2" s="139" t="s">
        <v>424</v>
      </c>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row>
    <row r="3" spans="1:36" ht="15">
      <c r="A3" s="139"/>
      <c r="B3" s="139"/>
      <c r="C3" s="140"/>
      <c r="D3" s="141"/>
      <c r="E3" s="139" t="s">
        <v>0</v>
      </c>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row>
    <row r="4" spans="1:36" ht="15.75">
      <c r="A4" s="139"/>
      <c r="B4" s="142" t="s">
        <v>422</v>
      </c>
      <c r="C4" s="143" t="s">
        <v>1</v>
      </c>
      <c r="D4" s="144"/>
      <c r="E4" s="139" t="s">
        <v>2</v>
      </c>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row>
    <row r="5" spans="1:36" ht="15.75">
      <c r="A5" s="139"/>
      <c r="B5" s="142" t="s">
        <v>420</v>
      </c>
      <c r="C5" s="145" t="s">
        <v>392</v>
      </c>
      <c r="D5" s="145"/>
      <c r="E5" s="145"/>
      <c r="F5" s="146"/>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row>
    <row r="6" spans="1:36" ht="15.75" thickBot="1">
      <c r="A6" s="139"/>
      <c r="B6" s="142" t="s">
        <v>421</v>
      </c>
      <c r="C6" s="147"/>
      <c r="D6" s="147"/>
      <c r="E6" s="139" t="s">
        <v>303</v>
      </c>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row>
    <row r="7" spans="1:36" ht="16.5" thickBot="1" thickTop="1">
      <c r="A7" s="139"/>
      <c r="B7" s="139"/>
      <c r="C7" s="148"/>
      <c r="D7" s="149"/>
      <c r="E7" s="139" t="s">
        <v>3</v>
      </c>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row>
    <row r="8" spans="1:36" ht="15.75" thickTop="1">
      <c r="A8" s="139"/>
      <c r="B8" s="139"/>
      <c r="C8" s="150"/>
      <c r="D8" s="150"/>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row>
    <row r="9" spans="1:36" ht="15.75">
      <c r="A9" s="151" t="s">
        <v>323</v>
      </c>
      <c r="B9" s="152" t="s">
        <v>469</v>
      </c>
      <c r="C9" s="150"/>
      <c r="D9" s="150"/>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row>
    <row r="10" spans="1:36" ht="15">
      <c r="A10" s="139"/>
      <c r="B10" s="153"/>
      <c r="C10" s="153"/>
      <c r="D10" s="153"/>
      <c r="E10" s="154"/>
      <c r="F10" s="153"/>
      <c r="G10" s="154" t="s">
        <v>393</v>
      </c>
      <c r="H10" s="153"/>
      <c r="I10" s="153"/>
      <c r="J10" s="153"/>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row>
    <row r="11" spans="1:36" ht="15">
      <c r="A11" s="139"/>
      <c r="B11" s="153"/>
      <c r="C11" s="153"/>
      <c r="D11" s="153"/>
      <c r="E11" s="155"/>
      <c r="F11" s="153"/>
      <c r="G11" s="154" t="s">
        <v>394</v>
      </c>
      <c r="H11" s="153"/>
      <c r="I11" s="153"/>
      <c r="J11" s="153"/>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row>
    <row r="12" spans="1:36" ht="15">
      <c r="A12" s="139"/>
      <c r="B12" s="153"/>
      <c r="C12" s="153"/>
      <c r="D12" s="153"/>
      <c r="E12" s="435" t="s">
        <v>399</v>
      </c>
      <c r="F12" s="435"/>
      <c r="G12" s="154" t="s">
        <v>358</v>
      </c>
      <c r="H12" s="153"/>
      <c r="I12" s="156" t="s">
        <v>396</v>
      </c>
      <c r="J12" s="156"/>
      <c r="K12" s="157"/>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row>
    <row r="13" spans="1:36" ht="15">
      <c r="A13" s="139"/>
      <c r="B13" s="153"/>
      <c r="C13" s="153" t="s">
        <v>400</v>
      </c>
      <c r="D13" s="153"/>
      <c r="E13" s="440" t="s">
        <v>211</v>
      </c>
      <c r="F13" s="441"/>
      <c r="G13" s="349">
        <v>420</v>
      </c>
      <c r="H13" s="153"/>
      <c r="I13" s="432" t="s">
        <v>211</v>
      </c>
      <c r="J13" s="432"/>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row>
    <row r="14" spans="1:36" ht="15">
      <c r="A14" s="139"/>
      <c r="B14" s="153"/>
      <c r="C14" s="153" t="s">
        <v>401</v>
      </c>
      <c r="D14" s="153"/>
      <c r="E14" s="433" t="s">
        <v>213</v>
      </c>
      <c r="F14" s="434"/>
      <c r="G14" s="350">
        <v>840</v>
      </c>
      <c r="H14" s="153"/>
      <c r="I14" s="432" t="s">
        <v>212</v>
      </c>
      <c r="J14" s="432"/>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row>
    <row r="15" spans="1:36" ht="15">
      <c r="A15" s="139"/>
      <c r="B15" s="153"/>
      <c r="C15" s="153" t="s">
        <v>402</v>
      </c>
      <c r="D15" s="153"/>
      <c r="E15" s="433" t="s">
        <v>212</v>
      </c>
      <c r="F15" s="434"/>
      <c r="G15" s="350">
        <v>180</v>
      </c>
      <c r="H15" s="153"/>
      <c r="I15" s="432" t="s">
        <v>213</v>
      </c>
      <c r="J15" s="432"/>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row>
    <row r="16" spans="1:36" ht="15">
      <c r="A16" s="139"/>
      <c r="B16" s="153"/>
      <c r="C16" s="153" t="s">
        <v>403</v>
      </c>
      <c r="D16" s="153"/>
      <c r="E16" s="433" t="s">
        <v>514</v>
      </c>
      <c r="F16" s="434"/>
      <c r="G16" s="350">
        <v>300</v>
      </c>
      <c r="H16" s="153"/>
      <c r="I16" s="432" t="s">
        <v>453</v>
      </c>
      <c r="J16" s="432"/>
      <c r="K16" s="139"/>
      <c r="L16" s="139"/>
      <c r="M16" s="139"/>
      <c r="N16" s="139"/>
      <c r="O16" s="139"/>
      <c r="P16" s="139"/>
      <c r="Q16" s="139"/>
      <c r="R16" s="139"/>
      <c r="S16" s="139"/>
      <c r="T16" s="139"/>
      <c r="U16" s="139"/>
      <c r="V16" s="139"/>
      <c r="W16" s="139"/>
      <c r="X16" s="139"/>
      <c r="Y16" s="139"/>
      <c r="Z16" s="139"/>
      <c r="AA16" s="139"/>
      <c r="AB16" s="139"/>
      <c r="AC16" s="139"/>
      <c r="AD16" s="139"/>
      <c r="AE16" s="139"/>
      <c r="AF16" s="139"/>
      <c r="AG16" s="139"/>
      <c r="AH16" s="139"/>
      <c r="AI16" s="139"/>
      <c r="AJ16" s="139"/>
    </row>
    <row r="17" spans="1:36" ht="15">
      <c r="A17" s="139"/>
      <c r="B17" s="153"/>
      <c r="C17" s="153" t="s">
        <v>404</v>
      </c>
      <c r="D17" s="153"/>
      <c r="E17" s="433" t="s">
        <v>214</v>
      </c>
      <c r="F17" s="434"/>
      <c r="G17" s="350">
        <v>1260</v>
      </c>
      <c r="H17" s="153"/>
      <c r="I17" s="432" t="s">
        <v>398</v>
      </c>
      <c r="J17" s="432"/>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row>
    <row r="18" spans="1:36" ht="15">
      <c r="A18" s="139"/>
      <c r="B18" s="153"/>
      <c r="C18" s="153" t="s">
        <v>405</v>
      </c>
      <c r="D18" s="153"/>
      <c r="E18" s="433" t="s">
        <v>395</v>
      </c>
      <c r="F18" s="434"/>
      <c r="G18" s="350">
        <v>0</v>
      </c>
      <c r="H18" s="153"/>
      <c r="I18" s="432" t="s">
        <v>397</v>
      </c>
      <c r="J18" s="432"/>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row>
    <row r="19" spans="1:36" ht="15">
      <c r="A19" s="139"/>
      <c r="B19" s="153"/>
      <c r="C19" s="153" t="s">
        <v>406</v>
      </c>
      <c r="D19" s="153"/>
      <c r="E19" s="433" t="s">
        <v>395</v>
      </c>
      <c r="F19" s="434"/>
      <c r="G19" s="350">
        <v>0</v>
      </c>
      <c r="H19" s="153"/>
      <c r="I19" s="432" t="s">
        <v>214</v>
      </c>
      <c r="J19" s="432"/>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row>
    <row r="20" spans="1:36" ht="15">
      <c r="A20" s="139"/>
      <c r="B20" s="153"/>
      <c r="C20" s="153" t="s">
        <v>407</v>
      </c>
      <c r="D20" s="153"/>
      <c r="E20" s="433" t="s">
        <v>395</v>
      </c>
      <c r="F20" s="434"/>
      <c r="G20" s="350">
        <v>0</v>
      </c>
      <c r="H20" s="153"/>
      <c r="I20" s="432" t="s">
        <v>454</v>
      </c>
      <c r="J20" s="432"/>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row>
    <row r="21" spans="1:36" ht="15">
      <c r="A21" s="139"/>
      <c r="B21" s="153"/>
      <c r="C21" s="153" t="s">
        <v>408</v>
      </c>
      <c r="D21" s="153"/>
      <c r="E21" s="438" t="s">
        <v>395</v>
      </c>
      <c r="F21" s="439"/>
      <c r="G21" s="351">
        <v>0</v>
      </c>
      <c r="H21" s="153"/>
      <c r="I21" s="432" t="s">
        <v>395</v>
      </c>
      <c r="J21" s="432"/>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row>
    <row r="22" spans="1:36" ht="15">
      <c r="A22" s="139"/>
      <c r="B22" s="153"/>
      <c r="C22" s="158"/>
      <c r="D22" s="159"/>
      <c r="E22" s="153"/>
      <c r="F22" s="160" t="s">
        <v>498</v>
      </c>
      <c r="G22" s="161">
        <f>SUM(G13:G21)</f>
        <v>3000</v>
      </c>
      <c r="H22" s="153"/>
      <c r="I22" s="153"/>
      <c r="J22" s="153"/>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row>
    <row r="23" spans="1:36" ht="15">
      <c r="A23" s="139"/>
      <c r="B23" s="162" t="s">
        <v>352</v>
      </c>
      <c r="C23" s="158"/>
      <c r="D23" s="159"/>
      <c r="E23" s="159"/>
      <c r="F23" s="163" t="s">
        <v>103</v>
      </c>
      <c r="G23" s="125">
        <v>4000</v>
      </c>
      <c r="H23" s="153"/>
      <c r="I23" s="153"/>
      <c r="J23" s="153"/>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row>
    <row r="24" spans="1:36" ht="15">
      <c r="A24" s="139"/>
      <c r="B24" s="158"/>
      <c r="C24" s="158"/>
      <c r="D24" s="159"/>
      <c r="E24" s="159"/>
      <c r="F24" s="163" t="s">
        <v>354</v>
      </c>
      <c r="G24" s="126">
        <v>1500</v>
      </c>
      <c r="H24" s="153"/>
      <c r="I24" s="153"/>
      <c r="J24" s="153"/>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row>
    <row r="25" spans="1:36" ht="15">
      <c r="A25" s="139"/>
      <c r="B25" s="158"/>
      <c r="C25" s="158"/>
      <c r="D25" s="159"/>
      <c r="E25" s="159"/>
      <c r="F25" s="163" t="s">
        <v>353</v>
      </c>
      <c r="G25" s="352">
        <v>100</v>
      </c>
      <c r="H25" s="153"/>
      <c r="I25" s="153"/>
      <c r="J25" s="153"/>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row>
    <row r="26" spans="1:36" ht="15">
      <c r="A26" s="139"/>
      <c r="B26" s="158"/>
      <c r="C26" s="158"/>
      <c r="D26" s="159"/>
      <c r="E26" s="159"/>
      <c r="F26" s="160" t="s">
        <v>351</v>
      </c>
      <c r="G26" s="164">
        <f>SUM(G22:G25)</f>
        <v>8600</v>
      </c>
      <c r="H26" s="153"/>
      <c r="I26" s="153"/>
      <c r="J26" s="153"/>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row>
    <row r="27" spans="1:36" ht="18">
      <c r="A27" s="139"/>
      <c r="B27" s="165"/>
      <c r="C27" s="166"/>
      <c r="D27" s="167"/>
      <c r="E27" s="167"/>
      <c r="F27" s="168"/>
      <c r="G27" s="16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row>
    <row r="28" spans="1:36" ht="18">
      <c r="A28" s="139"/>
      <c r="B28" s="165" t="s">
        <v>474</v>
      </c>
      <c r="C28" s="166"/>
      <c r="D28" s="167"/>
      <c r="E28" s="167"/>
      <c r="F28" s="168"/>
      <c r="G28" s="16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row>
    <row r="29" spans="1:36" ht="15.75">
      <c r="A29" s="170" t="s">
        <v>367</v>
      </c>
      <c r="B29" s="153"/>
      <c r="C29" s="370" t="s">
        <v>399</v>
      </c>
      <c r="D29" s="370"/>
      <c r="E29" s="171" t="s">
        <v>481</v>
      </c>
      <c r="F29" s="172"/>
      <c r="G29" s="169"/>
      <c r="H29" s="139"/>
      <c r="I29" s="139"/>
      <c r="J29" s="139"/>
      <c r="K29" s="139"/>
      <c r="L29" s="139"/>
      <c r="M29" s="139"/>
      <c r="N29" s="139"/>
      <c r="O29" s="139"/>
      <c r="P29" s="139"/>
      <c r="Q29" s="139"/>
      <c r="R29" s="139"/>
      <c r="S29" s="139"/>
      <c r="T29" s="139"/>
      <c r="U29" s="139"/>
      <c r="V29" s="139"/>
      <c r="W29" s="139"/>
      <c r="X29" s="139"/>
      <c r="Y29" s="139"/>
      <c r="Z29" s="139"/>
      <c r="AA29" s="139"/>
      <c r="AB29" s="139"/>
      <c r="AC29" s="139"/>
      <c r="AD29" s="139"/>
      <c r="AE29" s="139"/>
      <c r="AF29" s="139"/>
      <c r="AG29" s="139"/>
      <c r="AH29" s="139"/>
      <c r="AI29" s="139"/>
      <c r="AJ29" s="139"/>
    </row>
    <row r="30" spans="1:36" ht="15">
      <c r="A30" s="139"/>
      <c r="B30" s="159" t="s">
        <v>475</v>
      </c>
      <c r="C30" s="371" t="s">
        <v>515</v>
      </c>
      <c r="D30" s="372"/>
      <c r="E30" s="173" t="s">
        <v>482</v>
      </c>
      <c r="F30" s="168"/>
      <c r="G30" s="16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row>
    <row r="31" spans="1:36" ht="15">
      <c r="A31" s="139"/>
      <c r="B31" s="159" t="s">
        <v>476</v>
      </c>
      <c r="C31" s="387" t="s">
        <v>516</v>
      </c>
      <c r="D31" s="366"/>
      <c r="E31" s="173" t="s">
        <v>483</v>
      </c>
      <c r="F31" s="168"/>
      <c r="G31" s="16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row>
    <row r="32" spans="1:36" ht="15">
      <c r="A32" s="139"/>
      <c r="B32" s="159" t="s">
        <v>477</v>
      </c>
      <c r="C32" s="387" t="s">
        <v>517</v>
      </c>
      <c r="D32" s="366"/>
      <c r="E32" s="173" t="s">
        <v>484</v>
      </c>
      <c r="F32" s="168"/>
      <c r="G32" s="169"/>
      <c r="H32" s="139"/>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39"/>
      <c r="AG32" s="139"/>
      <c r="AH32" s="139"/>
      <c r="AI32" s="139"/>
      <c r="AJ32" s="139"/>
    </row>
    <row r="33" spans="1:36" ht="15">
      <c r="A33" s="139"/>
      <c r="B33" s="159" t="s">
        <v>478</v>
      </c>
      <c r="C33" s="387" t="s">
        <v>487</v>
      </c>
      <c r="D33" s="366"/>
      <c r="E33" s="173" t="s">
        <v>485</v>
      </c>
      <c r="F33" s="168"/>
      <c r="G33" s="169"/>
      <c r="H33" s="139"/>
      <c r="I33" s="139"/>
      <c r="J33" s="139"/>
      <c r="K33" s="139"/>
      <c r="L33" s="139"/>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row>
    <row r="34" spans="1:36" ht="15">
      <c r="A34" s="139"/>
      <c r="B34" s="159" t="s">
        <v>479</v>
      </c>
      <c r="C34" s="387" t="s">
        <v>488</v>
      </c>
      <c r="D34" s="366"/>
      <c r="E34" s="173" t="s">
        <v>499</v>
      </c>
      <c r="F34" s="168"/>
      <c r="G34" s="169"/>
      <c r="H34" s="139"/>
      <c r="I34" s="139"/>
      <c r="J34" s="139"/>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39"/>
      <c r="AH34" s="139"/>
      <c r="AI34" s="139"/>
      <c r="AJ34" s="139"/>
    </row>
    <row r="35" spans="1:36" ht="15">
      <c r="A35" s="139"/>
      <c r="B35" s="159" t="s">
        <v>480</v>
      </c>
      <c r="C35" s="367" t="s">
        <v>489</v>
      </c>
      <c r="D35" s="368"/>
      <c r="E35" s="173" t="s">
        <v>486</v>
      </c>
      <c r="F35" s="168"/>
      <c r="G35" s="16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row>
    <row r="36" spans="1:36" ht="15">
      <c r="A36" s="139"/>
      <c r="B36" s="139"/>
      <c r="C36" s="150"/>
      <c r="D36" s="150"/>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row>
    <row r="37" spans="1:36" ht="15">
      <c r="A37" s="139"/>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row>
    <row r="38" spans="1:36" ht="15" customHeight="1" thickBot="1">
      <c r="A38" s="174"/>
      <c r="B38" s="174"/>
      <c r="C38" s="174"/>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39"/>
      <c r="AC38" s="139"/>
      <c r="AD38" s="139"/>
      <c r="AE38" s="139"/>
      <c r="AF38" s="139"/>
      <c r="AG38" s="139"/>
      <c r="AH38" s="139"/>
      <c r="AI38" s="139"/>
      <c r="AJ38" s="139"/>
    </row>
    <row r="39" spans="1:36" ht="15" customHeight="1" thickTop="1">
      <c r="A39" s="174"/>
      <c r="B39" s="162" t="s">
        <v>425</v>
      </c>
      <c r="C39" s="371" t="s">
        <v>541</v>
      </c>
      <c r="D39" s="437"/>
      <c r="E39" s="372"/>
      <c r="F39" s="176"/>
      <c r="G39" s="177"/>
      <c r="H39" s="418" t="str">
        <f>E13</f>
        <v>WW on Fallow</v>
      </c>
      <c r="I39" s="167"/>
      <c r="J39" s="418" t="str">
        <f>E14</f>
        <v>SW on Fallow</v>
      </c>
      <c r="K39" s="167"/>
      <c r="L39" s="418" t="str">
        <f>E15</f>
        <v>WW on Recrop</v>
      </c>
      <c r="M39" s="167"/>
      <c r="N39" s="418" t="str">
        <f>E16</f>
        <v>Barley on Recrop</v>
      </c>
      <c r="O39" s="167"/>
      <c r="P39" s="418" t="str">
        <f>E17</f>
        <v>Summer Fallow</v>
      </c>
      <c r="Q39" s="167"/>
      <c r="R39" s="418" t="str">
        <f>E18</f>
        <v>Not Used</v>
      </c>
      <c r="S39" s="167"/>
      <c r="T39" s="418" t="str">
        <f>E19</f>
        <v>Not Used</v>
      </c>
      <c r="U39" s="167"/>
      <c r="V39" s="418" t="str">
        <f>E20</f>
        <v>Not Used</v>
      </c>
      <c r="W39" s="167"/>
      <c r="X39" s="418" t="str">
        <f>E21</f>
        <v>Not Used</v>
      </c>
      <c r="Y39" s="167"/>
      <c r="Z39" s="167"/>
      <c r="AA39" s="167"/>
      <c r="AB39" s="178"/>
      <c r="AC39" s="178"/>
      <c r="AD39" s="178"/>
      <c r="AE39" s="178"/>
      <c r="AF39" s="178"/>
      <c r="AG39" s="139"/>
      <c r="AH39" s="139"/>
      <c r="AI39" s="139"/>
      <c r="AJ39" s="139"/>
    </row>
    <row r="40" spans="1:42" ht="15" customHeight="1" thickBot="1">
      <c r="A40" s="174"/>
      <c r="B40" s="162" t="s">
        <v>426</v>
      </c>
      <c r="C40" s="387" t="s">
        <v>509</v>
      </c>
      <c r="D40" s="369"/>
      <c r="E40" s="366"/>
      <c r="F40" s="176"/>
      <c r="G40" s="177"/>
      <c r="H40" s="409"/>
      <c r="I40" s="167"/>
      <c r="J40" s="409"/>
      <c r="K40" s="167"/>
      <c r="L40" s="409"/>
      <c r="M40" s="167"/>
      <c r="N40" s="409"/>
      <c r="O40" s="167"/>
      <c r="P40" s="409"/>
      <c r="Q40" s="167"/>
      <c r="R40" s="409"/>
      <c r="S40" s="167"/>
      <c r="T40" s="409"/>
      <c r="U40" s="167"/>
      <c r="V40" s="409"/>
      <c r="W40" s="167"/>
      <c r="X40" s="409"/>
      <c r="Y40" s="167"/>
      <c r="Z40" s="167"/>
      <c r="AA40" s="167"/>
      <c r="AB40" s="178"/>
      <c r="AC40" s="178"/>
      <c r="AD40" s="178"/>
      <c r="AE40" s="179" t="s">
        <v>369</v>
      </c>
      <c r="AF40" s="179" t="s">
        <v>370</v>
      </c>
      <c r="AG40" s="179" t="s">
        <v>371</v>
      </c>
      <c r="AH40" s="179" t="s">
        <v>372</v>
      </c>
      <c r="AI40" s="179" t="s">
        <v>373</v>
      </c>
      <c r="AJ40" s="179" t="s">
        <v>374</v>
      </c>
      <c r="AK40" s="82" t="s">
        <v>375</v>
      </c>
      <c r="AL40" s="82" t="s">
        <v>376</v>
      </c>
      <c r="AM40" s="82" t="s">
        <v>377</v>
      </c>
      <c r="AN40" s="82" t="s">
        <v>378</v>
      </c>
      <c r="AO40" s="82" t="s">
        <v>379</v>
      </c>
      <c r="AP40" s="82" t="s">
        <v>380</v>
      </c>
    </row>
    <row r="41" spans="1:42" ht="15" customHeight="1" thickTop="1">
      <c r="A41" s="174"/>
      <c r="B41" s="162" t="s">
        <v>427</v>
      </c>
      <c r="C41" s="387" t="s">
        <v>510</v>
      </c>
      <c r="D41" s="369"/>
      <c r="E41" s="366"/>
      <c r="F41" s="167"/>
      <c r="G41" s="180"/>
      <c r="H41" s="181" t="s">
        <v>216</v>
      </c>
      <c r="I41" s="175"/>
      <c r="J41" s="181" t="s">
        <v>216</v>
      </c>
      <c r="K41" s="175"/>
      <c r="L41" s="181" t="s">
        <v>216</v>
      </c>
      <c r="M41" s="175"/>
      <c r="N41" s="181" t="s">
        <v>216</v>
      </c>
      <c r="O41" s="175"/>
      <c r="P41" s="181" t="s">
        <v>216</v>
      </c>
      <c r="Q41" s="175"/>
      <c r="R41" s="181" t="s">
        <v>216</v>
      </c>
      <c r="S41" s="175"/>
      <c r="T41" s="181" t="s">
        <v>216</v>
      </c>
      <c r="U41" s="175"/>
      <c r="V41" s="181" t="s">
        <v>216</v>
      </c>
      <c r="W41" s="175"/>
      <c r="X41" s="181" t="s">
        <v>216</v>
      </c>
      <c r="Y41" s="167"/>
      <c r="Z41" s="167"/>
      <c r="AA41" s="167"/>
      <c r="AB41" s="178"/>
      <c r="AC41" s="178"/>
      <c r="AD41" s="178"/>
      <c r="AE41" s="182" t="s">
        <v>381</v>
      </c>
      <c r="AF41" s="182" t="s">
        <v>381</v>
      </c>
      <c r="AG41" s="182" t="s">
        <v>381</v>
      </c>
      <c r="AH41" s="182" t="s">
        <v>381</v>
      </c>
      <c r="AI41" s="182" t="s">
        <v>381</v>
      </c>
      <c r="AJ41" s="182" t="s">
        <v>381</v>
      </c>
      <c r="AK41" s="2" t="s">
        <v>381</v>
      </c>
      <c r="AL41" s="2" t="s">
        <v>381</v>
      </c>
      <c r="AM41" s="2" t="s">
        <v>381</v>
      </c>
      <c r="AN41" s="2" t="s">
        <v>381</v>
      </c>
      <c r="AO41" s="2" t="s">
        <v>381</v>
      </c>
      <c r="AP41" s="2" t="s">
        <v>381</v>
      </c>
    </row>
    <row r="42" spans="1:36" ht="15" customHeight="1" thickBot="1">
      <c r="A42" s="174"/>
      <c r="B42" s="162" t="s">
        <v>428</v>
      </c>
      <c r="C42" s="387" t="s">
        <v>511</v>
      </c>
      <c r="D42" s="369"/>
      <c r="E42" s="366"/>
      <c r="F42" s="167"/>
      <c r="G42" s="180"/>
      <c r="H42" s="183" t="s">
        <v>217</v>
      </c>
      <c r="I42" s="167"/>
      <c r="J42" s="183" t="s">
        <v>217</v>
      </c>
      <c r="K42" s="167"/>
      <c r="L42" s="183" t="s">
        <v>217</v>
      </c>
      <c r="M42" s="167"/>
      <c r="N42" s="183" t="s">
        <v>217</v>
      </c>
      <c r="O42" s="167"/>
      <c r="P42" s="183" t="s">
        <v>217</v>
      </c>
      <c r="Q42" s="167"/>
      <c r="R42" s="183" t="s">
        <v>217</v>
      </c>
      <c r="S42" s="167"/>
      <c r="T42" s="183" t="s">
        <v>217</v>
      </c>
      <c r="U42" s="167"/>
      <c r="V42" s="183" t="s">
        <v>217</v>
      </c>
      <c r="W42" s="167"/>
      <c r="X42" s="183" t="s">
        <v>217</v>
      </c>
      <c r="Y42" s="167"/>
      <c r="Z42" s="167"/>
      <c r="AA42" s="167"/>
      <c r="AB42" s="178"/>
      <c r="AC42" s="178"/>
      <c r="AD42" s="178"/>
      <c r="AE42" s="178"/>
      <c r="AF42" s="178"/>
      <c r="AG42" s="139"/>
      <c r="AH42" s="139"/>
      <c r="AI42" s="139"/>
      <c r="AJ42" s="139"/>
    </row>
    <row r="43" spans="1:36" ht="15" customHeight="1" thickBot="1" thickTop="1">
      <c r="A43" s="174"/>
      <c r="B43" s="162" t="s">
        <v>429</v>
      </c>
      <c r="C43" s="387" t="s">
        <v>512</v>
      </c>
      <c r="D43" s="369"/>
      <c r="E43" s="366"/>
      <c r="F43" s="167"/>
      <c r="G43" s="168"/>
      <c r="H43" s="184">
        <f>G13</f>
        <v>420</v>
      </c>
      <c r="I43" s="167"/>
      <c r="J43" s="184">
        <f>G14</f>
        <v>840</v>
      </c>
      <c r="K43" s="167"/>
      <c r="L43" s="184">
        <f>G15</f>
        <v>180</v>
      </c>
      <c r="M43" s="167"/>
      <c r="N43" s="184">
        <f>G16</f>
        <v>300</v>
      </c>
      <c r="O43" s="167"/>
      <c r="P43" s="184">
        <f>G17</f>
        <v>1260</v>
      </c>
      <c r="Q43" s="167"/>
      <c r="R43" s="184">
        <f>G18</f>
        <v>0</v>
      </c>
      <c r="S43" s="167"/>
      <c r="T43" s="184">
        <f>G19</f>
        <v>0</v>
      </c>
      <c r="U43" s="167"/>
      <c r="V43" s="184">
        <f>G20</f>
        <v>0</v>
      </c>
      <c r="W43" s="167"/>
      <c r="X43" s="184">
        <f>G21</f>
        <v>0</v>
      </c>
      <c r="Y43" s="167"/>
      <c r="Z43" s="167"/>
      <c r="AA43" s="167"/>
      <c r="AB43" s="178"/>
      <c r="AC43" s="178"/>
      <c r="AD43" s="178"/>
      <c r="AE43" s="178"/>
      <c r="AF43" s="178"/>
      <c r="AG43" s="139"/>
      <c r="AH43" s="139"/>
      <c r="AI43" s="139"/>
      <c r="AJ43" s="139"/>
    </row>
    <row r="44" spans="1:36" ht="15" customHeight="1" thickTop="1">
      <c r="A44" s="174"/>
      <c r="B44" s="162" t="s">
        <v>507</v>
      </c>
      <c r="C44" s="384" t="s">
        <v>513</v>
      </c>
      <c r="D44" s="385"/>
      <c r="E44" s="386"/>
      <c r="F44" s="180"/>
      <c r="G44" s="185"/>
      <c r="H44" s="183"/>
      <c r="I44" s="167"/>
      <c r="J44" s="167"/>
      <c r="K44" s="167"/>
      <c r="L44" s="167"/>
      <c r="M44" s="167"/>
      <c r="N44" s="167"/>
      <c r="O44" s="167"/>
      <c r="P44" s="167"/>
      <c r="Q44" s="167"/>
      <c r="R44" s="167"/>
      <c r="S44" s="167"/>
      <c r="T44" s="167"/>
      <c r="U44" s="167"/>
      <c r="V44" s="167"/>
      <c r="W44" s="167"/>
      <c r="X44" s="167"/>
      <c r="Y44" s="167"/>
      <c r="Z44" s="167"/>
      <c r="AA44" s="167"/>
      <c r="AB44" s="178"/>
      <c r="AC44" s="178"/>
      <c r="AD44" s="178"/>
      <c r="AE44" s="178"/>
      <c r="AF44" s="178"/>
      <c r="AG44" s="139"/>
      <c r="AH44" s="139"/>
      <c r="AI44" s="139"/>
      <c r="AJ44" s="139"/>
    </row>
    <row r="45" spans="1:36" ht="15" customHeight="1">
      <c r="A45" s="174"/>
      <c r="B45" s="162"/>
      <c r="C45" s="162"/>
      <c r="D45" s="159"/>
      <c r="E45" s="159"/>
      <c r="F45" s="159"/>
      <c r="G45" s="159"/>
      <c r="H45" s="155" t="s">
        <v>224</v>
      </c>
      <c r="I45" s="159"/>
      <c r="J45" s="155" t="s">
        <v>224</v>
      </c>
      <c r="K45" s="159"/>
      <c r="L45" s="155" t="s">
        <v>224</v>
      </c>
      <c r="M45" s="159"/>
      <c r="N45" s="155" t="s">
        <v>224</v>
      </c>
      <c r="O45" s="159"/>
      <c r="P45" s="155" t="s">
        <v>224</v>
      </c>
      <c r="Q45" s="159"/>
      <c r="R45" s="155" t="s">
        <v>224</v>
      </c>
      <c r="S45" s="159"/>
      <c r="T45" s="155" t="s">
        <v>224</v>
      </c>
      <c r="U45" s="159"/>
      <c r="V45" s="155" t="s">
        <v>224</v>
      </c>
      <c r="W45" s="159"/>
      <c r="X45" s="155" t="s">
        <v>224</v>
      </c>
      <c r="Y45" s="159"/>
      <c r="Z45" s="159"/>
      <c r="AA45" s="159"/>
      <c r="AB45" s="178"/>
      <c r="AC45" s="178"/>
      <c r="AD45" s="178"/>
      <c r="AE45" s="178"/>
      <c r="AF45" s="178"/>
      <c r="AG45" s="139"/>
      <c r="AH45" s="139"/>
      <c r="AI45" s="139"/>
      <c r="AJ45" s="139"/>
    </row>
    <row r="46" spans="1:36" ht="15" customHeight="1">
      <c r="A46" s="139"/>
      <c r="B46" s="153"/>
      <c r="C46" s="153"/>
      <c r="D46" s="155"/>
      <c r="E46" s="155"/>
      <c r="F46" s="155"/>
      <c r="G46" s="155"/>
      <c r="H46" s="155" t="s">
        <v>62</v>
      </c>
      <c r="I46" s="155"/>
      <c r="J46" s="155" t="s">
        <v>62</v>
      </c>
      <c r="K46" s="155"/>
      <c r="L46" s="155" t="s">
        <v>62</v>
      </c>
      <c r="M46" s="155"/>
      <c r="N46" s="155" t="s">
        <v>62</v>
      </c>
      <c r="O46" s="155"/>
      <c r="P46" s="155" t="s">
        <v>62</v>
      </c>
      <c r="Q46" s="155"/>
      <c r="R46" s="155" t="s">
        <v>62</v>
      </c>
      <c r="S46" s="155"/>
      <c r="T46" s="155" t="s">
        <v>62</v>
      </c>
      <c r="U46" s="155"/>
      <c r="V46" s="155" t="s">
        <v>62</v>
      </c>
      <c r="W46" s="155"/>
      <c r="X46" s="155" t="s">
        <v>62</v>
      </c>
      <c r="Y46" s="155"/>
      <c r="Z46" s="155"/>
      <c r="AA46" s="155"/>
      <c r="AB46" s="178"/>
      <c r="AC46" s="178"/>
      <c r="AD46" s="178"/>
      <c r="AE46" s="178"/>
      <c r="AF46" s="178"/>
      <c r="AG46" s="139"/>
      <c r="AH46" s="139"/>
      <c r="AI46" s="139"/>
      <c r="AJ46" s="139"/>
    </row>
    <row r="47" spans="1:36" ht="15" customHeight="1">
      <c r="A47" s="139"/>
      <c r="B47" s="178"/>
      <c r="C47" s="178"/>
      <c r="D47" s="155" t="s">
        <v>4</v>
      </c>
      <c r="E47" s="155" t="s">
        <v>4</v>
      </c>
      <c r="F47" s="155" t="s">
        <v>236</v>
      </c>
      <c r="G47" s="155" t="s">
        <v>215</v>
      </c>
      <c r="H47" s="154" t="s">
        <v>225</v>
      </c>
      <c r="I47" s="155" t="s">
        <v>244</v>
      </c>
      <c r="J47" s="154" t="s">
        <v>225</v>
      </c>
      <c r="K47" s="155" t="s">
        <v>244</v>
      </c>
      <c r="L47" s="154" t="s">
        <v>225</v>
      </c>
      <c r="M47" s="155" t="s">
        <v>244</v>
      </c>
      <c r="N47" s="154" t="s">
        <v>225</v>
      </c>
      <c r="O47" s="155" t="s">
        <v>244</v>
      </c>
      <c r="P47" s="154" t="s">
        <v>225</v>
      </c>
      <c r="Q47" s="155" t="s">
        <v>244</v>
      </c>
      <c r="R47" s="154" t="s">
        <v>225</v>
      </c>
      <c r="S47" s="155" t="s">
        <v>244</v>
      </c>
      <c r="T47" s="154" t="s">
        <v>225</v>
      </c>
      <c r="U47" s="155" t="s">
        <v>244</v>
      </c>
      <c r="V47" s="154" t="s">
        <v>225</v>
      </c>
      <c r="W47" s="155" t="s">
        <v>244</v>
      </c>
      <c r="X47" s="154" t="s">
        <v>225</v>
      </c>
      <c r="Y47" s="155" t="s">
        <v>244</v>
      </c>
      <c r="Z47" s="155" t="s">
        <v>238</v>
      </c>
      <c r="AA47" s="155" t="s">
        <v>274</v>
      </c>
      <c r="AB47" s="178"/>
      <c r="AC47" s="178"/>
      <c r="AD47" s="178"/>
      <c r="AE47" s="178"/>
      <c r="AF47" s="178"/>
      <c r="AG47" s="139"/>
      <c r="AH47" s="139"/>
      <c r="AI47" s="139"/>
      <c r="AJ47" s="139"/>
    </row>
    <row r="48" spans="1:36" ht="15" customHeight="1" thickBot="1">
      <c r="A48" s="151" t="s">
        <v>330</v>
      </c>
      <c r="B48" s="404" t="s">
        <v>276</v>
      </c>
      <c r="C48" s="404"/>
      <c r="D48" s="186" t="s">
        <v>234</v>
      </c>
      <c r="E48" s="186" t="s">
        <v>235</v>
      </c>
      <c r="F48" s="186" t="s">
        <v>107</v>
      </c>
      <c r="G48" s="186" t="s">
        <v>237</v>
      </c>
      <c r="H48" s="187" t="s">
        <v>217</v>
      </c>
      <c r="I48" s="186" t="s">
        <v>273</v>
      </c>
      <c r="J48" s="187" t="s">
        <v>217</v>
      </c>
      <c r="K48" s="186" t="s">
        <v>273</v>
      </c>
      <c r="L48" s="187" t="s">
        <v>217</v>
      </c>
      <c r="M48" s="186" t="s">
        <v>273</v>
      </c>
      <c r="N48" s="187" t="s">
        <v>217</v>
      </c>
      <c r="O48" s="186" t="s">
        <v>273</v>
      </c>
      <c r="P48" s="187" t="s">
        <v>217</v>
      </c>
      <c r="Q48" s="186" t="s">
        <v>273</v>
      </c>
      <c r="R48" s="187" t="s">
        <v>217</v>
      </c>
      <c r="S48" s="186" t="s">
        <v>273</v>
      </c>
      <c r="T48" s="187" t="s">
        <v>217</v>
      </c>
      <c r="U48" s="186" t="s">
        <v>273</v>
      </c>
      <c r="V48" s="187" t="s">
        <v>217</v>
      </c>
      <c r="W48" s="186" t="s">
        <v>273</v>
      </c>
      <c r="X48" s="187" t="s">
        <v>217</v>
      </c>
      <c r="Y48" s="186" t="s">
        <v>273</v>
      </c>
      <c r="Z48" s="186" t="s">
        <v>239</v>
      </c>
      <c r="AA48" s="186" t="s">
        <v>275</v>
      </c>
      <c r="AB48" s="178"/>
      <c r="AC48" s="178"/>
      <c r="AD48" s="178"/>
      <c r="AE48" s="178"/>
      <c r="AF48" s="178"/>
      <c r="AG48" s="139"/>
      <c r="AH48" s="139"/>
      <c r="AI48" s="139"/>
      <c r="AJ48" s="139"/>
    </row>
    <row r="49" spans="1:36" ht="15.75" thickTop="1">
      <c r="A49" s="139"/>
      <c r="B49" s="430" t="s">
        <v>518</v>
      </c>
      <c r="C49" s="431"/>
      <c r="D49" s="97">
        <v>5</v>
      </c>
      <c r="E49" s="19">
        <v>60</v>
      </c>
      <c r="F49" s="20">
        <v>65</v>
      </c>
      <c r="G49" s="188">
        <f aca="true" t="shared" si="0" ref="G49:G62">(D49*E49*IF(F49&lt;2,F49,F49/100))/8.25</f>
        <v>23.636363636363637</v>
      </c>
      <c r="H49" s="9">
        <v>840</v>
      </c>
      <c r="I49" s="10">
        <v>1</v>
      </c>
      <c r="J49" s="10">
        <v>1680</v>
      </c>
      <c r="K49" s="10">
        <v>1</v>
      </c>
      <c r="L49" s="10">
        <v>360</v>
      </c>
      <c r="M49" s="10">
        <v>1</v>
      </c>
      <c r="N49" s="10">
        <v>600</v>
      </c>
      <c r="O49" s="10">
        <v>1</v>
      </c>
      <c r="P49" s="10">
        <v>1260</v>
      </c>
      <c r="Q49" s="10">
        <v>1</v>
      </c>
      <c r="R49" s="10"/>
      <c r="S49" s="10"/>
      <c r="T49" s="10"/>
      <c r="U49" s="10"/>
      <c r="V49" s="10"/>
      <c r="W49" s="10"/>
      <c r="X49" s="10"/>
      <c r="Y49" s="11"/>
      <c r="Z49" s="298">
        <f aca="true" t="shared" si="1" ref="Z49:Z62">H49+J49+L49+N49+P49+R49+T49+V49+X49</f>
        <v>4740</v>
      </c>
      <c r="AA49" s="298">
        <f aca="true" t="shared" si="2" ref="AA49:AA62">Z49/IF(G49=0,1,G49)</f>
        <v>200.53846153846155</v>
      </c>
      <c r="AB49" s="190"/>
      <c r="AC49" s="178"/>
      <c r="AD49" s="178"/>
      <c r="AE49" s="178"/>
      <c r="AF49" s="178"/>
      <c r="AG49" s="139"/>
      <c r="AH49" s="139"/>
      <c r="AI49" s="139"/>
      <c r="AJ49" s="139"/>
    </row>
    <row r="50" spans="1:36" ht="15">
      <c r="A50" s="139"/>
      <c r="B50" s="420" t="s">
        <v>519</v>
      </c>
      <c r="C50" s="421"/>
      <c r="D50" s="37">
        <v>4.5</v>
      </c>
      <c r="E50" s="13">
        <v>42</v>
      </c>
      <c r="F50" s="14">
        <v>75</v>
      </c>
      <c r="G50" s="188">
        <f t="shared" si="0"/>
        <v>17.181818181818183</v>
      </c>
      <c r="H50" s="12">
        <v>420</v>
      </c>
      <c r="I50" s="13">
        <v>2</v>
      </c>
      <c r="J50" s="13">
        <v>840</v>
      </c>
      <c r="K50" s="13">
        <v>2</v>
      </c>
      <c r="L50" s="13">
        <v>180</v>
      </c>
      <c r="M50" s="13">
        <v>2</v>
      </c>
      <c r="N50" s="13">
        <v>300</v>
      </c>
      <c r="O50" s="13">
        <v>2</v>
      </c>
      <c r="P50" s="13"/>
      <c r="Q50" s="13"/>
      <c r="R50" s="13"/>
      <c r="S50" s="13"/>
      <c r="T50" s="13"/>
      <c r="U50" s="13"/>
      <c r="V50" s="13"/>
      <c r="W50" s="13"/>
      <c r="X50" s="13"/>
      <c r="Y50" s="14"/>
      <c r="Z50" s="298">
        <f t="shared" si="1"/>
        <v>1740</v>
      </c>
      <c r="AA50" s="298">
        <f t="shared" si="2"/>
        <v>101.26984126984127</v>
      </c>
      <c r="AB50" s="190"/>
      <c r="AC50" s="178"/>
      <c r="AD50" s="178"/>
      <c r="AE50" s="178"/>
      <c r="AF50" s="178"/>
      <c r="AG50" s="139"/>
      <c r="AH50" s="139"/>
      <c r="AI50" s="139"/>
      <c r="AJ50" s="139"/>
    </row>
    <row r="51" spans="1:36" ht="15">
      <c r="A51" s="139"/>
      <c r="B51" s="420" t="s">
        <v>520</v>
      </c>
      <c r="C51" s="421"/>
      <c r="D51" s="37">
        <v>5</v>
      </c>
      <c r="E51" s="13">
        <v>50</v>
      </c>
      <c r="F51" s="14">
        <v>70</v>
      </c>
      <c r="G51" s="188">
        <f t="shared" si="0"/>
        <v>21.21212121212121</v>
      </c>
      <c r="H51" s="12">
        <v>420</v>
      </c>
      <c r="I51" s="13">
        <v>3</v>
      </c>
      <c r="J51" s="13"/>
      <c r="K51" s="13"/>
      <c r="L51" s="13">
        <v>180</v>
      </c>
      <c r="M51" s="13">
        <v>3</v>
      </c>
      <c r="N51" s="13"/>
      <c r="O51" s="13"/>
      <c r="P51" s="13"/>
      <c r="Q51" s="13"/>
      <c r="R51" s="13"/>
      <c r="S51" s="13"/>
      <c r="T51" s="13"/>
      <c r="U51" s="13"/>
      <c r="V51" s="13"/>
      <c r="W51" s="13"/>
      <c r="X51" s="13"/>
      <c r="Y51" s="14"/>
      <c r="Z51" s="298">
        <f t="shared" si="1"/>
        <v>600</v>
      </c>
      <c r="AA51" s="298">
        <f t="shared" si="2"/>
        <v>28.28571428571429</v>
      </c>
      <c r="AB51" s="190"/>
      <c r="AC51" s="178"/>
      <c r="AD51" s="178"/>
      <c r="AE51" s="178"/>
      <c r="AF51" s="178"/>
      <c r="AG51" s="139"/>
      <c r="AH51" s="139"/>
      <c r="AI51" s="139"/>
      <c r="AJ51" s="139"/>
    </row>
    <row r="52" spans="1:36" ht="15">
      <c r="A52" s="155" t="s">
        <v>500</v>
      </c>
      <c r="B52" s="420" t="s">
        <v>508</v>
      </c>
      <c r="C52" s="421"/>
      <c r="D52" s="37">
        <v>6</v>
      </c>
      <c r="E52" s="13">
        <v>42</v>
      </c>
      <c r="F52" s="14">
        <v>75</v>
      </c>
      <c r="G52" s="188">
        <f t="shared" si="0"/>
        <v>22.90909090909091</v>
      </c>
      <c r="H52" s="12"/>
      <c r="I52" s="13"/>
      <c r="J52" s="13"/>
      <c r="K52" s="13"/>
      <c r="L52" s="13"/>
      <c r="M52" s="13"/>
      <c r="N52" s="13"/>
      <c r="O52" s="13"/>
      <c r="P52" s="13">
        <v>3780</v>
      </c>
      <c r="Q52" s="13">
        <v>2</v>
      </c>
      <c r="R52" s="13"/>
      <c r="S52" s="13"/>
      <c r="T52" s="13"/>
      <c r="U52" s="13"/>
      <c r="V52" s="13"/>
      <c r="W52" s="13"/>
      <c r="X52" s="13"/>
      <c r="Y52" s="14"/>
      <c r="Z52" s="298">
        <f t="shared" si="1"/>
        <v>3780</v>
      </c>
      <c r="AA52" s="298">
        <f t="shared" si="2"/>
        <v>165</v>
      </c>
      <c r="AB52" s="190"/>
      <c r="AC52" s="178"/>
      <c r="AD52" s="178"/>
      <c r="AE52" s="178"/>
      <c r="AF52" s="178"/>
      <c r="AG52" s="139"/>
      <c r="AH52" s="139"/>
      <c r="AI52" s="139"/>
      <c r="AJ52" s="139"/>
    </row>
    <row r="53" spans="1:36" ht="15">
      <c r="A53" s="155" t="s">
        <v>501</v>
      </c>
      <c r="B53" s="420"/>
      <c r="C53" s="421"/>
      <c r="D53" s="37"/>
      <c r="E53" s="13"/>
      <c r="F53" s="14"/>
      <c r="G53" s="188">
        <f t="shared" si="0"/>
        <v>0</v>
      </c>
      <c r="H53" s="12"/>
      <c r="I53" s="13"/>
      <c r="J53" s="13"/>
      <c r="K53" s="13"/>
      <c r="L53" s="13"/>
      <c r="M53" s="13"/>
      <c r="N53" s="13"/>
      <c r="O53" s="13"/>
      <c r="P53" s="13"/>
      <c r="Q53" s="13"/>
      <c r="R53" s="13"/>
      <c r="S53" s="13"/>
      <c r="T53" s="13"/>
      <c r="U53" s="13"/>
      <c r="V53" s="13"/>
      <c r="W53" s="13"/>
      <c r="X53" s="13"/>
      <c r="Y53" s="14"/>
      <c r="Z53" s="298">
        <f t="shared" si="1"/>
        <v>0</v>
      </c>
      <c r="AA53" s="298">
        <f t="shared" si="2"/>
        <v>0</v>
      </c>
      <c r="AB53" s="190"/>
      <c r="AC53" s="178"/>
      <c r="AD53" s="178"/>
      <c r="AE53" s="178"/>
      <c r="AF53" s="178"/>
      <c r="AG53" s="139"/>
      <c r="AH53" s="139"/>
      <c r="AI53" s="139"/>
      <c r="AJ53" s="139"/>
    </row>
    <row r="54" spans="1:36" ht="15">
      <c r="A54" s="155" t="s">
        <v>502</v>
      </c>
      <c r="B54" s="420"/>
      <c r="C54" s="421"/>
      <c r="D54" s="37"/>
      <c r="E54" s="13"/>
      <c r="F54" s="14"/>
      <c r="G54" s="188">
        <f t="shared" si="0"/>
        <v>0</v>
      </c>
      <c r="H54" s="12"/>
      <c r="I54" s="13"/>
      <c r="J54" s="13"/>
      <c r="K54" s="13"/>
      <c r="L54" s="13"/>
      <c r="M54" s="13"/>
      <c r="N54" s="13"/>
      <c r="O54" s="13"/>
      <c r="P54" s="13"/>
      <c r="Q54" s="13"/>
      <c r="R54" s="13"/>
      <c r="S54" s="13"/>
      <c r="T54" s="13"/>
      <c r="U54" s="13"/>
      <c r="V54" s="13"/>
      <c r="W54" s="13"/>
      <c r="X54" s="13"/>
      <c r="Y54" s="14"/>
      <c r="Z54" s="298">
        <f t="shared" si="1"/>
        <v>0</v>
      </c>
      <c r="AA54" s="298">
        <f t="shared" si="2"/>
        <v>0</v>
      </c>
      <c r="AB54" s="190"/>
      <c r="AC54" s="178"/>
      <c r="AD54" s="178"/>
      <c r="AE54" s="178"/>
      <c r="AF54" s="178"/>
      <c r="AG54" s="139"/>
      <c r="AH54" s="139"/>
      <c r="AI54" s="139"/>
      <c r="AJ54" s="139"/>
    </row>
    <row r="55" spans="1:36" ht="15">
      <c r="A55" s="155" t="s">
        <v>503</v>
      </c>
      <c r="B55" s="420"/>
      <c r="C55" s="421"/>
      <c r="D55" s="37"/>
      <c r="E55" s="13"/>
      <c r="F55" s="14"/>
      <c r="G55" s="188">
        <f t="shared" si="0"/>
        <v>0</v>
      </c>
      <c r="H55" s="12"/>
      <c r="I55" s="13"/>
      <c r="J55" s="13"/>
      <c r="K55" s="13"/>
      <c r="L55" s="13"/>
      <c r="M55" s="13"/>
      <c r="N55" s="13"/>
      <c r="O55" s="13"/>
      <c r="P55" s="13"/>
      <c r="Q55" s="13"/>
      <c r="R55" s="13"/>
      <c r="S55" s="13"/>
      <c r="T55" s="13"/>
      <c r="U55" s="13"/>
      <c r="V55" s="13"/>
      <c r="W55" s="13"/>
      <c r="X55" s="13"/>
      <c r="Y55" s="14"/>
      <c r="Z55" s="298">
        <f t="shared" si="1"/>
        <v>0</v>
      </c>
      <c r="AA55" s="298">
        <f t="shared" si="2"/>
        <v>0</v>
      </c>
      <c r="AB55" s="190"/>
      <c r="AC55" s="178"/>
      <c r="AD55" s="178"/>
      <c r="AE55" s="178"/>
      <c r="AF55" s="178"/>
      <c r="AG55" s="139"/>
      <c r="AH55" s="139"/>
      <c r="AI55" s="139"/>
      <c r="AJ55" s="139"/>
    </row>
    <row r="56" spans="1:36" ht="15">
      <c r="A56" s="155" t="s">
        <v>494</v>
      </c>
      <c r="B56" s="420"/>
      <c r="C56" s="421"/>
      <c r="D56" s="37"/>
      <c r="E56" s="13"/>
      <c r="F56" s="14"/>
      <c r="G56" s="188">
        <f t="shared" si="0"/>
        <v>0</v>
      </c>
      <c r="H56" s="12"/>
      <c r="I56" s="13"/>
      <c r="J56" s="13"/>
      <c r="K56" s="13"/>
      <c r="L56" s="13"/>
      <c r="M56" s="13"/>
      <c r="N56" s="13"/>
      <c r="O56" s="13"/>
      <c r="P56" s="13"/>
      <c r="Q56" s="13"/>
      <c r="R56" s="13"/>
      <c r="S56" s="13"/>
      <c r="T56" s="13"/>
      <c r="U56" s="13"/>
      <c r="V56" s="13"/>
      <c r="W56" s="13"/>
      <c r="X56" s="13"/>
      <c r="Y56" s="14"/>
      <c r="Z56" s="298">
        <f t="shared" si="1"/>
        <v>0</v>
      </c>
      <c r="AA56" s="298">
        <f t="shared" si="2"/>
        <v>0</v>
      </c>
      <c r="AB56" s="190"/>
      <c r="AC56" s="178"/>
      <c r="AD56" s="178"/>
      <c r="AE56" s="178"/>
      <c r="AF56" s="178"/>
      <c r="AG56" s="139"/>
      <c r="AH56" s="139"/>
      <c r="AI56" s="139"/>
      <c r="AJ56" s="139"/>
    </row>
    <row r="57" spans="1:36" ht="15">
      <c r="A57" s="139"/>
      <c r="B57" s="420"/>
      <c r="C57" s="421"/>
      <c r="D57" s="37"/>
      <c r="E57" s="13"/>
      <c r="F57" s="14"/>
      <c r="G57" s="188">
        <f t="shared" si="0"/>
        <v>0</v>
      </c>
      <c r="H57" s="12"/>
      <c r="I57" s="13"/>
      <c r="J57" s="13"/>
      <c r="K57" s="13"/>
      <c r="L57" s="13"/>
      <c r="M57" s="13"/>
      <c r="N57" s="13"/>
      <c r="O57" s="13"/>
      <c r="P57" s="13"/>
      <c r="Q57" s="13"/>
      <c r="R57" s="13"/>
      <c r="S57" s="13"/>
      <c r="T57" s="13"/>
      <c r="U57" s="13"/>
      <c r="V57" s="13"/>
      <c r="W57" s="13"/>
      <c r="X57" s="13"/>
      <c r="Y57" s="14"/>
      <c r="Z57" s="298">
        <f t="shared" si="1"/>
        <v>0</v>
      </c>
      <c r="AA57" s="298">
        <f t="shared" si="2"/>
        <v>0</v>
      </c>
      <c r="AB57" s="190"/>
      <c r="AC57" s="178"/>
      <c r="AD57" s="178"/>
      <c r="AE57" s="178"/>
      <c r="AF57" s="178"/>
      <c r="AG57" s="139"/>
      <c r="AH57" s="139"/>
      <c r="AI57" s="139"/>
      <c r="AJ57" s="139"/>
    </row>
    <row r="58" spans="1:36" ht="15">
      <c r="A58" s="139"/>
      <c r="B58" s="420"/>
      <c r="C58" s="421"/>
      <c r="D58" s="37"/>
      <c r="E58" s="13"/>
      <c r="F58" s="14"/>
      <c r="G58" s="188">
        <f t="shared" si="0"/>
        <v>0</v>
      </c>
      <c r="H58" s="12"/>
      <c r="I58" s="13"/>
      <c r="J58" s="13"/>
      <c r="K58" s="13"/>
      <c r="L58" s="13"/>
      <c r="M58" s="13"/>
      <c r="N58" s="13"/>
      <c r="O58" s="13"/>
      <c r="P58" s="13"/>
      <c r="Q58" s="13"/>
      <c r="R58" s="13"/>
      <c r="S58" s="13"/>
      <c r="T58" s="13"/>
      <c r="U58" s="13"/>
      <c r="V58" s="13"/>
      <c r="W58" s="13"/>
      <c r="X58" s="13"/>
      <c r="Y58" s="14"/>
      <c r="Z58" s="298">
        <f t="shared" si="1"/>
        <v>0</v>
      </c>
      <c r="AA58" s="298">
        <f t="shared" si="2"/>
        <v>0</v>
      </c>
      <c r="AB58" s="190"/>
      <c r="AC58" s="178"/>
      <c r="AD58" s="178"/>
      <c r="AE58" s="178"/>
      <c r="AF58" s="178"/>
      <c r="AG58" s="139"/>
      <c r="AH58" s="139"/>
      <c r="AI58" s="139"/>
      <c r="AJ58" s="139"/>
    </row>
    <row r="59" spans="1:36" ht="15">
      <c r="A59" s="139"/>
      <c r="B59" s="420"/>
      <c r="C59" s="421"/>
      <c r="D59" s="37"/>
      <c r="E59" s="13"/>
      <c r="F59" s="14"/>
      <c r="G59" s="188">
        <f t="shared" si="0"/>
        <v>0</v>
      </c>
      <c r="H59" s="12"/>
      <c r="I59" s="13"/>
      <c r="J59" s="13"/>
      <c r="K59" s="13"/>
      <c r="L59" s="13"/>
      <c r="M59" s="13"/>
      <c r="N59" s="13"/>
      <c r="O59" s="13"/>
      <c r="P59" s="13"/>
      <c r="Q59" s="13"/>
      <c r="R59" s="13"/>
      <c r="S59" s="13"/>
      <c r="T59" s="13"/>
      <c r="U59" s="13"/>
      <c r="V59" s="13"/>
      <c r="W59" s="13"/>
      <c r="X59" s="13"/>
      <c r="Y59" s="14"/>
      <c r="Z59" s="298">
        <f t="shared" si="1"/>
        <v>0</v>
      </c>
      <c r="AA59" s="298">
        <f t="shared" si="2"/>
        <v>0</v>
      </c>
      <c r="AB59" s="190"/>
      <c r="AC59" s="178"/>
      <c r="AD59" s="178"/>
      <c r="AE59" s="178"/>
      <c r="AF59" s="178"/>
      <c r="AG59" s="139"/>
      <c r="AH59" s="139"/>
      <c r="AI59" s="139"/>
      <c r="AJ59" s="139"/>
    </row>
    <row r="60" spans="1:36" ht="15">
      <c r="A60" s="139"/>
      <c r="B60" s="420"/>
      <c r="C60" s="421"/>
      <c r="D60" s="37"/>
      <c r="E60" s="13"/>
      <c r="F60" s="14"/>
      <c r="G60" s="188">
        <f t="shared" si="0"/>
        <v>0</v>
      </c>
      <c r="H60" s="12"/>
      <c r="I60" s="13"/>
      <c r="J60" s="13"/>
      <c r="K60" s="13"/>
      <c r="L60" s="13"/>
      <c r="M60" s="13"/>
      <c r="N60" s="13"/>
      <c r="O60" s="13"/>
      <c r="P60" s="13"/>
      <c r="Q60" s="13"/>
      <c r="R60" s="13"/>
      <c r="S60" s="13"/>
      <c r="T60" s="13"/>
      <c r="U60" s="13"/>
      <c r="V60" s="13"/>
      <c r="W60" s="13"/>
      <c r="X60" s="13"/>
      <c r="Y60" s="14"/>
      <c r="Z60" s="298">
        <f t="shared" si="1"/>
        <v>0</v>
      </c>
      <c r="AA60" s="298">
        <f t="shared" si="2"/>
        <v>0</v>
      </c>
      <c r="AB60" s="190"/>
      <c r="AC60" s="178"/>
      <c r="AD60" s="178"/>
      <c r="AE60" s="178"/>
      <c r="AF60" s="178"/>
      <c r="AG60" s="139"/>
      <c r="AH60" s="139"/>
      <c r="AI60" s="139"/>
      <c r="AJ60" s="139"/>
    </row>
    <row r="61" spans="1:36" ht="15">
      <c r="A61" s="139"/>
      <c r="B61" s="420"/>
      <c r="C61" s="421"/>
      <c r="D61" s="37"/>
      <c r="E61" s="13"/>
      <c r="F61" s="14"/>
      <c r="G61" s="188">
        <f t="shared" si="0"/>
        <v>0</v>
      </c>
      <c r="H61" s="12"/>
      <c r="I61" s="13"/>
      <c r="J61" s="13"/>
      <c r="K61" s="13"/>
      <c r="L61" s="13"/>
      <c r="M61" s="13"/>
      <c r="N61" s="13"/>
      <c r="O61" s="13"/>
      <c r="P61" s="13"/>
      <c r="Q61" s="13"/>
      <c r="R61" s="13"/>
      <c r="S61" s="13"/>
      <c r="T61" s="13"/>
      <c r="U61" s="13"/>
      <c r="V61" s="13"/>
      <c r="W61" s="13"/>
      <c r="X61" s="13"/>
      <c r="Y61" s="14"/>
      <c r="Z61" s="298">
        <f t="shared" si="1"/>
        <v>0</v>
      </c>
      <c r="AA61" s="298">
        <f t="shared" si="2"/>
        <v>0</v>
      </c>
      <c r="AB61" s="190"/>
      <c r="AC61" s="178"/>
      <c r="AD61" s="178"/>
      <c r="AE61" s="178"/>
      <c r="AF61" s="178"/>
      <c r="AG61" s="139"/>
      <c r="AH61" s="139"/>
      <c r="AI61" s="139"/>
      <c r="AJ61" s="139"/>
    </row>
    <row r="62" spans="1:36" ht="15">
      <c r="A62" s="139"/>
      <c r="B62" s="422"/>
      <c r="C62" s="423"/>
      <c r="D62" s="39"/>
      <c r="E62" s="16"/>
      <c r="F62" s="17"/>
      <c r="G62" s="188">
        <f t="shared" si="0"/>
        <v>0</v>
      </c>
      <c r="H62" s="15"/>
      <c r="I62" s="16"/>
      <c r="J62" s="16"/>
      <c r="K62" s="16"/>
      <c r="L62" s="16"/>
      <c r="M62" s="16"/>
      <c r="N62" s="16"/>
      <c r="O62" s="16"/>
      <c r="P62" s="16"/>
      <c r="Q62" s="16"/>
      <c r="R62" s="16"/>
      <c r="S62" s="16"/>
      <c r="T62" s="16"/>
      <c r="U62" s="16"/>
      <c r="V62" s="16"/>
      <c r="W62" s="16"/>
      <c r="X62" s="16"/>
      <c r="Y62" s="17"/>
      <c r="Z62" s="298">
        <f t="shared" si="1"/>
        <v>0</v>
      </c>
      <c r="AA62" s="298">
        <f t="shared" si="2"/>
        <v>0</v>
      </c>
      <c r="AB62" s="190"/>
      <c r="AC62" s="178"/>
      <c r="AD62" s="178"/>
      <c r="AE62" s="178"/>
      <c r="AF62" s="178"/>
      <c r="AG62" s="139"/>
      <c r="AH62" s="139"/>
      <c r="AI62" s="139"/>
      <c r="AJ62" s="139"/>
    </row>
    <row r="63" spans="1:36" ht="15.75">
      <c r="A63" s="170" t="s">
        <v>367</v>
      </c>
      <c r="B63" s="178" t="s">
        <v>472</v>
      </c>
      <c r="C63" s="178"/>
      <c r="D63" s="191" t="s">
        <v>234</v>
      </c>
      <c r="E63" s="191" t="s">
        <v>235</v>
      </c>
      <c r="F63" s="191" t="s">
        <v>107</v>
      </c>
      <c r="G63" s="167"/>
      <c r="H63" s="192" t="s">
        <v>470</v>
      </c>
      <c r="I63" s="192" t="s">
        <v>471</v>
      </c>
      <c r="J63" s="192" t="s">
        <v>470</v>
      </c>
      <c r="K63" s="192" t="s">
        <v>471</v>
      </c>
      <c r="L63" s="192" t="s">
        <v>470</v>
      </c>
      <c r="M63" s="192" t="s">
        <v>471</v>
      </c>
      <c r="N63" s="192" t="s">
        <v>470</v>
      </c>
      <c r="O63" s="192" t="s">
        <v>471</v>
      </c>
      <c r="P63" s="192" t="s">
        <v>470</v>
      </c>
      <c r="Q63" s="192" t="s">
        <v>471</v>
      </c>
      <c r="R63" s="192" t="s">
        <v>470</v>
      </c>
      <c r="S63" s="192" t="s">
        <v>471</v>
      </c>
      <c r="T63" s="192" t="s">
        <v>470</v>
      </c>
      <c r="U63" s="192" t="s">
        <v>471</v>
      </c>
      <c r="V63" s="192" t="s">
        <v>470</v>
      </c>
      <c r="W63" s="192" t="s">
        <v>471</v>
      </c>
      <c r="X63" s="192" t="s">
        <v>470</v>
      </c>
      <c r="Y63" s="192" t="s">
        <v>471</v>
      </c>
      <c r="Z63" s="550"/>
      <c r="AA63" s="550"/>
      <c r="AB63" s="190"/>
      <c r="AC63" s="178"/>
      <c r="AD63" s="178"/>
      <c r="AE63" s="178"/>
      <c r="AF63" s="178"/>
      <c r="AG63" s="139"/>
      <c r="AH63" s="139"/>
      <c r="AI63" s="139"/>
      <c r="AJ63" s="139"/>
    </row>
    <row r="64" spans="1:36" ht="15">
      <c r="A64" s="139"/>
      <c r="B64" s="390" t="s">
        <v>6</v>
      </c>
      <c r="C64" s="391"/>
      <c r="D64" s="114"/>
      <c r="E64" s="115"/>
      <c r="F64" s="29"/>
      <c r="G64" s="188">
        <f>(D64*E64*IF(F64&lt;2,F64,F64/100))/8.25</f>
        <v>0</v>
      </c>
      <c r="H64" s="27">
        <v>0</v>
      </c>
      <c r="I64" s="19"/>
      <c r="J64" s="19">
        <v>0</v>
      </c>
      <c r="K64" s="19"/>
      <c r="L64" s="19">
        <v>0</v>
      </c>
      <c r="M64" s="19"/>
      <c r="N64" s="19">
        <v>0</v>
      </c>
      <c r="O64" s="19"/>
      <c r="P64" s="19">
        <v>0</v>
      </c>
      <c r="Q64" s="19"/>
      <c r="R64" s="19">
        <v>0</v>
      </c>
      <c r="S64" s="19"/>
      <c r="T64" s="19">
        <v>0</v>
      </c>
      <c r="U64" s="19"/>
      <c r="V64" s="19">
        <v>0</v>
      </c>
      <c r="W64" s="19"/>
      <c r="X64" s="19">
        <v>0</v>
      </c>
      <c r="Y64" s="20"/>
      <c r="Z64" s="298">
        <f>H64+J64+L64+N64+P64+R64+T64+V64+X64</f>
        <v>0</v>
      </c>
      <c r="AA64" s="298">
        <f>Z64/IF(G64=0,1,G64)</f>
        <v>0</v>
      </c>
      <c r="AB64" s="190"/>
      <c r="AC64" s="178"/>
      <c r="AD64" s="178"/>
      <c r="AE64" s="178"/>
      <c r="AF64" s="178"/>
      <c r="AG64" s="139"/>
      <c r="AH64" s="139"/>
      <c r="AI64" s="139"/>
      <c r="AJ64" s="139"/>
    </row>
    <row r="65" spans="1:36" ht="15">
      <c r="A65" s="139"/>
      <c r="B65" s="392" t="s">
        <v>7</v>
      </c>
      <c r="C65" s="393"/>
      <c r="D65" s="21"/>
      <c r="E65" s="13"/>
      <c r="F65" s="14"/>
      <c r="G65" s="188">
        <f>(D65*E65*IF(F65&lt;2,F65,F65/100))/8.25</f>
        <v>0</v>
      </c>
      <c r="H65" s="12">
        <v>0</v>
      </c>
      <c r="I65" s="13"/>
      <c r="J65" s="13">
        <v>0</v>
      </c>
      <c r="K65" s="13"/>
      <c r="L65" s="13">
        <v>0</v>
      </c>
      <c r="M65" s="13"/>
      <c r="N65" s="13">
        <v>0</v>
      </c>
      <c r="O65" s="13"/>
      <c r="P65" s="13">
        <v>0</v>
      </c>
      <c r="Q65" s="13"/>
      <c r="R65" s="13">
        <v>0</v>
      </c>
      <c r="S65" s="13"/>
      <c r="T65" s="13">
        <v>0</v>
      </c>
      <c r="U65" s="13"/>
      <c r="V65" s="13">
        <v>0</v>
      </c>
      <c r="W65" s="13"/>
      <c r="X65" s="13">
        <v>0</v>
      </c>
      <c r="Y65" s="14"/>
      <c r="Z65" s="298">
        <f>H65+J65+L65+N65+P65+R65+T65+V65+X65</f>
        <v>0</v>
      </c>
      <c r="AA65" s="298">
        <f>Z65/IF(G65=0,1,G65)</f>
        <v>0</v>
      </c>
      <c r="AB65" s="190"/>
      <c r="AC65" s="178"/>
      <c r="AD65" s="178"/>
      <c r="AE65" s="178"/>
      <c r="AF65" s="178"/>
      <c r="AG65" s="139"/>
      <c r="AH65" s="139"/>
      <c r="AI65" s="139"/>
      <c r="AJ65" s="139"/>
    </row>
    <row r="66" spans="1:36" ht="15">
      <c r="A66" s="139"/>
      <c r="B66" s="394" t="s">
        <v>8</v>
      </c>
      <c r="C66" s="395"/>
      <c r="D66" s="22"/>
      <c r="E66" s="16"/>
      <c r="F66" s="17"/>
      <c r="G66" s="188">
        <f>(D66*E66*IF(F66&lt;2,F66,F66/100))/8.25</f>
        <v>0</v>
      </c>
      <c r="H66" s="15">
        <v>0</v>
      </c>
      <c r="I66" s="16"/>
      <c r="J66" s="16">
        <v>0</v>
      </c>
      <c r="K66" s="16"/>
      <c r="L66" s="16">
        <v>0</v>
      </c>
      <c r="M66" s="16"/>
      <c r="N66" s="16">
        <v>0</v>
      </c>
      <c r="O66" s="16"/>
      <c r="P66" s="16">
        <v>0</v>
      </c>
      <c r="Q66" s="16"/>
      <c r="R66" s="16">
        <v>0</v>
      </c>
      <c r="S66" s="16"/>
      <c r="T66" s="16">
        <v>0</v>
      </c>
      <c r="U66" s="16"/>
      <c r="V66" s="16">
        <v>0</v>
      </c>
      <c r="W66" s="16"/>
      <c r="X66" s="16">
        <v>0</v>
      </c>
      <c r="Y66" s="17"/>
      <c r="Z66" s="298">
        <f>H66+J66+L66+N66+P66+R66+T66+V66+X66</f>
        <v>0</v>
      </c>
      <c r="AA66" s="298">
        <f>Z66/IF(G66=0,1,G66)</f>
        <v>0</v>
      </c>
      <c r="AB66" s="190"/>
      <c r="AC66" s="178"/>
      <c r="AD66" s="178"/>
      <c r="AE66" s="178"/>
      <c r="AF66" s="178"/>
      <c r="AG66" s="139"/>
      <c r="AH66" s="139"/>
      <c r="AI66" s="139"/>
      <c r="AJ66" s="139"/>
    </row>
    <row r="67" spans="1:36" ht="15">
      <c r="A67" s="139"/>
      <c r="B67" s="178" t="s">
        <v>457</v>
      </c>
      <c r="C67" s="178"/>
      <c r="D67" s="191" t="s">
        <v>234</v>
      </c>
      <c r="E67" s="191" t="s">
        <v>235</v>
      </c>
      <c r="F67" s="191" t="s">
        <v>107</v>
      </c>
      <c r="G67" s="193">
        <f>Z67/IF(AA67=0,1,AA67)</f>
        <v>0</v>
      </c>
      <c r="H67" s="194">
        <f>SUM(H64:H66)</f>
        <v>0</v>
      </c>
      <c r="I67" s="195"/>
      <c r="J67" s="196">
        <f>SUM(J64:J66)</f>
        <v>0</v>
      </c>
      <c r="K67" s="195"/>
      <c r="L67" s="196">
        <f>SUM(L64:L66)</f>
        <v>0</v>
      </c>
      <c r="M67" s="195"/>
      <c r="N67" s="196">
        <f>SUM(N64:N66)</f>
        <v>0</v>
      </c>
      <c r="O67" s="195"/>
      <c r="P67" s="196">
        <f>SUM(P64:P66)</f>
        <v>0</v>
      </c>
      <c r="Q67" s="195"/>
      <c r="R67" s="196">
        <f>SUM(R64:R66)</f>
        <v>0</v>
      </c>
      <c r="S67" s="195"/>
      <c r="T67" s="196">
        <f>SUM(T64:T66)</f>
        <v>0</v>
      </c>
      <c r="U67" s="195"/>
      <c r="V67" s="196">
        <f>SUM(V64:V66)</f>
        <v>0</v>
      </c>
      <c r="W67" s="195"/>
      <c r="X67" s="196">
        <f>SUM(X64:X66)</f>
        <v>0</v>
      </c>
      <c r="Y67" s="197"/>
      <c r="Z67" s="298">
        <f>SUM(Z64:Z66)</f>
        <v>0</v>
      </c>
      <c r="AA67" s="298">
        <f>SUM(AA64:AA66)</f>
        <v>0</v>
      </c>
      <c r="AB67" s="190"/>
      <c r="AC67" s="178"/>
      <c r="AD67" s="178"/>
      <c r="AE67" s="178"/>
      <c r="AF67" s="178"/>
      <c r="AG67" s="139"/>
      <c r="AH67" s="139"/>
      <c r="AI67" s="139"/>
      <c r="AJ67" s="139"/>
    </row>
    <row r="68" spans="1:36" ht="15">
      <c r="A68" s="139"/>
      <c r="B68" s="390" t="s">
        <v>9</v>
      </c>
      <c r="C68" s="391"/>
      <c r="D68" s="18"/>
      <c r="E68" s="19"/>
      <c r="F68" s="20"/>
      <c r="G68" s="188">
        <f>(D68*E68*IF(F68&lt;2,F68,F68/100))/8.25</f>
        <v>0</v>
      </c>
      <c r="H68" s="27">
        <v>0</v>
      </c>
      <c r="I68" s="19"/>
      <c r="J68" s="19">
        <v>0</v>
      </c>
      <c r="K68" s="19"/>
      <c r="L68" s="19">
        <v>0</v>
      </c>
      <c r="M68" s="19"/>
      <c r="N68" s="19">
        <v>0</v>
      </c>
      <c r="O68" s="19"/>
      <c r="P68" s="19">
        <v>0</v>
      </c>
      <c r="Q68" s="19"/>
      <c r="R68" s="19">
        <v>0</v>
      </c>
      <c r="S68" s="19"/>
      <c r="T68" s="19">
        <v>0</v>
      </c>
      <c r="U68" s="19"/>
      <c r="V68" s="19">
        <v>0</v>
      </c>
      <c r="W68" s="19"/>
      <c r="X68" s="19">
        <v>0</v>
      </c>
      <c r="Y68" s="20"/>
      <c r="Z68" s="298">
        <f>H68+J68+L68+N68+P68+R68+T68+V68+X68</f>
        <v>0</v>
      </c>
      <c r="AA68" s="298">
        <f>Z68/IF(G68=0,1,G68)</f>
        <v>0</v>
      </c>
      <c r="AB68" s="190"/>
      <c r="AC68" s="178"/>
      <c r="AD68" s="178"/>
      <c r="AE68" s="178"/>
      <c r="AF68" s="178"/>
      <c r="AG68" s="139"/>
      <c r="AH68" s="139"/>
      <c r="AI68" s="139"/>
      <c r="AJ68" s="139"/>
    </row>
    <row r="69" spans="1:36" ht="15">
      <c r="A69" s="139"/>
      <c r="B69" s="392" t="s">
        <v>10</v>
      </c>
      <c r="C69" s="393"/>
      <c r="D69" s="21"/>
      <c r="E69" s="13"/>
      <c r="F69" s="14"/>
      <c r="G69" s="188">
        <f>(D69*E69*IF(F69&lt;2,F69,F69/100))/8.25</f>
        <v>0</v>
      </c>
      <c r="H69" s="12">
        <v>0</v>
      </c>
      <c r="I69" s="13"/>
      <c r="J69" s="13">
        <v>0</v>
      </c>
      <c r="K69" s="13"/>
      <c r="L69" s="13">
        <v>0</v>
      </c>
      <c r="M69" s="13"/>
      <c r="N69" s="13">
        <v>0</v>
      </c>
      <c r="O69" s="13"/>
      <c r="P69" s="13">
        <v>0</v>
      </c>
      <c r="Q69" s="13"/>
      <c r="R69" s="13">
        <v>0</v>
      </c>
      <c r="S69" s="13"/>
      <c r="T69" s="13">
        <v>0</v>
      </c>
      <c r="U69" s="13"/>
      <c r="V69" s="13">
        <v>0</v>
      </c>
      <c r="W69" s="13"/>
      <c r="X69" s="13">
        <v>0</v>
      </c>
      <c r="Y69" s="14"/>
      <c r="Z69" s="298">
        <f>H69+J69+L69+N69+P69+R69+T69+V69+X69</f>
        <v>0</v>
      </c>
      <c r="AA69" s="298">
        <f>Z69/IF(G69=0,1,G69)</f>
        <v>0</v>
      </c>
      <c r="AB69" s="190"/>
      <c r="AC69" s="178"/>
      <c r="AD69" s="178"/>
      <c r="AE69" s="178"/>
      <c r="AF69" s="178"/>
      <c r="AG69" s="139"/>
      <c r="AH69" s="139"/>
      <c r="AI69" s="139"/>
      <c r="AJ69" s="139"/>
    </row>
    <row r="70" spans="1:36" ht="15">
      <c r="A70" s="139"/>
      <c r="B70" s="394" t="s">
        <v>11</v>
      </c>
      <c r="C70" s="395"/>
      <c r="D70" s="22"/>
      <c r="E70" s="16"/>
      <c r="F70" s="17"/>
      <c r="G70" s="188">
        <f>(D70*E70*IF(F70&lt;2,F70,F70/100))/8.25</f>
        <v>0</v>
      </c>
      <c r="H70" s="15">
        <v>0</v>
      </c>
      <c r="I70" s="16"/>
      <c r="J70" s="16">
        <v>0</v>
      </c>
      <c r="K70" s="16"/>
      <c r="L70" s="16">
        <v>0</v>
      </c>
      <c r="M70" s="16"/>
      <c r="N70" s="16">
        <v>0</v>
      </c>
      <c r="O70" s="16"/>
      <c r="P70" s="16">
        <v>0</v>
      </c>
      <c r="Q70" s="16"/>
      <c r="R70" s="16">
        <v>0</v>
      </c>
      <c r="S70" s="16"/>
      <c r="T70" s="16">
        <v>0</v>
      </c>
      <c r="U70" s="16"/>
      <c r="V70" s="16">
        <v>0</v>
      </c>
      <c r="W70" s="16"/>
      <c r="X70" s="16">
        <v>0</v>
      </c>
      <c r="Y70" s="17"/>
      <c r="Z70" s="298">
        <f>H70+J70+L70+N70+P70+R70+T70+V70+X70</f>
        <v>0</v>
      </c>
      <c r="AA70" s="298">
        <f>Z70/IF(G70=0,1,G70)</f>
        <v>0</v>
      </c>
      <c r="AB70" s="190"/>
      <c r="AC70" s="178"/>
      <c r="AD70" s="178"/>
      <c r="AE70" s="178"/>
      <c r="AF70" s="178"/>
      <c r="AG70" s="139"/>
      <c r="AH70" s="139"/>
      <c r="AI70" s="139"/>
      <c r="AJ70" s="139"/>
    </row>
    <row r="71" spans="1:36" ht="15">
      <c r="A71" s="139"/>
      <c r="B71" s="178" t="s">
        <v>458</v>
      </c>
      <c r="C71" s="178"/>
      <c r="D71" s="198"/>
      <c r="E71" s="167"/>
      <c r="F71" s="167"/>
      <c r="G71" s="193">
        <f>Z71/IF(AA71=0,1,AA71)</f>
        <v>0</v>
      </c>
      <c r="H71" s="199">
        <f>SUM(H68:H70)</f>
        <v>0</v>
      </c>
      <c r="I71" s="200"/>
      <c r="J71" s="201">
        <f>SUM(J68:J70)</f>
        <v>0</v>
      </c>
      <c r="K71" s="200"/>
      <c r="L71" s="201">
        <f>SUM(L68:L70)</f>
        <v>0</v>
      </c>
      <c r="M71" s="200"/>
      <c r="N71" s="201">
        <f>SUM(N68:N70)</f>
        <v>0</v>
      </c>
      <c r="O71" s="200"/>
      <c r="P71" s="201">
        <f>SUM(P68:P70)</f>
        <v>0</v>
      </c>
      <c r="Q71" s="200"/>
      <c r="R71" s="201">
        <f>SUM(R68:R70)</f>
        <v>0</v>
      </c>
      <c r="S71" s="200"/>
      <c r="T71" s="201">
        <f>SUM(T68:T70)</f>
        <v>0</v>
      </c>
      <c r="U71" s="200"/>
      <c r="V71" s="201">
        <f>SUM(V68:V70)</f>
        <v>0</v>
      </c>
      <c r="W71" s="200"/>
      <c r="X71" s="201">
        <f>SUM(X68:X70)</f>
        <v>0</v>
      </c>
      <c r="Y71" s="202"/>
      <c r="Z71" s="298">
        <f>SUM(Z68:Z70)</f>
        <v>0</v>
      </c>
      <c r="AA71" s="298">
        <f>SUM(AA68:AA70)</f>
        <v>0</v>
      </c>
      <c r="AB71" s="190"/>
      <c r="AC71" s="178"/>
      <c r="AD71" s="178"/>
      <c r="AE71" s="178"/>
      <c r="AF71" s="178"/>
      <c r="AG71" s="139"/>
      <c r="AH71" s="139"/>
      <c r="AI71" s="139"/>
      <c r="AJ71" s="139"/>
    </row>
    <row r="72" spans="1:36" ht="15.75">
      <c r="A72" s="151" t="s">
        <v>324</v>
      </c>
      <c r="B72" s="203" t="s">
        <v>459</v>
      </c>
      <c r="C72" s="178"/>
      <c r="D72" s="191" t="s">
        <v>234</v>
      </c>
      <c r="E72" s="191" t="s">
        <v>235</v>
      </c>
      <c r="F72" s="191" t="s">
        <v>107</v>
      </c>
      <c r="G72" s="167"/>
      <c r="H72" s="204" t="s">
        <v>224</v>
      </c>
      <c r="I72" s="205"/>
      <c r="J72" s="204" t="s">
        <v>224</v>
      </c>
      <c r="K72" s="205"/>
      <c r="L72" s="204" t="s">
        <v>224</v>
      </c>
      <c r="M72" s="205"/>
      <c r="N72" s="204" t="s">
        <v>224</v>
      </c>
      <c r="O72" s="205"/>
      <c r="P72" s="204" t="s">
        <v>224</v>
      </c>
      <c r="Q72" s="205"/>
      <c r="R72" s="204" t="s">
        <v>224</v>
      </c>
      <c r="S72" s="205"/>
      <c r="T72" s="204" t="s">
        <v>224</v>
      </c>
      <c r="U72" s="205"/>
      <c r="V72" s="204" t="s">
        <v>224</v>
      </c>
      <c r="W72" s="205"/>
      <c r="X72" s="204" t="s">
        <v>224</v>
      </c>
      <c r="Y72" s="205"/>
      <c r="Z72" s="550"/>
      <c r="AA72" s="550"/>
      <c r="AB72" s="190"/>
      <c r="AC72" s="178"/>
      <c r="AD72" s="178"/>
      <c r="AE72" s="178"/>
      <c r="AF72" s="178"/>
      <c r="AG72" s="139"/>
      <c r="AH72" s="139"/>
      <c r="AI72" s="139"/>
      <c r="AJ72" s="139"/>
    </row>
    <row r="73" spans="1:36" ht="15">
      <c r="A73" s="139"/>
      <c r="B73" s="390" t="s">
        <v>521</v>
      </c>
      <c r="C73" s="391"/>
      <c r="D73" s="116">
        <v>3</v>
      </c>
      <c r="E73" s="117">
        <v>30</v>
      </c>
      <c r="F73" s="118">
        <v>75</v>
      </c>
      <c r="G73" s="188">
        <f aca="true" t="shared" si="3" ref="G73:G78">(D73*E73*IF(F73&lt;2,F73,F73/100))/8.25</f>
        <v>8.181818181818182</v>
      </c>
      <c r="H73" s="30">
        <v>420</v>
      </c>
      <c r="I73" s="206"/>
      <c r="J73" s="30">
        <v>840</v>
      </c>
      <c r="K73" s="206"/>
      <c r="L73" s="30">
        <v>180</v>
      </c>
      <c r="M73" s="206"/>
      <c r="N73" s="30">
        <v>300</v>
      </c>
      <c r="O73" s="206"/>
      <c r="P73" s="30"/>
      <c r="Q73" s="206"/>
      <c r="R73" s="30">
        <v>0</v>
      </c>
      <c r="S73" s="206"/>
      <c r="T73" s="30">
        <v>0</v>
      </c>
      <c r="U73" s="206"/>
      <c r="V73" s="30">
        <v>0</v>
      </c>
      <c r="W73" s="206"/>
      <c r="X73" s="30">
        <v>0</v>
      </c>
      <c r="Y73" s="207"/>
      <c r="Z73" s="298">
        <f aca="true" t="shared" si="4" ref="Z73:Z78">H73+J73+L73+N73+P73+R73+T73+V73+X73</f>
        <v>1740</v>
      </c>
      <c r="AA73" s="298">
        <f aca="true" t="shared" si="5" ref="AA73:AA78">Z73/IF(G73=0,1,G73)</f>
        <v>212.66666666666666</v>
      </c>
      <c r="AB73" s="7"/>
      <c r="AC73" s="178"/>
      <c r="AD73" s="178"/>
      <c r="AE73" s="178"/>
      <c r="AF73" s="178"/>
      <c r="AG73" s="139"/>
      <c r="AH73" s="139"/>
      <c r="AI73" s="139"/>
      <c r="AJ73" s="139"/>
    </row>
    <row r="74" spans="1:36" ht="15">
      <c r="A74" s="155" t="s">
        <v>504</v>
      </c>
      <c r="B74" s="392"/>
      <c r="C74" s="393"/>
      <c r="D74" s="21"/>
      <c r="E74" s="13"/>
      <c r="F74" s="14"/>
      <c r="G74" s="188">
        <f t="shared" si="3"/>
        <v>0</v>
      </c>
      <c r="H74" s="31"/>
      <c r="I74" s="209"/>
      <c r="J74" s="31"/>
      <c r="K74" s="209"/>
      <c r="L74" s="31"/>
      <c r="M74" s="209"/>
      <c r="N74" s="31"/>
      <c r="O74" s="209"/>
      <c r="P74" s="31"/>
      <c r="Q74" s="209"/>
      <c r="R74" s="31">
        <v>0</v>
      </c>
      <c r="S74" s="209"/>
      <c r="T74" s="31">
        <v>0</v>
      </c>
      <c r="U74" s="209"/>
      <c r="V74" s="31">
        <v>0</v>
      </c>
      <c r="W74" s="209"/>
      <c r="X74" s="31">
        <v>0</v>
      </c>
      <c r="Y74" s="210"/>
      <c r="Z74" s="298">
        <f t="shared" si="4"/>
        <v>0</v>
      </c>
      <c r="AA74" s="298">
        <f t="shared" si="5"/>
        <v>0</v>
      </c>
      <c r="AB74" s="190"/>
      <c r="AC74" s="178"/>
      <c r="AD74" s="178"/>
      <c r="AE74" s="178"/>
      <c r="AF74" s="178"/>
      <c r="AG74" s="139"/>
      <c r="AH74" s="139"/>
      <c r="AI74" s="139"/>
      <c r="AJ74" s="139"/>
    </row>
    <row r="75" spans="1:36" ht="15">
      <c r="A75" s="155" t="s">
        <v>505</v>
      </c>
      <c r="B75" s="387"/>
      <c r="C75" s="419"/>
      <c r="D75" s="21"/>
      <c r="E75" s="13"/>
      <c r="F75" s="14"/>
      <c r="G75" s="188">
        <f t="shared" si="3"/>
        <v>0</v>
      </c>
      <c r="H75" s="31"/>
      <c r="I75" s="209"/>
      <c r="J75" s="31"/>
      <c r="K75" s="209"/>
      <c r="L75" s="31"/>
      <c r="M75" s="209"/>
      <c r="N75" s="31"/>
      <c r="O75" s="209"/>
      <c r="P75" s="31"/>
      <c r="Q75" s="209"/>
      <c r="R75" s="31">
        <v>0</v>
      </c>
      <c r="S75" s="209"/>
      <c r="T75" s="31">
        <v>0</v>
      </c>
      <c r="U75" s="209"/>
      <c r="V75" s="31">
        <v>0</v>
      </c>
      <c r="W75" s="209"/>
      <c r="X75" s="31">
        <v>0</v>
      </c>
      <c r="Y75" s="210"/>
      <c r="Z75" s="298">
        <f t="shared" si="4"/>
        <v>0</v>
      </c>
      <c r="AA75" s="298">
        <f t="shared" si="5"/>
        <v>0</v>
      </c>
      <c r="AB75" s="190"/>
      <c r="AC75" s="178"/>
      <c r="AD75" s="178"/>
      <c r="AE75" s="178"/>
      <c r="AF75" s="178"/>
      <c r="AG75" s="139"/>
      <c r="AH75" s="139"/>
      <c r="AI75" s="139"/>
      <c r="AJ75" s="139"/>
    </row>
    <row r="76" spans="1:36" ht="15">
      <c r="A76" s="155" t="s">
        <v>391</v>
      </c>
      <c r="B76" s="392"/>
      <c r="C76" s="393"/>
      <c r="D76" s="21"/>
      <c r="E76" s="13"/>
      <c r="F76" s="14"/>
      <c r="G76" s="188">
        <f t="shared" si="3"/>
        <v>0</v>
      </c>
      <c r="H76" s="31"/>
      <c r="I76" s="209"/>
      <c r="J76" s="31"/>
      <c r="K76" s="209"/>
      <c r="L76" s="31"/>
      <c r="M76" s="209"/>
      <c r="N76" s="31"/>
      <c r="O76" s="209"/>
      <c r="P76" s="31"/>
      <c r="Q76" s="209"/>
      <c r="R76" s="31">
        <v>0</v>
      </c>
      <c r="S76" s="209"/>
      <c r="T76" s="31">
        <v>0</v>
      </c>
      <c r="U76" s="209"/>
      <c r="V76" s="31">
        <v>0</v>
      </c>
      <c r="W76" s="209"/>
      <c r="X76" s="31">
        <v>0</v>
      </c>
      <c r="Y76" s="210"/>
      <c r="Z76" s="298">
        <f t="shared" si="4"/>
        <v>0</v>
      </c>
      <c r="AA76" s="298">
        <f t="shared" si="5"/>
        <v>0</v>
      </c>
      <c r="AB76" s="190"/>
      <c r="AC76" s="178"/>
      <c r="AD76" s="178"/>
      <c r="AE76" s="178"/>
      <c r="AF76" s="178"/>
      <c r="AG76" s="139"/>
      <c r="AH76" s="139"/>
      <c r="AI76" s="139"/>
      <c r="AJ76" s="139"/>
    </row>
    <row r="77" spans="1:36" ht="15">
      <c r="A77" s="155" t="s">
        <v>506</v>
      </c>
      <c r="B77" s="392"/>
      <c r="C77" s="393"/>
      <c r="D77" s="21"/>
      <c r="E77" s="13"/>
      <c r="F77" s="14"/>
      <c r="G77" s="188">
        <f t="shared" si="3"/>
        <v>0</v>
      </c>
      <c r="H77" s="31"/>
      <c r="I77" s="209"/>
      <c r="J77" s="31"/>
      <c r="K77" s="209"/>
      <c r="L77" s="31"/>
      <c r="M77" s="209"/>
      <c r="N77" s="31"/>
      <c r="O77" s="209"/>
      <c r="P77" s="31"/>
      <c r="Q77" s="209"/>
      <c r="R77" s="31">
        <v>0</v>
      </c>
      <c r="S77" s="209"/>
      <c r="T77" s="31">
        <v>0</v>
      </c>
      <c r="U77" s="209"/>
      <c r="V77" s="31">
        <v>0</v>
      </c>
      <c r="W77" s="209"/>
      <c r="X77" s="31">
        <v>0</v>
      </c>
      <c r="Y77" s="210"/>
      <c r="Z77" s="298">
        <f t="shared" si="4"/>
        <v>0</v>
      </c>
      <c r="AA77" s="298">
        <f t="shared" si="5"/>
        <v>0</v>
      </c>
      <c r="AB77" s="190"/>
      <c r="AC77" s="178"/>
      <c r="AD77" s="178"/>
      <c r="AE77" s="178"/>
      <c r="AF77" s="178"/>
      <c r="AG77" s="139"/>
      <c r="AH77" s="139"/>
      <c r="AI77" s="139"/>
      <c r="AJ77" s="139"/>
    </row>
    <row r="78" spans="1:36" ht="15">
      <c r="A78" s="155" t="s">
        <v>494</v>
      </c>
      <c r="B78" s="394"/>
      <c r="C78" s="395"/>
      <c r="D78" s="22"/>
      <c r="E78" s="16"/>
      <c r="F78" s="17"/>
      <c r="G78" s="188">
        <f t="shared" si="3"/>
        <v>0</v>
      </c>
      <c r="H78" s="32"/>
      <c r="I78" s="211"/>
      <c r="J78" s="32"/>
      <c r="K78" s="211"/>
      <c r="L78" s="32"/>
      <c r="M78" s="211"/>
      <c r="N78" s="32"/>
      <c r="O78" s="211"/>
      <c r="P78" s="32"/>
      <c r="Q78" s="211"/>
      <c r="R78" s="32">
        <v>0</v>
      </c>
      <c r="S78" s="211"/>
      <c r="T78" s="32">
        <v>0</v>
      </c>
      <c r="U78" s="211"/>
      <c r="V78" s="32">
        <v>0</v>
      </c>
      <c r="W78" s="211"/>
      <c r="X78" s="32">
        <v>0</v>
      </c>
      <c r="Y78" s="212"/>
      <c r="Z78" s="298">
        <f t="shared" si="4"/>
        <v>0</v>
      </c>
      <c r="AA78" s="298">
        <f t="shared" si="5"/>
        <v>0</v>
      </c>
      <c r="AB78" s="190"/>
      <c r="AC78" s="178"/>
      <c r="AD78" s="178"/>
      <c r="AE78" s="178"/>
      <c r="AF78" s="178"/>
      <c r="AG78" s="139"/>
      <c r="AH78" s="139"/>
      <c r="AI78" s="139"/>
      <c r="AJ78" s="139"/>
    </row>
    <row r="79" spans="1:36" ht="15.75">
      <c r="A79" s="170" t="s">
        <v>367</v>
      </c>
      <c r="B79" s="178" t="s">
        <v>473</v>
      </c>
      <c r="C79" s="178"/>
      <c r="D79" s="191" t="s">
        <v>234</v>
      </c>
      <c r="E79" s="191" t="s">
        <v>235</v>
      </c>
      <c r="F79" s="191" t="s">
        <v>107</v>
      </c>
      <c r="G79" s="167"/>
      <c r="H79" s="192" t="s">
        <v>470</v>
      </c>
      <c r="I79" s="192" t="s">
        <v>471</v>
      </c>
      <c r="J79" s="192" t="s">
        <v>470</v>
      </c>
      <c r="K79" s="192" t="s">
        <v>471</v>
      </c>
      <c r="L79" s="192" t="s">
        <v>470</v>
      </c>
      <c r="M79" s="192" t="s">
        <v>471</v>
      </c>
      <c r="N79" s="192" t="s">
        <v>470</v>
      </c>
      <c r="O79" s="192" t="s">
        <v>471</v>
      </c>
      <c r="P79" s="192" t="s">
        <v>470</v>
      </c>
      <c r="Q79" s="192" t="s">
        <v>471</v>
      </c>
      <c r="R79" s="192" t="s">
        <v>470</v>
      </c>
      <c r="S79" s="192" t="s">
        <v>471</v>
      </c>
      <c r="T79" s="192" t="s">
        <v>470</v>
      </c>
      <c r="U79" s="192" t="s">
        <v>471</v>
      </c>
      <c r="V79" s="192" t="s">
        <v>470</v>
      </c>
      <c r="W79" s="192" t="s">
        <v>471</v>
      </c>
      <c r="X79" s="192" t="s">
        <v>470</v>
      </c>
      <c r="Y79" s="192" t="s">
        <v>471</v>
      </c>
      <c r="Z79" s="550"/>
      <c r="AA79" s="550"/>
      <c r="AB79" s="213"/>
      <c r="AC79" s="178"/>
      <c r="AD79" s="178"/>
      <c r="AE79" s="178"/>
      <c r="AF79" s="178"/>
      <c r="AG79" s="139"/>
      <c r="AH79" s="139"/>
      <c r="AI79" s="139"/>
      <c r="AJ79" s="139"/>
    </row>
    <row r="80" spans="1:36" ht="15">
      <c r="A80" s="139"/>
      <c r="B80" s="390" t="s">
        <v>12</v>
      </c>
      <c r="C80" s="391"/>
      <c r="D80" s="18"/>
      <c r="E80" s="19"/>
      <c r="F80" s="20"/>
      <c r="G80" s="188">
        <f>(D80*E80*IF(F80&lt;2,F80,F80/100))/8.25</f>
        <v>0</v>
      </c>
      <c r="H80" s="27">
        <v>0</v>
      </c>
      <c r="I80" s="19"/>
      <c r="J80" s="19">
        <v>0</v>
      </c>
      <c r="K80" s="19"/>
      <c r="L80" s="19">
        <v>0</v>
      </c>
      <c r="M80" s="19"/>
      <c r="N80" s="19">
        <v>0</v>
      </c>
      <c r="O80" s="19"/>
      <c r="P80" s="19">
        <v>0</v>
      </c>
      <c r="Q80" s="19"/>
      <c r="R80" s="19">
        <v>0</v>
      </c>
      <c r="S80" s="19"/>
      <c r="T80" s="19">
        <v>0</v>
      </c>
      <c r="U80" s="19"/>
      <c r="V80" s="19">
        <v>0</v>
      </c>
      <c r="W80" s="19"/>
      <c r="X80" s="19">
        <v>0</v>
      </c>
      <c r="Y80" s="20"/>
      <c r="Z80" s="298">
        <f>H80+J80+L80+N80+P80+R80+T80+V80+X80</f>
        <v>0</v>
      </c>
      <c r="AA80" s="298">
        <f>Z80/IF(G80=0,1,G80)</f>
        <v>0</v>
      </c>
      <c r="AB80" s="190"/>
      <c r="AC80" s="178"/>
      <c r="AD80" s="178"/>
      <c r="AE80" s="178"/>
      <c r="AF80" s="178"/>
      <c r="AG80" s="139"/>
      <c r="AH80" s="139"/>
      <c r="AI80" s="139"/>
      <c r="AJ80" s="139"/>
    </row>
    <row r="81" spans="1:36" ht="15">
      <c r="A81" s="139"/>
      <c r="B81" s="392" t="s">
        <v>13</v>
      </c>
      <c r="C81" s="393"/>
      <c r="D81" s="21"/>
      <c r="E81" s="13"/>
      <c r="F81" s="14"/>
      <c r="G81" s="188">
        <f>(D81*E81*IF(F81&lt;2,F81,F81/100))/8.25</f>
        <v>0</v>
      </c>
      <c r="H81" s="12">
        <v>0</v>
      </c>
      <c r="I81" s="13"/>
      <c r="J81" s="13">
        <v>0</v>
      </c>
      <c r="K81" s="13"/>
      <c r="L81" s="13">
        <v>0</v>
      </c>
      <c r="M81" s="13"/>
      <c r="N81" s="13">
        <v>0</v>
      </c>
      <c r="O81" s="13"/>
      <c r="P81" s="13">
        <v>0</v>
      </c>
      <c r="Q81" s="13"/>
      <c r="R81" s="13">
        <v>0</v>
      </c>
      <c r="S81" s="13"/>
      <c r="T81" s="13">
        <v>0</v>
      </c>
      <c r="U81" s="13"/>
      <c r="V81" s="13">
        <v>0</v>
      </c>
      <c r="W81" s="13"/>
      <c r="X81" s="13">
        <v>0</v>
      </c>
      <c r="Y81" s="14"/>
      <c r="Z81" s="298">
        <f>H81+J81+L81+N81+P81+R81+T81+V81+X81</f>
        <v>0</v>
      </c>
      <c r="AA81" s="298">
        <f>Z81/IF(G81=0,1,G81)</f>
        <v>0</v>
      </c>
      <c r="AB81" s="190"/>
      <c r="AC81" s="178"/>
      <c r="AD81" s="178"/>
      <c r="AE81" s="178"/>
      <c r="AF81" s="178"/>
      <c r="AG81" s="139"/>
      <c r="AH81" s="139"/>
      <c r="AI81" s="139"/>
      <c r="AJ81" s="139"/>
    </row>
    <row r="82" spans="1:36" ht="15">
      <c r="A82" s="139"/>
      <c r="B82" s="394" t="s">
        <v>14</v>
      </c>
      <c r="C82" s="395"/>
      <c r="D82" s="22"/>
      <c r="E82" s="16"/>
      <c r="F82" s="17"/>
      <c r="G82" s="188">
        <f>(D82*E82*IF(F82&lt;2,F82,F82/100))/8.25</f>
        <v>0</v>
      </c>
      <c r="H82" s="15">
        <v>0</v>
      </c>
      <c r="I82" s="16"/>
      <c r="J82" s="16">
        <v>0</v>
      </c>
      <c r="K82" s="16"/>
      <c r="L82" s="16">
        <v>0</v>
      </c>
      <c r="M82" s="16"/>
      <c r="N82" s="16">
        <v>0</v>
      </c>
      <c r="O82" s="16"/>
      <c r="P82" s="16">
        <v>0</v>
      </c>
      <c r="Q82" s="16"/>
      <c r="R82" s="16">
        <v>0</v>
      </c>
      <c r="S82" s="16"/>
      <c r="T82" s="16">
        <v>0</v>
      </c>
      <c r="U82" s="16"/>
      <c r="V82" s="16">
        <v>0</v>
      </c>
      <c r="W82" s="16"/>
      <c r="X82" s="16">
        <v>0</v>
      </c>
      <c r="Y82" s="17"/>
      <c r="Z82" s="298">
        <f>H82+J82+L82+N82+P82+R82+T82+V82+X82</f>
        <v>0</v>
      </c>
      <c r="AA82" s="298">
        <f>Z82/IF(G82=0,1,G82)</f>
        <v>0</v>
      </c>
      <c r="AB82" s="190"/>
      <c r="AC82" s="178"/>
      <c r="AD82" s="178"/>
      <c r="AE82" s="178"/>
      <c r="AF82" s="178"/>
      <c r="AG82" s="139"/>
      <c r="AH82" s="139"/>
      <c r="AI82" s="139"/>
      <c r="AJ82" s="139"/>
    </row>
    <row r="83" spans="1:36" ht="15">
      <c r="A83" s="139"/>
      <c r="B83" s="178" t="s">
        <v>15</v>
      </c>
      <c r="C83" s="178"/>
      <c r="D83" s="191" t="s">
        <v>234</v>
      </c>
      <c r="E83" s="191" t="s">
        <v>235</v>
      </c>
      <c r="F83" s="191" t="s">
        <v>107</v>
      </c>
      <c r="G83" s="193">
        <f>Z83/IF(AA83=0,1,AA83)</f>
        <v>0</v>
      </c>
      <c r="H83" s="214">
        <f>SUM(H80:H82)</f>
        <v>0</v>
      </c>
      <c r="I83" s="195"/>
      <c r="J83" s="215">
        <f>SUM(J80:J82)</f>
        <v>0</v>
      </c>
      <c r="K83" s="195"/>
      <c r="L83" s="215">
        <f>SUM(L80:L82)</f>
        <v>0</v>
      </c>
      <c r="M83" s="195"/>
      <c r="N83" s="215">
        <f>SUM(N80:N82)</f>
        <v>0</v>
      </c>
      <c r="O83" s="195"/>
      <c r="P83" s="215">
        <f>SUM(P80:P82)</f>
        <v>0</v>
      </c>
      <c r="Q83" s="195"/>
      <c r="R83" s="215">
        <f>SUM(R80:R82)</f>
        <v>0</v>
      </c>
      <c r="S83" s="195"/>
      <c r="T83" s="215">
        <f>SUM(T80:T82)</f>
        <v>0</v>
      </c>
      <c r="U83" s="195"/>
      <c r="V83" s="215">
        <f>SUM(V80:V82)</f>
        <v>0</v>
      </c>
      <c r="W83" s="195"/>
      <c r="X83" s="215">
        <f>SUM(X80:X82)</f>
        <v>0</v>
      </c>
      <c r="Y83" s="195"/>
      <c r="Z83" s="298">
        <f>SUM(Z80:Z82)</f>
        <v>0</v>
      </c>
      <c r="AA83" s="298">
        <f>SUM(AA80:AA82)</f>
        <v>0</v>
      </c>
      <c r="AB83" s="190"/>
      <c r="AC83" s="178"/>
      <c r="AD83" s="178"/>
      <c r="AE83" s="178"/>
      <c r="AF83" s="178"/>
      <c r="AG83" s="139"/>
      <c r="AH83" s="139"/>
      <c r="AI83" s="139"/>
      <c r="AJ83" s="139"/>
    </row>
    <row r="84" spans="1:36" ht="15">
      <c r="A84" s="139"/>
      <c r="B84" s="390" t="s">
        <v>16</v>
      </c>
      <c r="C84" s="391"/>
      <c r="D84" s="18"/>
      <c r="E84" s="19"/>
      <c r="F84" s="20"/>
      <c r="G84" s="188">
        <f>(D84*E84*IF(F84&lt;2,F84,F84/100))/8.25</f>
        <v>0</v>
      </c>
      <c r="H84" s="27">
        <v>0</v>
      </c>
      <c r="I84" s="19"/>
      <c r="J84" s="19">
        <v>0</v>
      </c>
      <c r="K84" s="19"/>
      <c r="L84" s="19">
        <v>0</v>
      </c>
      <c r="M84" s="19"/>
      <c r="N84" s="19">
        <v>0</v>
      </c>
      <c r="O84" s="19"/>
      <c r="P84" s="19">
        <v>0</v>
      </c>
      <c r="Q84" s="19"/>
      <c r="R84" s="19">
        <v>0</v>
      </c>
      <c r="S84" s="19"/>
      <c r="T84" s="19">
        <v>0</v>
      </c>
      <c r="U84" s="19"/>
      <c r="V84" s="19">
        <v>0</v>
      </c>
      <c r="W84" s="19"/>
      <c r="X84" s="19">
        <v>0</v>
      </c>
      <c r="Y84" s="20"/>
      <c r="Z84" s="298">
        <f>H84+J84+L84+N84+P84+R84+T84+V84+X84</f>
        <v>0</v>
      </c>
      <c r="AA84" s="298">
        <f>Z84/IF(G84=0,1,G84)</f>
        <v>0</v>
      </c>
      <c r="AB84" s="190"/>
      <c r="AC84" s="178"/>
      <c r="AD84" s="178"/>
      <c r="AE84" s="178"/>
      <c r="AF84" s="178"/>
      <c r="AG84" s="139"/>
      <c r="AH84" s="139"/>
      <c r="AI84" s="139"/>
      <c r="AJ84" s="139"/>
    </row>
    <row r="85" spans="1:36" ht="15">
      <c r="A85" s="139"/>
      <c r="B85" s="392" t="s">
        <v>17</v>
      </c>
      <c r="C85" s="393"/>
      <c r="D85" s="21"/>
      <c r="E85" s="13"/>
      <c r="F85" s="14"/>
      <c r="G85" s="188">
        <f>(D85*E85*IF(F85&lt;2,F85,F85/100))/8.25</f>
        <v>0</v>
      </c>
      <c r="H85" s="12">
        <v>0</v>
      </c>
      <c r="I85" s="13"/>
      <c r="J85" s="13">
        <v>0</v>
      </c>
      <c r="K85" s="13"/>
      <c r="L85" s="13">
        <v>0</v>
      </c>
      <c r="M85" s="13"/>
      <c r="N85" s="13">
        <v>0</v>
      </c>
      <c r="O85" s="13"/>
      <c r="P85" s="13">
        <v>0</v>
      </c>
      <c r="Q85" s="13"/>
      <c r="R85" s="13">
        <v>0</v>
      </c>
      <c r="S85" s="13"/>
      <c r="T85" s="13">
        <v>0</v>
      </c>
      <c r="U85" s="13"/>
      <c r="V85" s="13">
        <v>0</v>
      </c>
      <c r="W85" s="13"/>
      <c r="X85" s="13">
        <v>0</v>
      </c>
      <c r="Y85" s="14"/>
      <c r="Z85" s="298">
        <f>H85+J85+L85+N85+P85+R85+T85+V85+X85</f>
        <v>0</v>
      </c>
      <c r="AA85" s="298">
        <f>Z85/IF(G85=0,1,G85)</f>
        <v>0</v>
      </c>
      <c r="AB85" s="190"/>
      <c r="AC85" s="178"/>
      <c r="AD85" s="178"/>
      <c r="AE85" s="178"/>
      <c r="AF85" s="178"/>
      <c r="AG85" s="139"/>
      <c r="AH85" s="139"/>
      <c r="AI85" s="139"/>
      <c r="AJ85" s="139"/>
    </row>
    <row r="86" spans="1:36" ht="15">
      <c r="A86" s="139"/>
      <c r="B86" s="394" t="s">
        <v>18</v>
      </c>
      <c r="C86" s="395"/>
      <c r="D86" s="22"/>
      <c r="E86" s="16"/>
      <c r="F86" s="17"/>
      <c r="G86" s="188">
        <f>(D86*E86*IF(F86&lt;2,F86,F86/100))/8.25</f>
        <v>0</v>
      </c>
      <c r="H86" s="15">
        <v>0</v>
      </c>
      <c r="I86" s="16"/>
      <c r="J86" s="16">
        <v>0</v>
      </c>
      <c r="K86" s="16"/>
      <c r="L86" s="16">
        <v>0</v>
      </c>
      <c r="M86" s="16"/>
      <c r="N86" s="16">
        <v>0</v>
      </c>
      <c r="O86" s="16"/>
      <c r="P86" s="16">
        <v>0</v>
      </c>
      <c r="Q86" s="16"/>
      <c r="R86" s="16">
        <v>0</v>
      </c>
      <c r="S86" s="16"/>
      <c r="T86" s="16">
        <v>0</v>
      </c>
      <c r="U86" s="16"/>
      <c r="V86" s="16">
        <v>0</v>
      </c>
      <c r="W86" s="16"/>
      <c r="X86" s="16">
        <v>0</v>
      </c>
      <c r="Y86" s="17"/>
      <c r="Z86" s="298">
        <f>H86+J86+L86+N86+P86+R86+T86+V86+X86</f>
        <v>0</v>
      </c>
      <c r="AA86" s="298">
        <f>Z86/IF(G86=0,1,G86)</f>
        <v>0</v>
      </c>
      <c r="AB86" s="190"/>
      <c r="AC86" s="178"/>
      <c r="AD86" s="178"/>
      <c r="AE86" s="178"/>
      <c r="AF86" s="178"/>
      <c r="AG86" s="139"/>
      <c r="AH86" s="139"/>
      <c r="AI86" s="139"/>
      <c r="AJ86" s="139"/>
    </row>
    <row r="87" spans="1:36" ht="15">
      <c r="A87" s="139"/>
      <c r="B87" s="178" t="s">
        <v>19</v>
      </c>
      <c r="C87" s="178"/>
      <c r="D87" s="198"/>
      <c r="E87" s="167"/>
      <c r="F87" s="167"/>
      <c r="G87" s="193">
        <f>Z87/IF(AA87=0,1,AA87)</f>
        <v>0</v>
      </c>
      <c r="H87" s="216">
        <f>SUM(H84:H86)</f>
        <v>0</v>
      </c>
      <c r="I87" s="195"/>
      <c r="J87" s="217">
        <f>SUM(J84:J86)</f>
        <v>0</v>
      </c>
      <c r="K87" s="195"/>
      <c r="L87" s="217">
        <f>SUM(L84:L86)</f>
        <v>0</v>
      </c>
      <c r="M87" s="195"/>
      <c r="N87" s="217">
        <f>SUM(N84:N86)</f>
        <v>0</v>
      </c>
      <c r="O87" s="195"/>
      <c r="P87" s="217">
        <f>SUM(P84:P86)</f>
        <v>0</v>
      </c>
      <c r="Q87" s="195"/>
      <c r="R87" s="217">
        <f>SUM(R84:R86)</f>
        <v>0</v>
      </c>
      <c r="S87" s="195"/>
      <c r="T87" s="217">
        <f>SUM(T84:T86)</f>
        <v>0</v>
      </c>
      <c r="U87" s="195"/>
      <c r="V87" s="217">
        <f>SUM(V84:V86)</f>
        <v>0</v>
      </c>
      <c r="W87" s="195"/>
      <c r="X87" s="217">
        <f>SUM(X84:X86)</f>
        <v>0</v>
      </c>
      <c r="Y87" s="195"/>
      <c r="Z87" s="298">
        <f>SUM(Z84:Z86)</f>
        <v>0</v>
      </c>
      <c r="AA87" s="298">
        <f>SUM(AA84:AA86)</f>
        <v>0</v>
      </c>
      <c r="AB87" s="190"/>
      <c r="AC87" s="178"/>
      <c r="AD87" s="178"/>
      <c r="AE87" s="178"/>
      <c r="AF87" s="178"/>
      <c r="AG87" s="139"/>
      <c r="AH87" s="139"/>
      <c r="AI87" s="139"/>
      <c r="AJ87" s="139"/>
    </row>
    <row r="88" spans="1:36" ht="15">
      <c r="A88" s="139"/>
      <c r="B88" s="139"/>
      <c r="C88" s="178"/>
      <c r="D88" s="167"/>
      <c r="E88" s="167"/>
      <c r="F88" s="167"/>
      <c r="G88" s="218"/>
      <c r="H88" s="218"/>
      <c r="I88" s="218"/>
      <c r="J88" s="218"/>
      <c r="K88" s="218"/>
      <c r="L88" s="218"/>
      <c r="M88" s="218"/>
      <c r="N88" s="218"/>
      <c r="O88" s="218"/>
      <c r="P88" s="218"/>
      <c r="Q88" s="218"/>
      <c r="R88" s="218"/>
      <c r="S88" s="218"/>
      <c r="T88" s="218"/>
      <c r="U88" s="218"/>
      <c r="V88" s="218"/>
      <c r="W88" s="218"/>
      <c r="X88" s="218"/>
      <c r="Y88" s="218"/>
      <c r="Z88" s="298"/>
      <c r="AA88" s="298"/>
      <c r="AB88" s="190"/>
      <c r="AC88" s="178"/>
      <c r="AD88" s="178"/>
      <c r="AE88" s="178"/>
      <c r="AF88" s="178"/>
      <c r="AG88" s="139"/>
      <c r="AH88" s="139"/>
      <c r="AI88" s="139"/>
      <c r="AJ88" s="139"/>
    </row>
    <row r="89" spans="1:36" ht="15.75" thickBot="1">
      <c r="A89" s="139"/>
      <c r="B89" s="139"/>
      <c r="C89" s="178"/>
      <c r="D89" s="182"/>
      <c r="E89" s="182"/>
      <c r="F89" s="182"/>
      <c r="G89" s="139"/>
      <c r="H89" s="219"/>
      <c r="I89" s="219"/>
      <c r="J89" s="219"/>
      <c r="K89" s="219"/>
      <c r="L89" s="219"/>
      <c r="M89" s="219" t="s">
        <v>20</v>
      </c>
      <c r="N89" s="219"/>
      <c r="O89" s="219"/>
      <c r="P89" s="219"/>
      <c r="Q89" s="219"/>
      <c r="R89" s="219"/>
      <c r="S89" s="219"/>
      <c r="T89" s="219"/>
      <c r="U89" s="219"/>
      <c r="V89" s="219"/>
      <c r="W89" s="219"/>
      <c r="X89" s="219"/>
      <c r="Y89" s="219"/>
      <c r="Z89" s="219"/>
      <c r="AA89" s="219"/>
      <c r="AB89" s="208"/>
      <c r="AC89" s="178"/>
      <c r="AD89" s="178"/>
      <c r="AE89" s="178"/>
      <c r="AF89" s="178"/>
      <c r="AG89" s="139"/>
      <c r="AH89" s="139"/>
      <c r="AI89" s="139"/>
      <c r="AJ89" s="139"/>
    </row>
    <row r="90" spans="1:36" ht="16.5" thickTop="1">
      <c r="A90" s="151" t="s">
        <v>325</v>
      </c>
      <c r="B90" s="203" t="s">
        <v>456</v>
      </c>
      <c r="C90" s="178"/>
      <c r="D90" s="182"/>
      <c r="E90" s="182"/>
      <c r="F90" s="182"/>
      <c r="G90" s="182"/>
      <c r="H90" s="182"/>
      <c r="I90" s="193">
        <f>IF(I49=1,H49/G49,0)+IF(I50=1,H50/G50,0)+IF(I51=1,H51/G51,0)+IF(I52=1,H52/G52,0)+IF(I53=1,H53/G53,0)+IF(I54=1,H54/G54,0)+IF(I55=1,H55/G55,0)</f>
        <v>35.53846153846154</v>
      </c>
      <c r="J90" s="193">
        <f>IF(I64=1,H64/$G64,0)+IF(I65=1,H65/$G65,0)+IF(I66=1,H66/$G66,0)+IF(I68=1,H68/$G68,0)+IF(I69=1,H69/$G69,0)+IF(I70=1,H70/$G70,0)</f>
        <v>0</v>
      </c>
      <c r="K90" s="193">
        <f>IF(K49=1,J49/G49,0)+IF(K50=1,J50/G50,0)+IF(K51=1,J51/G51,0)+IF(K52=1,J52/G52,0)+IF(K53=1,J53/G53,0)+IF(K54=1,J54/G54,0)+IF(K55=1,J55/G55,0)</f>
        <v>71.07692307692308</v>
      </c>
      <c r="L90" s="193">
        <f>IF(K64=1,J64/$G64,0)+IF(K65=1,J65/$G65,0)+IF(K66=1,J66/$G66,0)+IF(K68=1,J68/$G68,0)+IF(K69=1,J69/$G69,0)+IF(K70=1,J70/$G70,0)</f>
        <v>0</v>
      </c>
      <c r="M90" s="193">
        <f>IF(M49=1,L49/G49,0)+IF(M50=1,L50/G50,0)+IF(M51=1,L51/G51,0)+IF(M52=1,L52/G52,0)+IF(M53=1,L53/G53,0)+IF(M54=1,L54/G54,0)+IF(M55=1,L55/G55,0)</f>
        <v>15.23076923076923</v>
      </c>
      <c r="N90" s="193">
        <f>IF(M64=1,L64/$G64,0)+IF(M65=1,L65/$G65,0)+IF(M66=1,L66/$G66,0)+IF(M68=1,L68/$G68,0)+IF(M69=1,L69/$G69,0)+IF(M70=1,L70/$G70,0)</f>
        <v>0</v>
      </c>
      <c r="O90" s="193">
        <f>IF(O49=1,N49/G49,0)+IF(O50=1,N50/G50,0)+IF(O51=1,N51/G51,0)+IF(O52=1,N52/G52,0)+IF(O53=1,N53/G53,0)+IF(O54=1,N54/G54,0)+IF(O55=1,N55/G55,0)</f>
        <v>25.384615384615383</v>
      </c>
      <c r="P90" s="193">
        <f>IF(O64=1,N64/$G64,0)+IF(O65=1,N65/$G65,0)+IF(O66=1,N66/$G66,0)+IF(O68=1,N68/$G68,0)+IF(O69=1,N69/$G69,0)+IF(O70=1,N70/$G70,0)</f>
        <v>0</v>
      </c>
      <c r="Q90" s="193">
        <f>IF(Q49=1,P49/G49,0)+IF(Q50=1,P50/G50,0)+IF(Q51=1,P51/G51,0)+IF(Q52=1,P52/G52,0)+IF(Q53=1,P53/G53,0)+IF(Q54=1,P54/G54,0)+IF(Q55=1,P55/G55,0)</f>
        <v>53.30769230769231</v>
      </c>
      <c r="R90" s="193">
        <f>IF(Q64=1,P64/$G64,0)+IF(Q65=1,P65/$G65,0)+IF(Q66=1,P66/$G66,0)+IF(Q68=1,P68/$G68,0)+IF(Q69=1,P69/$G69,0)+IF(Q70=1,P70/$G70,0)</f>
        <v>0</v>
      </c>
      <c r="S90" s="193">
        <f>IF(S49=1,R49/G49,0)+IF(S50=1,R50/G50,0)+IF(S51=1,R51/G51,0)+IF(S52=1,R52/G52,0)+IF(S53=1,R53/G53,0)+IF(S54=1,R54/G54,0)+IF(S55=1,R55/G55,0)</f>
        <v>0</v>
      </c>
      <c r="T90" s="193">
        <f>IF(S64=1,R64/$G64,0)+IF(S65=1,R65/$G65,0)+IF(S66=1,R66/$G66,0)+IF(S68=1,R68/$G68,0)+IF(S69=1,R69/$G69,0)+IF(S70=1,R70/$G70,0)</f>
        <v>0</v>
      </c>
      <c r="U90" s="193">
        <f>IF(U49=1,T49/G49,0)+IF(U50=1,T50/G50,0)+IF(U51=1,T51/G51,0)+IF(U52=1,T52/G52,0)+IF(U53=1,T53/G53,0)+IF(U54=1,T54/G54,0)+IF(U55=1,T55/G55,0)</f>
        <v>0</v>
      </c>
      <c r="V90" s="193">
        <f>IF(U64=1,T64/$G64,0)+IF(U65=1,T65/$G65,0)+IF(U66=1,T66/$G66,0)+IF(U68=1,T68/$G68,0)+IF(U69=1,T69/$G69,0)+IF(U70=1,T70/$G70,0)</f>
        <v>0</v>
      </c>
      <c r="W90" s="193">
        <f>IF(W49=1,V49/G49,0)+IF(W50=1,V50/G50,0)+IF(W51=1,V51/G51,0)+IF(W52=1,V52/G52,0)+IF(W53=1,V53/G53,0)+IF(W54=1,V54/G54,0)+IF(W55=1,V55/G55,0)</f>
        <v>0</v>
      </c>
      <c r="X90" s="193">
        <f>IF(W64=1,V64/$G64,0)+IF(W65=1,V65/$G65,0)+IF(W66=1,V66/$G66,0)+IF(W68=1,V68/$G68,0)+IF(W69=1,V69/$G69,0)+IF(W70=1,V70/$G70,0)</f>
        <v>0</v>
      </c>
      <c r="Y90" s="193">
        <f>IF(Y49=1,X49/G49,0)+IF(Y50=1,X50/G50,0)+IF(Y51=1,X51/G51,0)+IF(Y52=1,X52/G52,0)+IF(Y53=1,X53/G53,0)+IF(Y54=1,X54/G54,0)+IF(Y55=1,X55/G55,0)</f>
        <v>0</v>
      </c>
      <c r="Z90" s="188">
        <f>IF(Y64=1,X64/$G64,0)+IF(Y65=1,X65/$G65,0)+IF(Y66=1,X66/$G66,0)+IF(Y68=1,X68/$G68,0)+IF(Y69=1,X69/$G69,0)+IF(Y70=1,X70/$G70,0)</f>
        <v>0</v>
      </c>
      <c r="AA90" s="188"/>
      <c r="AB90" s="190"/>
      <c r="AC90" s="178"/>
      <c r="AD90" s="178"/>
      <c r="AE90" s="178"/>
      <c r="AF90" s="178"/>
      <c r="AG90" s="139"/>
      <c r="AH90" s="139"/>
      <c r="AI90" s="139"/>
      <c r="AJ90" s="139"/>
    </row>
    <row r="91" spans="1:36" ht="15">
      <c r="A91" s="139"/>
      <c r="B91" s="178" t="s">
        <v>331</v>
      </c>
      <c r="C91" s="178"/>
      <c r="D91" s="374" t="str">
        <f>C30</f>
        <v>3/4 ton Chevy Pickup</v>
      </c>
      <c r="E91" s="388"/>
      <c r="F91" s="220"/>
      <c r="G91" s="220"/>
      <c r="H91" s="220"/>
      <c r="I91" s="193">
        <f>IF(I56=1,H56/G56,0)+IF(I57=1,H57/G57,0)+IF(I58=1,H58/G58,0)+IF(I59=1,H59/G59,0)+IF(I60=1,H60/G60,0)+IF(I61=1,H61/G61,0)+IF(I62=1,H62/G62,0)+I90+J90</f>
        <v>35.53846153846154</v>
      </c>
      <c r="J91" s="193" t="s">
        <v>4</v>
      </c>
      <c r="K91" s="193">
        <f>IF(K56=1,J56/G56,0)+IF(K57=1,J57/G57,0)+IF(K58=1,J58/G58,0)+IF(K59=1,J59/G59,0)+IF(K60=1,J60/G60,0)+IF(K61=1,J61/G61,0)+IF(K62=1,J62/G62,0)+K90+L90</f>
        <v>71.07692307692308</v>
      </c>
      <c r="L91" s="193" t="s">
        <v>4</v>
      </c>
      <c r="M91" s="193">
        <f>IF(M56=1,L56/G56,0)+IF(M57=1,L57/G57,0)+IF(M58=1,L58/G58,0)+IF(M59=1,L59/G59,0)+IF(M60=1,L60/G60,0)+IF(M61=1,L61/G61,0)+IF(M62=1,L62/G62,0)+M90+N90</f>
        <v>15.23076923076923</v>
      </c>
      <c r="N91" s="193" t="s">
        <v>4</v>
      </c>
      <c r="O91" s="193">
        <f>IF(O56=1,N56/G56,0)+IF(O57=1,N57/G57,0)+IF(O58=1,N58/G58,0)+IF(O59=1,N59/G59,0)+IF(O60=1,N60/G60,0)+IF(O61=1,N61/G61,0)+IF(O62=1,N62/G62,0)+O90+P90</f>
        <v>25.384615384615383</v>
      </c>
      <c r="P91" s="193" t="s">
        <v>4</v>
      </c>
      <c r="Q91" s="193">
        <f>IF(Q56=1,P56/G56,0)+IF(Q57=1,P57/G57,0)+IF(Q58=1,P58/G58,0)+IF(Q59=1,P59/G59,0)+IF(Q60=1,P60/G60,0)+IF(Q61=1,P61/G61,0)+IF(Q62=1,P62/G62,0)+Q90+R90</f>
        <v>53.30769230769231</v>
      </c>
      <c r="R91" s="193" t="s">
        <v>4</v>
      </c>
      <c r="S91" s="193">
        <f>IF(S56=1,R56/G56,0)+IF(S57=1,R57/G57,0)+IF(S58=1,R58/G58,0)+IF(S59=1,R59/G59,0)+IF(S60=1,R60/G60,0)+IF(S61=1,R61/G61,0)+IF(S62=1,R62/G62,0)+S90+T90</f>
        <v>0</v>
      </c>
      <c r="T91" s="193" t="s">
        <v>4</v>
      </c>
      <c r="U91" s="193">
        <f>IF(U56=1,T56/G56,0)+IF(U57=1,T57/G57,0)+IF(U58=1,T58/G58,0)+IF(U59=1,T59/G59,0)+IF(U60=1,T60/G60,0)+IF(U61=1,T61/G61,0)+IF(U62=1,T62/G62,0)+U90+V90</f>
        <v>0</v>
      </c>
      <c r="V91" s="193" t="s">
        <v>4</v>
      </c>
      <c r="W91" s="193">
        <f>IF(W56=1,V56/G56,0)+IF(W57=1,V57/G57,0)+IF(W58=1,V58/G58,0)+IF(W59=1,V59/G59,0)+IF(W60=1,V60/G60,0)+IF(W61=1,V61/G61,0)+IF(W62=1,V62/G62,0)+W90+X90</f>
        <v>0</v>
      </c>
      <c r="X91" s="193" t="s">
        <v>4</v>
      </c>
      <c r="Y91" s="193">
        <f>IF(Y56=1,X56/G56,0)+IF(Y57=1,X57/G57,0)+IF(Y58=1,X58/G58,0)+IF(Y59=1,X59/G59,0)+IF(Y60=1,X60/G60,0)+IF(Y61=1,X61/G61,0)+IF(Y62=1,X62/G62,0)+Y90+Z90</f>
        <v>0</v>
      </c>
      <c r="Z91" s="188"/>
      <c r="AA91" s="189">
        <f>SUM(I91:Y91)</f>
        <v>200.53846153846155</v>
      </c>
      <c r="AB91" s="190"/>
      <c r="AC91" s="178"/>
      <c r="AD91" s="178"/>
      <c r="AE91" s="178"/>
      <c r="AF91" s="178"/>
      <c r="AG91" s="139"/>
      <c r="AH91" s="139"/>
      <c r="AI91" s="139"/>
      <c r="AJ91" s="139"/>
    </row>
    <row r="92" spans="1:36" ht="15">
      <c r="A92" s="139"/>
      <c r="B92" s="178"/>
      <c r="C92" s="178"/>
      <c r="D92" s="389"/>
      <c r="E92" s="389"/>
      <c r="F92" s="220"/>
      <c r="G92" s="220"/>
      <c r="H92" s="220"/>
      <c r="I92" s="193">
        <f>IF(I49=2,H49/G49,0)+IF(I50=2,H50/G50,0)+IF(I51=2,H51/G51,0)+IF(I52=2,H52/G52,0)+IF(I53=2,H53/G53,0)+IF(I54=2,H54/G54,0)+IF(I55=2,H55/G55,0)</f>
        <v>24.444444444444443</v>
      </c>
      <c r="J92" s="193">
        <f>IF(I64=2,H64/$G64,0)+IF(I65=2,H65/$G65,0)+IF(I66=2,H66/$G66,0)+IF(I68=2,H68/$G68,0)+IF(I69=2,H69/$G69,0)+IF(I70=2,H70/$G70,0)</f>
        <v>0</v>
      </c>
      <c r="K92" s="193">
        <f>IF(K49=2,J49/G49,0)+IF(K50=2,J50/G50,0)+IF(K51=2,J51/G51,0)+IF(K52=2,J52/G52,0)+IF(K53=2,J53/G53,0)+IF(K54=2,J54/G54,0)+IF(K55=2,J55/G55,0)</f>
        <v>48.888888888888886</v>
      </c>
      <c r="L92" s="193">
        <f>IF(K64=2,J64/$G64,0)+IF(K65=2,J65/$G65,0)+IF(K66=2,J66/$G66,0)+IF(K68=2,J68/$G68,0)+IF(K69=2,J69/$G69,0)+IF(K70=2,J70/$G70,0)</f>
        <v>0</v>
      </c>
      <c r="M92" s="193">
        <f>IF(M49=2,L49/G49,0)+IF(M50=2,L50/G50,0)+IF(M51=2,L51/G51,0)+IF(M52=2,L52/G52,0)+IF(M53=2,L53/G53,0)+IF(M54=2,L54/G54,0)+IF(M55=2,L55/G55,0)</f>
        <v>10.476190476190474</v>
      </c>
      <c r="N92" s="193">
        <f>IF(M64=2,L64/$G64,0)+IF(M65=2,L65/$G65,0)+IF(M66=2,L66/$G66,0)+IF(M68=2,L68/$G68,0)+IF(M69=2,L69/$G69,0)+IF(M70=2,L70/$G70,0)</f>
        <v>0</v>
      </c>
      <c r="O92" s="193">
        <f>IF(O49=2,N49/G49,0)+IF(O50=2,N50/G50,0)+IF(O51=2,N51/G51,0)+IF(O52=2,N52/G52,0)+IF(O53=2,N53/G53,0)+IF(O54=2,N54/G54,0)+IF(O55=2,N55/G55,0)</f>
        <v>17.46031746031746</v>
      </c>
      <c r="P92" s="193">
        <f>IF(O64=2,N64/$G64,0)+IF(O65=2,N65/$G65,0)+IF(O66=2,N66/$G66,0)+IF(O68=2,N68/$G68,0)+IF(O69=2,N69/$G69,0)+IF(O70=2,N70/$G70,0)</f>
        <v>0</v>
      </c>
      <c r="Q92" s="193">
        <f>IF(Q49=2,P49/G49,0)+IF(Q50=2,P50/G50,0)+IF(Q51=2,P51/G51,0)+IF(Q52=2,P52/G52,0)+IF(Q53=2,P53/G53,0)+IF(Q54=2,P54/G54,0)+IF(Q55=2,P55/G55,0)</f>
        <v>165</v>
      </c>
      <c r="R92" s="193">
        <f>IF(Q64=2,P64/$G64,0)+IF(Q65=2,P65/$G65,0)+IF(Q66=2,P66/$G66,0)+IF(Q68=2,P68/$G68,0)+IF(Q69=2,P69/$G69,0)+IF(Q70=2,P70/$G70,0)</f>
        <v>0</v>
      </c>
      <c r="S92" s="193">
        <f>IF(S49=2,R49/G49,0)+IF(S50=2,R50/G50,0)+IF(S51=2,R51/G51,0)+IF(S52=2,R52/G52,0)+IF(S53=2,R53/G53,0)+IF(S54=2,R54/G54,0)+IF(S55=2,R55/G55,0)</f>
        <v>0</v>
      </c>
      <c r="T92" s="193">
        <f>IF(S64=2,R64/$G64,0)+IF(S65=2,R65/$G65,0)+IF(S66=2,R66/$G66,0)+IF(S68=2,R68/$G68,0)+IF(S69=2,R69/$G69,0)+IF(S70=2,R70/$G70,0)</f>
        <v>0</v>
      </c>
      <c r="U92" s="193">
        <f>IF(U49=2,T49/G49,0)+IF(U50=2,T50/G50,0)+IF(U51=2,T51/G51,0)+IF(U52=2,T52/G52,0)+IF(U53=2,T53/G53,0)+IF(U54=2,T54/G54,0)+IF(U55=2,T55/G55,0)</f>
        <v>0</v>
      </c>
      <c r="V92" s="193">
        <f>IF(U64=2,T64/$G64,0)+IF(U65=2,T65/$G65,0)+IF(U66=2,T66/$G66,0)+IF(U68=2,T68/$G68,0)+IF(U69=2,T69/$G69,0)+IF(U70=2,T70/$G70,0)</f>
        <v>0</v>
      </c>
      <c r="W92" s="193">
        <f>IF(W49=2,V49/G49,0)+IF(W50=2,V50/G50,0)+IF(W51=2,V51/G51,0)+IF(W52=2,V52/G52,0)+IF(W53=2,V53/G53,0)+IF(W54=2,V54/G54,0)+IF(W55=2,V55/G55,0)</f>
        <v>0</v>
      </c>
      <c r="X92" s="193">
        <f>IF(W64=2,V64/$G64,0)+IF(W65=2,V65/$G65,0)+IF(W66=2,V66/$G66,0)+IF(W68=2,V68/$G68,0)+IF(W69=2,V69/$G69,0)+IF(W70=2,V70/$G70,0)</f>
        <v>0</v>
      </c>
      <c r="Y92" s="193">
        <f>IF(Y49=2,X49/G49,0)+IF(Y50=2,X50/G50,0)+IF(Y51=2,X51/G51,0)+IF(Y52=2,X52/G52,0)+IF(Y53=2,X53/G53,0)+IF(Y54=2,X54/G54,0)+IF(Y55=2,X55/G55,0)</f>
        <v>0</v>
      </c>
      <c r="Z92" s="221">
        <f>IF(Y64=2,X64/$G64,0)+IF(Y65=2,X65/$G65,0)+IF(Y66=2,X66/$G66,0)+IF(Y68=2,X68/$G68,0)+IF(Y69=2,X69/$G69,0)+IF(Y70=2,X70/$G70,0)</f>
        <v>0</v>
      </c>
      <c r="AA92" s="189"/>
      <c r="AB92" s="190"/>
      <c r="AC92" s="178"/>
      <c r="AD92" s="178"/>
      <c r="AE92" s="178"/>
      <c r="AF92" s="178"/>
      <c r="AG92" s="139"/>
      <c r="AH92" s="139"/>
      <c r="AI92" s="139"/>
      <c r="AJ92" s="139"/>
    </row>
    <row r="93" spans="1:36" ht="15.75">
      <c r="A93" s="222" t="s">
        <v>490</v>
      </c>
      <c r="B93" s="178" t="s">
        <v>21</v>
      </c>
      <c r="C93" s="178"/>
      <c r="D93" s="374" t="str">
        <f>C31</f>
        <v>260 hp 4wd #11</v>
      </c>
      <c r="E93" s="388"/>
      <c r="F93" s="220"/>
      <c r="G93" s="220"/>
      <c r="H93" s="220"/>
      <c r="I93" s="193">
        <f>IF(I56=2,H56/G56,0)+IF(I57=2,H57/G57,0)+IF(I58=2,H58/G58,0)+IF(I59=2,H59/G59,0)+IF(I60=2,H60/G60,0)+IF(I61=2,H61/G61,0)+IF(I62=2,H62/G62,0)+I92+J92</f>
        <v>24.444444444444443</v>
      </c>
      <c r="J93" s="193" t="s">
        <v>4</v>
      </c>
      <c r="K93" s="193">
        <f>IF(K56=2,J56/G56,0)+IF(K57=2,J57/G57,0)+IF(K58=2,J58/G58,0)+IF(K59=2,J59/G59,0)+IF(K60=2,J60/G60,0)+IF(K61=2,J61/G61,0)+IF(K62=2,J62/G62,0)+K92+L92</f>
        <v>48.888888888888886</v>
      </c>
      <c r="L93" s="193" t="s">
        <v>4</v>
      </c>
      <c r="M93" s="193">
        <f>IF(M56=2,L56/G56,0)+IF(M57=2,L57/G57,0)+IF(M58=2,L58/G58,0)+IF(M59=2,L59/G59,0)+IF(M60=2,L60/G60,0)+IF(M61=2,L61/G61,0)+IF(M62=2,L62/G62,0)+M92+N92</f>
        <v>10.476190476190474</v>
      </c>
      <c r="N93" s="193" t="s">
        <v>4</v>
      </c>
      <c r="O93" s="193">
        <f>IF(O56=2,N56/G56,0)+IF(O57=2,N57/G57,0)+IF(O58=2,N58/G58,0)+IF(O59=2,N59/G59,0)+IF(O60=2,N60/G60,0)+IF(O61=2,N61/G61,0)+IF(O62=2,N62/G62,0)+O92+P92</f>
        <v>17.46031746031746</v>
      </c>
      <c r="P93" s="193" t="s">
        <v>4</v>
      </c>
      <c r="Q93" s="193">
        <f>IF(Q56=2,P56/G56,0)+IF(Q57=2,P57/G57,0)+IF(Q58=2,P58/G58,0)+IF(Q59=2,P59/G59,0)+IF(Q60=2,P60/G60,0)+IF(Q61=2,P61/G61,0)+IF(Q62=2,P62/G62,0)+Q92+R92</f>
        <v>165</v>
      </c>
      <c r="R93" s="193" t="s">
        <v>4</v>
      </c>
      <c r="S93" s="193">
        <f>IF(S56=2,R56/G56,0)+IF(S57=2,R57/G57,0)+IF(S58=2,R58/G58,0)+IF(S59=2,R59/G59,0)+IF(S60=2,R60/G60,0)+IF(S61=2,R61/G61,0)+IF(S62=2,R62/G62,0)+S92+T92</f>
        <v>0</v>
      </c>
      <c r="T93" s="193" t="s">
        <v>4</v>
      </c>
      <c r="U93" s="193">
        <f>IF(U56=2,T56/G56,0)+IF(U57=2,T57/G57,0)+IF(U58=2,T58/G58,0)+IF(U59=2,T59/G59,0)+IF(U60=2,T60/G60,0)+IF(U61=2,T61/G61,0)+IF(U62=2,T62/G62,0)+U92+V92</f>
        <v>0</v>
      </c>
      <c r="V93" s="193" t="s">
        <v>4</v>
      </c>
      <c r="W93" s="193">
        <f>IF(W56=2,V56/G56,0)+IF(W57=2,V57/G57,0)+IF(W58=2,V58/G58,0)+IF(W59=2,V59/G59,0)+IF(W60=2,V60/G60,0)+IF(W61=2,V61/G61,0)+IF(W62=2,V62/G62,0)+W92+X92</f>
        <v>0</v>
      </c>
      <c r="X93" s="193" t="s">
        <v>4</v>
      </c>
      <c r="Y93" s="193">
        <f>IF(Y56=2,X56/G56,0)+IF(Y57=2,X57/G57,0)+IF(Y58=2,X58/G58,0)+IF(Y59=2,X59/G59,0)+IF(Y60=2,X60/G60,0)+IF(Y61=2,X61/G61,0)+IF(Y62=2,X62/G62,0)+Y92+Z92</f>
        <v>0</v>
      </c>
      <c r="Z93" s="188"/>
      <c r="AA93" s="189">
        <f>SUM(I93:Y93)</f>
        <v>266.26984126984127</v>
      </c>
      <c r="AB93" s="190"/>
      <c r="AC93" s="178"/>
      <c r="AD93" s="178"/>
      <c r="AE93" s="178"/>
      <c r="AF93" s="178"/>
      <c r="AG93" s="139"/>
      <c r="AH93" s="139"/>
      <c r="AI93" s="139"/>
      <c r="AJ93" s="139"/>
    </row>
    <row r="94" spans="1:36" ht="15.75">
      <c r="A94" s="222" t="s">
        <v>495</v>
      </c>
      <c r="B94" s="178"/>
      <c r="C94" s="178"/>
      <c r="D94" s="389"/>
      <c r="E94" s="389"/>
      <c r="F94" s="220"/>
      <c r="G94" s="220"/>
      <c r="H94" s="220"/>
      <c r="I94" s="193">
        <f>IF(I49=3,H49/G49,0)+IF(I50=3,H50/G50,0)+IF(I51=3,H51/G51,0)+IF(I52=3,H52/G52,0)+IF(I53=3,H53/G53,0)+IF(I54=3,H54/G54,0)+IF(I55=3,H55/G55,0)</f>
        <v>19.8</v>
      </c>
      <c r="J94" s="193">
        <f>IF(I64=3,H64/$G64,0)+IF(I65=3,H65/$G65,0)+IF(I66=3,H66/$G66,0)+IF(I68=3,H68/$G68,0)+IF(I69=3,H69/$G69,0)+IF(I70=3,H70/$G70,0)</f>
        <v>0</v>
      </c>
      <c r="K94" s="193">
        <f>IF(K49=3,J49/G49,0)+IF(K50=3,J50/G50,0)+IF(K51=3,J51/G51,0)+IF(K52=3,J52/G52,0)+IF(K53=3,J53/G53,0)+IF(K54=3,J54/G54,0)+IF(K55=3,J55/G55,0)</f>
        <v>0</v>
      </c>
      <c r="L94" s="193">
        <f>IF(K64=3,J64/$G64,0)+IF(K65=3,J65/$G65,0)+IF(K66=3,J66/$G66,0)+IF(K68=3,J68/$G68,0)+IF(K69=3,J69/$G69,0)+IF(K70=3,J70/$G70,0)</f>
        <v>0</v>
      </c>
      <c r="M94" s="193">
        <f>IF(M49=3,L49/G49,0)+IF(M50=3,L50/G50,0)+IF(M51=3,L51/G51,0)+IF(M52=3,L52/G52,0)+IF(M53=3,L53/G53,0)+IF(M54=3,L54/G54,0)+IF(M55=3,L55/G55,0)</f>
        <v>8.485714285714286</v>
      </c>
      <c r="N94" s="193">
        <f>IF(M64=3,L64/$G64,0)+IF(M65=3,L65/$G65,0)+IF(M66=3,L66/$G66,0)+IF(M68=3,L68/$G68,0)+IF(M69=3,L69/$G69,0)+IF(M70=3,L70/$G70,0)</f>
        <v>0</v>
      </c>
      <c r="O94" s="193">
        <f>IF(O49=3,N49/G49,0)+IF(O50=3,N50/G50,0)+IF(O51=3,N51/G51,0)+IF(O52=3,N52/G52,0)+IF(O53=3,N53/G53,0)+IF(O54=3,N54/G54,0)+IF(O55=3,N55/G55,0)</f>
        <v>0</v>
      </c>
      <c r="P94" s="193">
        <f>IF(O64=3,N64/$G64,0)+IF(O65=3,N65/$G65,0)+IF(O66=3,N66/$G66,0)+IF(O68=3,N68/$G68,0)+IF(O69=3,N69/$G69,0)+IF(O70=3,N70/$G70,0)</f>
        <v>0</v>
      </c>
      <c r="Q94" s="193">
        <f>IF(Q49=3,P49/G49,0)+IF(Q50=3,P50/G50,0)+IF(Q51=3,P51/G51,0)+IF(Q52=3,P52/G52,0)+IF(Q53=3,P53/G53,0)+IF(Q54=3,P54/G54,0)+IF(Q55=3,P55/G55,0)</f>
        <v>0</v>
      </c>
      <c r="R94" s="193">
        <f>IF(Q64=3,P64/$G64,0)+IF(Q65=3,P65/$G65,0)+IF(Q66=3,P66/$G66,0)+IF(Q68=3,P68/$G68,0)+IF(Q69=3,P69/$G69,0)+IF(Q70=3,P70/$G70,0)</f>
        <v>0</v>
      </c>
      <c r="S94" s="193">
        <f>IF(S49=3,R49/G49,0)+IF(S50=3,R50/G50,0)+IF(S51=3,R51/G51,0)+IF(S52=3,R52/G52,0)+IF(S53=3,R53/G53,0)+IF(S54=3,R54/G54,0)+IF(S55=3,R55/G55,0)</f>
        <v>0</v>
      </c>
      <c r="T94" s="193">
        <f>IF(S64=3,R64/$G64,0)+IF(S65=3,R65/$G65,0)+IF(S66=3,R66/$G66,0)+IF(S68=3,R68/$G68,0)+IF(S69=3,R69/$G69,0)+IF(S70=3,R70/$G70,0)</f>
        <v>0</v>
      </c>
      <c r="U94" s="193">
        <f>IF(U49=3,T49/G49,0)+IF(U50=3,T50/G50,0)+IF(U51=3,T51/G51,0)+IF(U52=3,T52/G52,0)+IF(U53=3,T53/G53,0)+IF(U54=3,T54/G54,0)+IF(U55=3,T55/G55,0)</f>
        <v>0</v>
      </c>
      <c r="V94" s="193">
        <f>IF(U64=3,T64/$G64,0)+IF(U65=3,T65/$G65,0)+IF(U66=3,T66/$G66,0)+IF(U68=3,T68/$G68,0)+IF(U69=3,T69/$G69,0)+IF(U70=3,T70/$G70,0)</f>
        <v>0</v>
      </c>
      <c r="W94" s="193">
        <f>IF(W49=3,V49/G49,0)+IF(W50=3,V50/G50,0)+IF(W51=3,V51/G51,0)+IF(W52=3,V52/G52,0)+IF(W53=3,V53/G53,0)+IF(W54=3,V54/G54,0)+IF(W55=3,V55/G55,0)</f>
        <v>0</v>
      </c>
      <c r="X94" s="193">
        <f>IF(W64=3,V64/$G64,0)+IF(W65=3,V65/$G65,0)+IF(W66=3,V66/$G66,0)+IF(W68=3,V68/$G68,0)+IF(W69=3,V69/$G69,0)+IF(W70=3,V70/$G70,0)</f>
        <v>0</v>
      </c>
      <c r="Y94" s="193">
        <f>IF(Y49=3,X49/G49,0)+IF(Y50=3,X50/G50,0)+IF(Y51=3,X51/G51,0)+IF(Y52=3,X52/G52,0)+IF(Y53=3,X53/G53,0)+IF(Y54=3,X54/G54,0)+IF(Y55=3,X55/G55,0)</f>
        <v>0</v>
      </c>
      <c r="Z94" s="221">
        <f>IF(Y64=3,X64/$G64,0)+IF(Y65=3,X65/$G65,0)+IF(Y66=3,X66/$G66,0)+IF(Y68=3,X68/$G68,0)+IF(Y69=3,X69/$G69,0)+IF(Y70=3,X70/$G70,0)</f>
        <v>0</v>
      </c>
      <c r="AA94" s="189"/>
      <c r="AB94" s="190"/>
      <c r="AC94" s="178"/>
      <c r="AD94" s="178"/>
      <c r="AE94" s="178"/>
      <c r="AF94" s="178"/>
      <c r="AG94" s="139"/>
      <c r="AH94" s="139"/>
      <c r="AI94" s="139"/>
      <c r="AJ94" s="139"/>
    </row>
    <row r="95" spans="1:36" ht="15.75">
      <c r="A95" s="222" t="s">
        <v>491</v>
      </c>
      <c r="B95" s="178" t="s">
        <v>22</v>
      </c>
      <c r="C95" s="178"/>
      <c r="D95" s="374" t="str">
        <f>C32</f>
        <v>80 hp 2wd #5</v>
      </c>
      <c r="E95" s="388"/>
      <c r="F95" s="220"/>
      <c r="G95" s="220"/>
      <c r="H95" s="220"/>
      <c r="I95" s="193">
        <f>IF(I56=3,H56/G56,0)+IF(I57=3,H57/G57,0)+IF(I58=3,H58/G58,0)+IF(I59=3,H59/G59,0)+IF(I60=3,H60/G60,0)+IF(I61=3,H61/G61,0)+IF(I62=3,H62/G62,0)+I94+J94</f>
        <v>19.8</v>
      </c>
      <c r="J95" s="193" t="s">
        <v>4</v>
      </c>
      <c r="K95" s="193">
        <f>IF(K56=3,J56/G56,0)+IF(K57=3,J57/G57,0)+IF(K58=3,J58/G58,0)+IF(K59=3,J59/G59,0)+IF(K60=3,J60/G60,0)+IF(K61=3,J61/G61,0)+IF(K62=3,J62/G62,0)+K94+L94</f>
        <v>0</v>
      </c>
      <c r="L95" s="193" t="s">
        <v>4</v>
      </c>
      <c r="M95" s="193">
        <f>IF(M56=3,L56/G56,0)+IF(M57=3,L57/G57,0)+IF(M58=3,L58/G58,0)+IF(M59=3,L59/G59,0)+IF(M60=3,L60/G60,0)+IF(M61=3,L61/G61,0)+IF(M62=3,L62/G62,0)+M94+N94</f>
        <v>8.485714285714286</v>
      </c>
      <c r="N95" s="193" t="s">
        <v>4</v>
      </c>
      <c r="O95" s="193">
        <f>IF(O56=3,N56/G56,0)+IF(O57=3,N57/G57,0)+IF(O58=3,N58/G58,0)+IF(O59=3,N59/G59,0)+IF(O60=3,N60/G60,0)+IF(O61=3,N61/G61,0)+IF(O62=3,N62/G62,0)+O94+P94</f>
        <v>0</v>
      </c>
      <c r="P95" s="193" t="s">
        <v>4</v>
      </c>
      <c r="Q95" s="193">
        <f>IF(Q56=3,P56/G56,0)+IF(Q57=3,P57/G57,0)+IF(Q58=3,P58/G58,0)+IF(Q59=3,P59/G59,0)+IF(Q60=3,P60/G60,0)+IF(Q61=3,P61/G61,0)+IF(Q62=3,P62/G62,0)+Q94+R94</f>
        <v>0</v>
      </c>
      <c r="R95" s="193" t="s">
        <v>4</v>
      </c>
      <c r="S95" s="193">
        <f>IF(S56=3,R56/G56,0)+IF(S57=3,R57/G57,0)+IF(S58=3,R58/G58,0)+IF(S59=3,R59/G59,0)+IF(S60=3,R60/G60,0)+IF(S61=3,R61/G61,0)+IF(S62=3,R62/G62,0)+S94+T94</f>
        <v>0</v>
      </c>
      <c r="T95" s="193" t="s">
        <v>4</v>
      </c>
      <c r="U95" s="193">
        <f>IF(U56=3,T56/G56,0)+IF(U57=3,T57/G57,0)+IF(U58=3,T58/G58,0)+IF(U59=3,T59/G59,0)+IF(U60=3,T60/G60,0)+IF(U61=3,T61/G61,0)+IF(U62=3,T62/G62,0)+U94+V94</f>
        <v>0</v>
      </c>
      <c r="V95" s="193" t="s">
        <v>4</v>
      </c>
      <c r="W95" s="193">
        <f>IF(W56=3,V56/G56,0)+IF(W57=3,V57/G57,0)+IF(W58=3,V58/G58,0)+IF(W59=3,V59/G59,0)+IF(W60=3,V60/G60,0)+IF(W61=3,V61/G61,0)+IF(W62=3,V62/G62,0)+W94+X94</f>
        <v>0</v>
      </c>
      <c r="X95" s="193" t="s">
        <v>4</v>
      </c>
      <c r="Y95" s="193">
        <f>IF(Y56=3,X56/G56,0)+IF(Y57=3,X57/G57,0)+IF(Y58=3,X58/G58,0)+IF(Y59=3,X59/G59,0)+IF(Y60=3,X60/G60,0)+IF(Y61=3,X61/G61,0)+IF(Y62=3,X62/G62,0)+Y94+Z94</f>
        <v>0</v>
      </c>
      <c r="Z95" s="188"/>
      <c r="AA95" s="189">
        <f>SUM(I95:Y95)</f>
        <v>28.285714285714285</v>
      </c>
      <c r="AB95" s="190"/>
      <c r="AC95" s="178"/>
      <c r="AD95" s="178"/>
      <c r="AE95" s="178"/>
      <c r="AF95" s="178"/>
      <c r="AG95" s="139"/>
      <c r="AH95" s="139"/>
      <c r="AI95" s="139"/>
      <c r="AJ95" s="139"/>
    </row>
    <row r="96" spans="1:36" ht="15.75">
      <c r="A96" s="222" t="s">
        <v>492</v>
      </c>
      <c r="B96" s="178"/>
      <c r="C96" s="178"/>
      <c r="D96" s="389"/>
      <c r="E96" s="389"/>
      <c r="F96" s="220"/>
      <c r="G96" s="220"/>
      <c r="H96" s="220"/>
      <c r="I96" s="193">
        <f>IF(I49=4,H49/G49,0)+IF(I50=4,H50/G50,0)+IF(I51=4,H51/G51,0)+IF(I52=4,H52/G52,0)+IF(I53=4,H53/G53,0)+IF(I54=4,H54/G54,0)+IF(I55=4,H55/G55,0)</f>
        <v>0</v>
      </c>
      <c r="J96" s="193">
        <f>IF(I64=4,H64/$G64,0)+IF(I65=4,H65/$G65,0)+IF(I66=4,H66/$G66,0)+IF(I68=4,H68/$G68,0)+IF(I69=4,H69/$G69,0)+IF(I70=4,H70/$G70,0)</f>
        <v>0</v>
      </c>
      <c r="K96" s="193">
        <f>IF(K49=4,J49/G49,0)+IF(K50=4,J50/G50,0)+IF(K51=4,J51/G51,0)+IF(K52=4,J52/G52,0)+IF(K53=4,J53/G53,0)+IF(K54=4,J54/G54,0)+IF(K55=4,J55/G55,0)</f>
        <v>0</v>
      </c>
      <c r="L96" s="193">
        <f>IF(K64=4,J64/$G64,0)+IF(K65=4,J65/$G65,0)+IF(K66=4,J66/$G66,0)+IF(K68=4,J68/$G68,0)+IF(K69=4,J69/$G69,0)+IF(K70=4,J70/$G70,0)</f>
        <v>0</v>
      </c>
      <c r="M96" s="193">
        <f>IF(M49=4,L49/G49,0)+IF(M50=4,L50/G50,0)+IF(M51=4,L51/G51,0)+IF(M52=4,L52/G52,0)+IF(M53=4,L53/G53,0)+IF(M54=4,L54/G54,0)+IF(M55=4,L55/G55,0)</f>
        <v>0</v>
      </c>
      <c r="N96" s="193">
        <f>IF(M64=4,L64/$G64,0)+IF(M65=4,L65/$G65,0)+IF(M66=4,L66/$G66,0)+IF(M68=4,L68/$G68,0)+IF(M69=4,L69/$G69,0)+IF(M70=4,L70/$G70,0)</f>
        <v>0</v>
      </c>
      <c r="O96" s="193">
        <f>IF(O49=4,N49/G49,0)+IF(O50=4,N50/G50,0)+IF(O51=4,N51/G51,0)+IF(O52=4,N52/G52,0)+IF(O53=4,N53/G53,0)+IF(O54=4,N54/G54,0)+IF(O55=4,N55/G55,0)</f>
        <v>0</v>
      </c>
      <c r="P96" s="193">
        <f>IF(O64=4,N64/$G64,0)+IF(O65=4,N65/$G65,0)+IF(O66=4,N66/$G66,0)+IF(O68=4,N68/$G68,0)+IF(O69=4,N69/$G69,0)+IF(O70=4,N70/$G70,0)</f>
        <v>0</v>
      </c>
      <c r="Q96" s="193">
        <f>IF(Q49=4,P49/G49,0)+IF(Q50=4,P50/G50,0)+IF(Q51=4,P51/G51,0)+IF(Q52=4,P52/G52,0)+IF(Q53=4,P53/G53,0)+IF(Q54=4,P54/G54,0)+IF(Q55=4,P55/G55,0)</f>
        <v>0</v>
      </c>
      <c r="R96" s="193">
        <f>IF(Q64=4,P64/$G64,0)+IF(Q65=4,P65/$G65,0)+IF(Q66=4,P66/$G66,0)+IF(Q68=4,P68/$G68,0)+IF(Q69=4,P69/$G69,0)+IF(Q70=4,P70/$G70,0)</f>
        <v>0</v>
      </c>
      <c r="S96" s="193">
        <f>IF(S49=4,R49/G49,0)+IF(S50=4,R50/G50,0)+IF(S51=4,R51/G51,0)+IF(S52=4,R52/G52,0)+IF(S53=4,R53/G53,0)+IF(S54=4,R54/G54,0)+IF(S55=4,R55/G55,0)</f>
        <v>0</v>
      </c>
      <c r="T96" s="193">
        <f>IF(S64=4,R64/$G64,0)+IF(S65=4,R65/$G65,0)+IF(S66=4,R66/$G66,0)+IF(S68=4,R68/$G68,0)+IF(S69=4,R69/$G69,0)+IF(S70=4,R70/$G70,0)</f>
        <v>0</v>
      </c>
      <c r="U96" s="193">
        <f>IF(U49=4,T49/G49,0)+IF(U50=4,T50/G50,0)+IF(U51=4,T51/G51,0)+IF(U52=4,T52/G52,0)+IF(U53=4,T53/G53,0)+IF(U54=4,T54/G54,0)+IF(U55=4,T55/G55,0)</f>
        <v>0</v>
      </c>
      <c r="V96" s="193">
        <f>IF(U64=4,T64/$G64,0)+IF(U65=4,T65/$G65,0)+IF(U66=4,T66/$G66,0)+IF(U68=4,T68/$G68,0)+IF(U69=4,T69/$G69,0)+IF(U70=4,T70/$G70,0)</f>
        <v>0</v>
      </c>
      <c r="W96" s="193">
        <f>IF(W49=4,V49/G49,0)+IF(W50=4,V50/G50,0)+IF(W51=4,V51/G51,0)+IF(W52=4,V52/G52,0)+IF(W53=4,V53/G53,0)+IF(W54=4,V54/G54,0)+IF(W55=4,V55/G55,0)</f>
        <v>0</v>
      </c>
      <c r="X96" s="193">
        <f>IF(W64=4,V64/$G64,0)+IF(W65=4,V65/$G65,0)+IF(W66=4,V66/$G66,0)+IF(W68=4,V68/$G68,0)+IF(W69=4,V69/$G69,0)+IF(W70=4,V70/$G70,0)</f>
        <v>0</v>
      </c>
      <c r="Y96" s="193">
        <f>IF(Y49=4,X49/G49,0)+IF(Y50=4,X50/G50,0)+IF(Y51=4,X51/G51,0)+IF(Y52=4,X52/G52,0)+IF(Y53=4,X53/G53,0)+IF(Y54=4,X54/G54,0)+IF(Y55=4,X55/G55,0)</f>
        <v>0</v>
      </c>
      <c r="Z96" s="221">
        <f>IF(Y64=4,X64/$G64,0)+IF(Y65=4,X65/$G65,0)+IF(Y66=4,X66/$G66,0)+IF(Y68=4,X68/$G68,0)+IF(Y69=4,X69/$G69,0)+IF(Y70=4,X70/$G70,0)</f>
        <v>0</v>
      </c>
      <c r="AA96" s="189"/>
      <c r="AB96" s="190"/>
      <c r="AC96" s="178"/>
      <c r="AD96" s="178"/>
      <c r="AE96" s="178"/>
      <c r="AF96" s="178"/>
      <c r="AG96" s="139"/>
      <c r="AH96" s="139"/>
      <c r="AI96" s="139"/>
      <c r="AJ96" s="139"/>
    </row>
    <row r="97" spans="1:36" ht="15.75">
      <c r="A97" s="222" t="s">
        <v>493</v>
      </c>
      <c r="B97" s="178" t="s">
        <v>23</v>
      </c>
      <c r="C97" s="178"/>
      <c r="D97" s="374" t="str">
        <f>C33</f>
        <v>#4 tractor not used</v>
      </c>
      <c r="E97" s="388"/>
      <c r="F97" s="220"/>
      <c r="G97" s="220"/>
      <c r="H97" s="220"/>
      <c r="I97" s="193">
        <f>IF(I56=4,H56/G56,0)+IF(I57=4,H57/G57,0)+IF(I58=4,H58/G58,0)+IF(I59=4,H59/G59,0)+IF(I60=4,H60/G60,0)+IF(I61=4,H61/G61,0)+IF(I62=4,H62/G62,0)+I96+J96</f>
        <v>0</v>
      </c>
      <c r="J97" s="193" t="s">
        <v>4</v>
      </c>
      <c r="K97" s="193">
        <f>IF(K56=4,J56/G56,0)+IF(K57=4,J57/G57,0)+IF(K58=4,J58/G58,0)+IF(K59=4,J59/G59,0)+IF(K60=4,J60/G60,0)+IF(K61=4,J61/G61,0)+IF(K62=4,J62/G62,0)+K96+L96</f>
        <v>0</v>
      </c>
      <c r="L97" s="193" t="s">
        <v>4</v>
      </c>
      <c r="M97" s="193">
        <f>IF(M56=4,L56/G56,0)+IF(M57=4,L57/G57,0)+IF(M58=4,L58/G58,0)+IF(M59=4,L59/G59,0)+IF(M60=4,L60/G60,0)+IF(M61=4,L61/G61,0)+IF(M62=4,L62/G62,0)+M96+N96</f>
        <v>0</v>
      </c>
      <c r="N97" s="193" t="s">
        <v>4</v>
      </c>
      <c r="O97" s="193">
        <f>IF(O56=4,N56/G56,0)+IF(O57=4,N57/G57,0)+IF(O58=4,N58/G58,0)+IF(O59=4,N59/G59,0)+IF(O60=4,N60/G60,0)+IF(O61=4,N61/G61,0)+IF(O62=4,N62/G62,0)+O96+P96</f>
        <v>0</v>
      </c>
      <c r="P97" s="193" t="s">
        <v>4</v>
      </c>
      <c r="Q97" s="193">
        <f>IF(Q56=4,P56/G56,0)+IF(Q57=4,P57/G57,0)+IF(Q58=4,P58/G58,0)+IF(Q59=4,P59/G59,0)+IF(Q60=4,P60/G60,0)+IF(Q61=4,P61/G61,0)+IF(Q62=4,P62/G62,0)+Q96+R96</f>
        <v>0</v>
      </c>
      <c r="R97" s="193" t="s">
        <v>4</v>
      </c>
      <c r="S97" s="193">
        <f>IF(S56=4,R56/G56,0)+IF(S57=4,R57/G57,0)+IF(S58=4,R58/G58,0)+IF(S59=4,R59/G59,0)+IF(S60=4,R60/G60,0)+IF(S61=4,R61/G61,0)+IF(S62=4,R62/G62,0)+S96+T96</f>
        <v>0</v>
      </c>
      <c r="T97" s="193" t="s">
        <v>4</v>
      </c>
      <c r="U97" s="193">
        <f>IF(U56=4,T56/G56,0)+IF(U57=4,T57/G57,0)+IF(U58=4,T58/G58,0)+IF(U59=4,T59/G59,0)+IF(U60=4,T60/G60,0)+IF(U61=4,T61/G61,0)+IF(U62=4,T62/G62,0)+U96+V96</f>
        <v>0</v>
      </c>
      <c r="V97" s="193" t="s">
        <v>4</v>
      </c>
      <c r="W97" s="193">
        <f>IF(W56=4,V56/G56,0)+IF(W57=4,V57/G57,0)+IF(W58=4,V58/G58,0)+IF(W59=4,V59/G59,0)+IF(W60=4,V60/G60,0)+IF(W61=4,V61/G61,0)+IF(W62=4,V62/G62,0)+W96+X96</f>
        <v>0</v>
      </c>
      <c r="X97" s="193" t="s">
        <v>4</v>
      </c>
      <c r="Y97" s="193">
        <f>IF(Y56=4,X56/G56,0)+IF(Y57=4,X57/G57,0)+IF(Y58=4,X58/G58,0)+IF(Y59=4,X59/G59,0)+IF(Y60=4,X60/G60,0)+IF(Y61=4,X61/G61,0)+IF(Y62=4,X62/G62,0)+Y96+Z96</f>
        <v>0</v>
      </c>
      <c r="Z97" s="188"/>
      <c r="AA97" s="189">
        <f>SUM(I97:Y97)</f>
        <v>0</v>
      </c>
      <c r="AB97" s="190"/>
      <c r="AC97" s="178"/>
      <c r="AD97" s="178"/>
      <c r="AE97" s="178"/>
      <c r="AF97" s="178"/>
      <c r="AG97" s="139"/>
      <c r="AH97" s="139"/>
      <c r="AI97" s="139"/>
      <c r="AJ97" s="139"/>
    </row>
    <row r="98" spans="1:36" ht="15.75">
      <c r="A98" s="222" t="s">
        <v>494</v>
      </c>
      <c r="B98" s="178"/>
      <c r="C98" s="178"/>
      <c r="D98" s="389"/>
      <c r="E98" s="389"/>
      <c r="F98" s="220"/>
      <c r="G98" s="220"/>
      <c r="H98" s="220"/>
      <c r="I98" s="193">
        <f>IF(I49=5,H49/G49,0)+IF(I50=5,H50/G50,0)+IF(I51=5,H51/G51,0)+IF(I52=5,H52/G52,0)+IF(I53=5,H53/G53,0)+IF(I54=5,H54/G54,0)+IF(I55=5,H55/G55,0)</f>
        <v>0</v>
      </c>
      <c r="J98" s="193">
        <f>IF(I64=5,H64/$G64,0)+IF(I65=5,H65/$G65,0)+IF(I66=5,H66/$G66,0)+IF(I68=5,H68/$G68,0)+IF(I69=5,H69/$G69,0)+IF(I70=5,H70/$G70,0)</f>
        <v>0</v>
      </c>
      <c r="K98" s="193">
        <f>IF(K49=5,J49/G49,0)+IF(K50=5,J50/G50,0)+IF(K51=5,J51/G51,0)+IF(K52=5,J52/G52,0)+IF(K53=5,J53/G53,0)+IF(K54=5,J54/G54,0)+IF(K55=5,J55/G55,0)</f>
        <v>0</v>
      </c>
      <c r="L98" s="193">
        <f>IF(K64=5,J64/$G64,0)+IF(K65=5,J65/$G65,0)+IF(K66=5,J66/$G66,0)+IF(K68=5,J68/$G68,0)+IF(K69=5,J69/$G69,0)+IF(K70=5,J70/$G70,0)</f>
        <v>0</v>
      </c>
      <c r="M98" s="193">
        <f>IF(M49=5,L49/G49,0)+IF(M50=5,L50/G50,0)+IF(M51=5,L51/G51,0)+IF(M52=5,L52/G52,0)+IF(M53=5,L53/G53,0)+IF(M54=5,L54/G54,0)+IF(M55=5,L55/G55,0)</f>
        <v>0</v>
      </c>
      <c r="N98" s="193">
        <f>IF(M64=5,L64/$G64,0)+IF(M65=5,L65/$G65,0)+IF(M66=5,L66/$G66,0)+IF(M68=5,L68/$G68,0)+IF(M69=5,L69/$G69,0)+IF(M70=5,L70/$G70,0)</f>
        <v>0</v>
      </c>
      <c r="O98" s="193">
        <f>IF(O49=5,N49/G49,0)+IF(O50=5,N50/G50,0)+IF(O51=5,N51/G51,0)+IF(O52=5,N52/G52,0)+IF(O53=5,N53/G53,0)+IF(O54=5,N54/G54,0)+IF(O55=5,N55/G55,0)</f>
        <v>0</v>
      </c>
      <c r="P98" s="193">
        <f>IF(O64=5,N64/$G64,0)+IF(O65=5,N65/$G65,0)+IF(O66=5,N66/$G66,0)+IF(O68=5,N68/$G68,0)+IF(O69=5,N69/$G69,0)+IF(O70=5,N70/$G70,0)</f>
        <v>0</v>
      </c>
      <c r="Q98" s="193">
        <f>IF(Q49=5,P49/G49,0)+IF(Q50=5,P50/G50,0)+IF(Q51=5,P51/G51,0)+IF(Q52=5,P52/G52,0)+IF(Q53=5,P53/G53,0)+IF(Q54=5,P54/G54,0)+IF(Q55=5,P55/G55,0)</f>
        <v>0</v>
      </c>
      <c r="R98" s="193">
        <f>IF(Q64=5,P64/$G64,0)+IF(Q65=5,P65/$G65,0)+IF(Q66=5,P66/$G66,0)+IF(Q68=5,P68/$G68,0)+IF(Q69=5,P69/$G69,0)+IF(Q70=5,P70/$G70,0)</f>
        <v>0</v>
      </c>
      <c r="S98" s="193">
        <f>IF(S49=5,R49/G49,0)+IF(S50=5,R50/G50,0)+IF(S51=5,R51/G51,0)+IF(S52=5,R52/G52,0)+IF(S53=5,R53/G53,0)+IF(S54=5,R54/G54,0)+IF(S55=5,R55/G55,0)</f>
        <v>0</v>
      </c>
      <c r="T98" s="193">
        <f>IF(S64=5,R64/$G64,0)+IF(S65=5,R65/$G65,0)+IF(S66=5,R66/$G66,0)+IF(S68=5,R68/$G68,0)+IF(S69=5,R69/$G69,0)+IF(S70=5,R70/$G70,0)</f>
        <v>0</v>
      </c>
      <c r="U98" s="193">
        <f>IF(U49=5,T49/G49,0)+IF(U50=5,T50/G50,0)+IF(U51=5,T51/G51,0)+IF(U52=5,T52/G52,0)+IF(U53=5,T53/G53,0)+IF(U54=5,T54/G54,0)+IF(U55=5,T55/G55,0)</f>
        <v>0</v>
      </c>
      <c r="V98" s="193">
        <f>IF(U64=5,T64/$G64,0)+IF(U65=5,T65/$G65,0)+IF(U66=5,T66/$G66,0)+IF(U68=5,T68/$G68,0)+IF(U69=5,T69/$G69,0)+IF(U70=5,T70/$G70,0)</f>
        <v>0</v>
      </c>
      <c r="W98" s="193">
        <f>IF(W49=5,V49/G49,0)+IF(W50=5,V50/G50,0)+IF(W51=5,V51/G51,0)+IF(W52=5,V52/G52,0)+IF(W53=5,V53/G53,0)+IF(W54=5,V54/G54,0)+IF(W55=5,V55/G55,0)</f>
        <v>0</v>
      </c>
      <c r="X98" s="193">
        <f>IF(W64=5,V64/$G64,0)+IF(W65=5,V65/$G65,0)+IF(W66=5,V66/$G66,0)+IF(W68=5,V68/$G68,0)+IF(W69=5,V69/$G69,0)+IF(W70=5,V70/$G70,0)</f>
        <v>0</v>
      </c>
      <c r="Y98" s="193">
        <f>IF(Y49=5,X49/G49,0)+IF(Y50=5,X50/G50,0)+IF(Y51=5,X51/G51,0)+IF(Y52=5,X52/G52,0)+IF(Y53=5,X53/G53,0)+IF(Y54=5,X54/G54,0)+IF(Y55=5,X55/G55,0)</f>
        <v>0</v>
      </c>
      <c r="Z98" s="221">
        <f>IF(Y64=5,X64/$G64,0)+IF(Y65=5,X65/$G65,0)+IF(Y66=5,X66/$G66,0)+IF(Y68=5,X68/$G68,0)+IF(Y69=5,X69/$G69,0)+IF(Y70=5,X70/$G70,0)</f>
        <v>0</v>
      </c>
      <c r="AA98" s="189"/>
      <c r="AB98" s="190"/>
      <c r="AC98" s="178"/>
      <c r="AD98" s="178"/>
      <c r="AE98" s="178"/>
      <c r="AF98" s="178"/>
      <c r="AG98" s="139"/>
      <c r="AH98" s="139"/>
      <c r="AI98" s="139"/>
      <c r="AJ98" s="139"/>
    </row>
    <row r="99" spans="1:36" ht="15">
      <c r="A99" s="139"/>
      <c r="B99" s="178" t="s">
        <v>24</v>
      </c>
      <c r="C99" s="178"/>
      <c r="D99" s="374" t="str">
        <f>C34</f>
        <v>#5 tractor not used</v>
      </c>
      <c r="E99" s="388"/>
      <c r="F99" s="220"/>
      <c r="G99" s="220"/>
      <c r="H99" s="220"/>
      <c r="I99" s="193">
        <f>IF(I56=5,H56/G56,0)+IF(I57=5,H57/G57,0)+IF(I58=5,H58/G58,0)+IF(I59=5,H59/G59,0)+IF(I60=5,H60/G60,0)+IF(I61=5,H61/G61,0)+IF(I62=5,H62/G62,0)+I98+J98</f>
        <v>0</v>
      </c>
      <c r="J99" s="193" t="s">
        <v>4</v>
      </c>
      <c r="K99" s="193">
        <f>IF(K56=5,J56/G56,0)+IF(K57=5,J57/G57,0)+IF(K58=5,J58/G58,0)+IF(K59=5,J59/G59,0)+IF(K60=5,J60/G60,0)+IF(K61=5,J61/G61,0)+IF(K62=5,J62/G62,0)+K98+L98</f>
        <v>0</v>
      </c>
      <c r="L99" s="193" t="s">
        <v>4</v>
      </c>
      <c r="M99" s="193">
        <f>IF(M56=5,L56/G56,0)+IF(M57=5,L57/G57,0)+IF(M58=5,L58/G58,0)+IF(M59=5,L59/G59,0)+IF(M60=5,L60/G60,0)+IF(M61=5,L61/G61,0)+IF(M62=5,L62/G62,0)+M98+N98</f>
        <v>0</v>
      </c>
      <c r="N99" s="193" t="s">
        <v>4</v>
      </c>
      <c r="O99" s="193">
        <f>IF(O56=5,N56/G56,0)+IF(O57=5,N57/G57,0)+IF(O58=5,N58/G58,0)+IF(O59=5,N59/G59,0)+IF(O60=5,N60/G60,0)+IF(O61=5,N61/G61,0)+IF(O62=5,N62/G62,0)+O98+P98</f>
        <v>0</v>
      </c>
      <c r="P99" s="193" t="s">
        <v>4</v>
      </c>
      <c r="Q99" s="193">
        <f>IF(Q56=5,P56/G56,0)+IF(Q57=5,P57/G57,0)+IF(Q58=5,P58/G58,0)+IF(Q59=5,P59/G59,0)+IF(Q60=5,P60/G60,0)+IF(Q61=5,P61/G61,0)+IF(Q62=5,P62/G62,0)+Q98+R98</f>
        <v>0</v>
      </c>
      <c r="R99" s="193" t="s">
        <v>4</v>
      </c>
      <c r="S99" s="193">
        <f>IF(S56=5,R56/G56,0)+IF(S57=5,R57/G57,0)+IF(S58=5,R58/G58,0)+IF(S59=5,R59/G59,0)+IF(S60=5,R60/G60,0)+IF(S61=5,R61/G61,0)+IF(S62=5,R62/G62,0)+S98+T98</f>
        <v>0</v>
      </c>
      <c r="T99" s="193" t="s">
        <v>4</v>
      </c>
      <c r="U99" s="193">
        <f>IF(U56=5,T56/G56,0)+IF(U57=5,T57/G57,0)+IF(U58=5,T58/G58,0)+IF(U59=5,T59/G59,0)+IF(U60=5,T60/G60,0)+IF(U61=5,T61/G61,0)+IF(U62=5,T62/G62,0)+U98+V98</f>
        <v>0</v>
      </c>
      <c r="V99" s="193" t="s">
        <v>4</v>
      </c>
      <c r="W99" s="193">
        <f>IF(W56=5,V56/G56,0)+IF(W57=5,V57/G57,0)+IF(W58=5,V58/G58,0)+IF(W59=5,V59/G59,0)+IF(W60=5,V60/G60,0)+IF(W61=5,V61/G61,0)+IF(W62=5,V62/G62,0)+W98+X98</f>
        <v>0</v>
      </c>
      <c r="X99" s="193" t="s">
        <v>4</v>
      </c>
      <c r="Y99" s="193">
        <f>IF(Y56=5,X56/G56,0)+IF(Y57=5,X57/G57,0)+IF(Y58=5,X58/G58,0)+IF(Y59=5,X59/G59,0)+IF(Y60=5,X60/G60,0)+IF(Y61=5,X61/G61,0)+IF(Y62=5,X62/G62,0)+Y98+Z98</f>
        <v>0</v>
      </c>
      <c r="Z99" s="188"/>
      <c r="AA99" s="189">
        <f>SUM(I99:Y99)</f>
        <v>0</v>
      </c>
      <c r="AB99" s="190"/>
      <c r="AC99" s="178"/>
      <c r="AD99" s="178"/>
      <c r="AE99" s="178"/>
      <c r="AF99" s="178"/>
      <c r="AG99" s="139"/>
      <c r="AH99" s="139"/>
      <c r="AI99" s="139"/>
      <c r="AJ99" s="139"/>
    </row>
    <row r="100" spans="1:36" ht="15">
      <c r="A100" s="139"/>
      <c r="B100" s="178"/>
      <c r="C100" s="178"/>
      <c r="D100" s="373"/>
      <c r="E100" s="373"/>
      <c r="F100" s="220"/>
      <c r="G100" s="220"/>
      <c r="H100" s="220"/>
      <c r="I100" s="193">
        <f>IF(I49=6,H49/G49,0)+IF(I50=6,H50/G50,0)+IF(I51=6,H51/G51,0)+IF(I52=6,H52/G52,0)+IF(I53=6,H53/G53,0)+IF(I54=6,H54/G54,0)+IF(I55=6,H55/G55,0)</f>
        <v>0</v>
      </c>
      <c r="J100" s="193">
        <f>IF(I64=6,H64/$G64,0)+IF(I65=6,H65/$G65,0)+IF(I66=6,H66/$G66,0)+IF(I68=6,H68/$G68,0)+IF(I69=6,H69/$G69,0)+IF(I70=6,H70/$G70,0)</f>
        <v>0</v>
      </c>
      <c r="K100" s="193">
        <f>IF(K49=6,J49/G49,0)+IF(K50=6,J50/G50,0)+IF(K51=6,J51/G51,0)+IF(K52=6,J52/G52,0)+IF(K53=6,J53/G53,0)+IF(K54=6,J54/G54,0)+IF(K55=6,J55/G55,0)</f>
        <v>0</v>
      </c>
      <c r="L100" s="193">
        <f>IF(K64=6,J64/$G64,0)+IF(K65=6,J65/$G65,0)+IF(K66=6,J66/$G66,0)+IF(K68=6,J68/$G68,0)+IF(K69=6,J69/$G69,0)+IF(K70=6,J70/$G70,0)</f>
        <v>0</v>
      </c>
      <c r="M100" s="193">
        <f>IF(M49=6,L49/G49,0)+IF(M50=6,L50/G50,0)+IF(M51=6,L51/G51,0)+IF(M52=6,L52/G52,0)+IF(M53=6,L53/G53,0)+IF(M54=6,L54/G54,0)+IF(M55=6,L55/G55,0)</f>
        <v>0</v>
      </c>
      <c r="N100" s="193">
        <f>IF(M64=6,L64/$G64,0)+IF(M65=6,L65/$G65,0)+IF(M66=6,L66/$G66,0)+IF(M68=6,L68/$G68,0)+IF(M69=6,L69/$G69,0)+IF(M70=6,L70/$G70,0)</f>
        <v>0</v>
      </c>
      <c r="O100" s="193">
        <f>IF(O49=6,N49/G49,0)+IF(O50=6,N50/G50,0)+IF(O51=6,N51/G51,0)+IF(O52=6,N52/G52,0)+IF(O53=6,N53/G53,0)+IF(O54=6,N54/G54,0)+IF(O55=6,N55/G55,0)</f>
        <v>0</v>
      </c>
      <c r="P100" s="193">
        <f>IF(O64=6,N64/$G64,0)+IF(O65=6,N65/$G65,0)+IF(O66=6,N66/$G66,0)+IF(O68=6,N68/$G68,0)+IF(O69=6,N69/$G69,0)+IF(O70=6,N70/$G70,0)</f>
        <v>0</v>
      </c>
      <c r="Q100" s="193">
        <f>IF(Q49=6,P49/G49,0)+IF(Q50=6,P50/G50,0)+IF(Q51=6,P51/G51,0)+IF(Q52=6,P52/G52,0)+IF(Q53=6,P53/G53,0)+IF(Q54=6,P54/G54,0)+IF(Q55=6,P55/G55,0)</f>
        <v>0</v>
      </c>
      <c r="R100" s="193">
        <f>IF(Q64=6,P64/$G64,0)+IF(Q65=6,P65/$G65,0)+IF(Q66=6,P66/$G66,0)+IF(Q68=6,P68/$G68,0)+IF(Q69=6,P69/$G69,0)+IF(Q70=6,P70/$G70,0)</f>
        <v>0</v>
      </c>
      <c r="S100" s="193">
        <f>IF(S49=6,R49/G49,0)+IF(S50=6,R50/G50,0)+IF(S51=6,R51/G51,0)+IF(S52=6,R52/G52,0)+IF(S53=6,R53/G53,0)+IF(S54=6,R54/G54,0)+IF(S55=6,R55/G55,0)</f>
        <v>0</v>
      </c>
      <c r="T100" s="193">
        <f>IF(S64=6,R64/$G64,0)+IF(S65=6,R65/$G65,0)+IF(S66=6,R66/$G66,0)+IF(S68=6,R68/$G68,0)+IF(S69=6,R69/$G69,0)+IF(S70=6,R70/$G70,0)</f>
        <v>0</v>
      </c>
      <c r="U100" s="193">
        <f>IF(U49=6,T49/G49,0)+IF(U50=6,T50/G50,0)+IF(U51=6,T51/G51,0)+IF(U52=6,T52/G52,0)+IF(U53=6,T53/G53,0)+IF(U54=6,T54/G54,0)+IF(U55=6,T55/G55,0)</f>
        <v>0</v>
      </c>
      <c r="V100" s="193">
        <f>IF(U64=6,T64/$G64,0)+IF(U65=6,T65/$G65,0)+IF(U66=6,T66/$G66,0)+IF(U68=6,T68/$G68,0)+IF(U69=6,T69/$G69,0)+IF(U70=6,T70/$G70,0)</f>
        <v>0</v>
      </c>
      <c r="W100" s="193">
        <f>IF(W49=6,V49/G49,0)+IF(W50=6,V50/G50,0)+IF(W51=6,V51/G51,0)+IF(W52=6,V52/G52,0)+IF(W53=6,V53/G53,0)+IF(W54=6,V54/G54,0)+IF(W55=6,V55/G55,0)</f>
        <v>0</v>
      </c>
      <c r="X100" s="193">
        <f>IF(W64=6,V64/$G64,0)+IF(W65=6,V65/$G65,0)+IF(W66=6,V66/$G66,0)+IF(W68=6,V68/$G68,0)+IF(W69=6,V69/$G69,0)+IF(W70=6,V70/$G70,0)</f>
        <v>0</v>
      </c>
      <c r="Y100" s="193">
        <f>IF(Y49=6,X49/G49,0)+IF(Y50=6,X50/G50,0)+IF(Y51=6,X51/G51,0)+IF(Y52=6,X52/G52,0)+IF(Y53=6,X53/G53,0)+IF(Y54=6,X54/G54,0)+IF(Y55=6,X55/G55,0)</f>
        <v>0</v>
      </c>
      <c r="Z100" s="221">
        <f>IF(Y64=6,X64/$G64,0)+IF(Y65=6,X65/$G65,0)+IF(Y66=6,X66/$G66,0)+IF(Y68=6,X68/$G68,0)+IF(Y69=6,X69/$G69,0)+IF(Y70=6,X70/$G70,0)</f>
        <v>0</v>
      </c>
      <c r="AA100" s="189"/>
      <c r="AB100" s="190"/>
      <c r="AC100" s="178"/>
      <c r="AD100" s="178"/>
      <c r="AE100" s="178"/>
      <c r="AF100" s="178"/>
      <c r="AG100" s="139"/>
      <c r="AH100" s="139"/>
      <c r="AI100" s="139"/>
      <c r="AJ100" s="139"/>
    </row>
    <row r="101" spans="1:36" ht="15">
      <c r="A101" s="139"/>
      <c r="B101" s="178" t="s">
        <v>25</v>
      </c>
      <c r="C101" s="178"/>
      <c r="D101" s="374" t="str">
        <f>C35</f>
        <v>#6 tractor not used</v>
      </c>
      <c r="E101" s="388"/>
      <c r="F101" s="220"/>
      <c r="G101" s="220"/>
      <c r="H101" s="220"/>
      <c r="I101" s="193">
        <f>IF(I56=6,H56/G56,0)+IF(I57=6,H57/G57,0)+IF(I58=6,H58/G58,0)+IF(I59=6,H59/G59,0)+IF(I60=6,H60/G60,0)+IF(I61=6,H61/G61,0)+IF(I62=6,H62/G62,0)+I100+J100</f>
        <v>0</v>
      </c>
      <c r="J101" s="193" t="s">
        <v>4</v>
      </c>
      <c r="K101" s="193">
        <f>IF(K56=6,J56/G56,0)+IF(K57=6,J57/G57,0)+IF(K58=6,J58/G58,0)+IF(K59=6,J59/G59,0)+IF(K60=6,J60/G60,0)+IF(K61=6,J61/G61,0)+IF(K62=6,J62/G62,0)+K100+L100</f>
        <v>0</v>
      </c>
      <c r="L101" s="193" t="s">
        <v>4</v>
      </c>
      <c r="M101" s="193">
        <f>IF(M56=6,L56/G56,0)+IF(M57=6,L57/G57,0)+IF(M58=6,L58/G58,0)+IF(M59=6,L59/G59,0)+IF(M60=6,L60/G60,0)+IF(M61=6,L61/G61,0)+IF(M62=6,L62/G62,0)+M100+N100</f>
        <v>0</v>
      </c>
      <c r="N101" s="193" t="s">
        <v>4</v>
      </c>
      <c r="O101" s="193">
        <f>IF(O56=6,N56/G56,0)+IF(O57=6,N57/G57,0)+IF(O58=6,N58/G58,0)+IF(O59=6,N59/G59,0)+IF(O60=6,N60/G60,0)+IF(O61=6,N61/G61,0)+IF(O62=6,N62/G62,0)+O100+P100</f>
        <v>0</v>
      </c>
      <c r="P101" s="193" t="s">
        <v>4</v>
      </c>
      <c r="Q101" s="193">
        <f>IF(Q56=6,P56/G56,0)+IF(Q57=6,P57/G57,0)+IF(Q58=6,P58/G58,0)+IF(Q59=6,P59/G59,0)+IF(Q60=6,P60/G60,0)+IF(Q61=6,P61/G61,0)+IF(Q62=6,P62/G62,0)+Q100+R100</f>
        <v>0</v>
      </c>
      <c r="R101" s="193" t="s">
        <v>4</v>
      </c>
      <c r="S101" s="193">
        <f>IF(S56=6,R56/G56,0)+IF(S57=6,R57/G57,0)+IF(S58=6,R58/G58,0)+IF(S59=6,R59/G59,0)+IF(S60=6,R60/G60,0)+IF(S61=6,R61/G61,0)+IF(S62=6,R62/G62,0)+S100+T100</f>
        <v>0</v>
      </c>
      <c r="T101" s="193" t="s">
        <v>4</v>
      </c>
      <c r="U101" s="193">
        <f>IF(U56=6,T56/G56,0)+IF(U57=6,T57/G57,0)+IF(U58=6,T58/G58,0)+IF(U59=6,T59/G59,0)+IF(U60=6,T60/G60,0)+IF(U61=6,T61/G61,0)+IF(U62=6,T62/G62,0)+U100+V100</f>
        <v>0</v>
      </c>
      <c r="V101" s="193" t="s">
        <v>4</v>
      </c>
      <c r="W101" s="193">
        <f>IF(W56=6,V56/G56,0)+IF(W57=6,V57/G57,0)+IF(W58=6,V58/G58,0)+IF(W59=6,V59/G59,0)+IF(W60=6,V60/G60,0)+IF(W61=6,V61/G61,0)+IF(W62=6,V62/G62,0)+W100+X100</f>
        <v>0</v>
      </c>
      <c r="X101" s="193" t="s">
        <v>4</v>
      </c>
      <c r="Y101" s="193">
        <f>IF(Y56=6,X56/G56,0)+IF(Y57=6,X57/G57,0)+IF(Y58=6,X58/G58,0)+IF(Y59=6,X59/G59,0)+IF(Y60=6,X60/G60,0)+IF(Y61=6,X61/G61,0)+IF(Y62=6,X62/G62,0)+Y100+Z100</f>
        <v>0</v>
      </c>
      <c r="Z101" s="188"/>
      <c r="AA101" s="189">
        <f>SUM(I101:Y101)</f>
        <v>0</v>
      </c>
      <c r="AB101" s="190"/>
      <c r="AC101" s="178"/>
      <c r="AD101" s="178"/>
      <c r="AE101" s="178"/>
      <c r="AF101" s="178"/>
      <c r="AG101" s="139"/>
      <c r="AH101" s="139"/>
      <c r="AI101" s="139"/>
      <c r="AJ101" s="139"/>
    </row>
    <row r="102" spans="1:36" ht="15.75" thickBot="1">
      <c r="A102" s="139"/>
      <c r="B102" s="178"/>
      <c r="C102" s="178"/>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208" t="s">
        <v>4</v>
      </c>
      <c r="AC102" s="178"/>
      <c r="AD102" s="178"/>
      <c r="AE102" s="178"/>
      <c r="AF102" s="178"/>
      <c r="AG102" s="139"/>
      <c r="AH102" s="139"/>
      <c r="AI102" s="139"/>
      <c r="AJ102" s="139"/>
    </row>
    <row r="103" spans="1:36" ht="15.75" thickTop="1">
      <c r="A103" s="139"/>
      <c r="B103" s="178"/>
      <c r="C103" s="178"/>
      <c r="D103" s="182"/>
      <c r="E103" s="182"/>
      <c r="F103" s="182"/>
      <c r="G103" s="182"/>
      <c r="H103" s="416" t="str">
        <f>H39</f>
        <v>WW on Fallow</v>
      </c>
      <c r="I103" s="223" t="s">
        <v>4</v>
      </c>
      <c r="J103" s="412" t="str">
        <f>J39</f>
        <v>SW on Fallow</v>
      </c>
      <c r="K103" s="223" t="s">
        <v>4</v>
      </c>
      <c r="L103" s="412" t="str">
        <f>L39</f>
        <v>WW on Recrop</v>
      </c>
      <c r="M103" s="223" t="s">
        <v>4</v>
      </c>
      <c r="N103" s="412" t="str">
        <f>N39</f>
        <v>Barley on Recrop</v>
      </c>
      <c r="O103" s="223" t="s">
        <v>4</v>
      </c>
      <c r="P103" s="412" t="str">
        <f>P39</f>
        <v>Summer Fallow</v>
      </c>
      <c r="Q103" s="223" t="s">
        <v>4</v>
      </c>
      <c r="R103" s="412" t="str">
        <f>R39</f>
        <v>Not Used</v>
      </c>
      <c r="S103" s="223" t="s">
        <v>4</v>
      </c>
      <c r="T103" s="412" t="str">
        <f>T39</f>
        <v>Not Used</v>
      </c>
      <c r="U103" s="223" t="s">
        <v>4</v>
      </c>
      <c r="V103" s="412" t="str">
        <f>V39</f>
        <v>Not Used</v>
      </c>
      <c r="W103" s="223" t="s">
        <v>4</v>
      </c>
      <c r="X103" s="414" t="str">
        <f>X39</f>
        <v>Not Used</v>
      </c>
      <c r="Y103" s="182"/>
      <c r="Z103" s="182"/>
      <c r="AA103" s="182"/>
      <c r="AB103" s="178"/>
      <c r="AC103" s="178"/>
      <c r="AD103" s="178"/>
      <c r="AE103" s="178"/>
      <c r="AF103" s="178"/>
      <c r="AG103" s="139"/>
      <c r="AH103" s="139"/>
      <c r="AI103" s="139"/>
      <c r="AJ103" s="139"/>
    </row>
    <row r="104" spans="1:36" ht="15.75" thickBot="1">
      <c r="A104" s="139"/>
      <c r="B104" s="178"/>
      <c r="C104" s="178"/>
      <c r="D104" s="182"/>
      <c r="E104" s="182"/>
      <c r="F104" s="182"/>
      <c r="G104" s="182"/>
      <c r="H104" s="417"/>
      <c r="I104" s="224" t="s">
        <v>4</v>
      </c>
      <c r="J104" s="413"/>
      <c r="K104" s="224" t="s">
        <v>4</v>
      </c>
      <c r="L104" s="413"/>
      <c r="M104" s="224" t="s">
        <v>4</v>
      </c>
      <c r="N104" s="413"/>
      <c r="O104" s="224" t="s">
        <v>4</v>
      </c>
      <c r="P104" s="413"/>
      <c r="Q104" s="224" t="s">
        <v>4</v>
      </c>
      <c r="R104" s="413"/>
      <c r="S104" s="224" t="s">
        <v>4</v>
      </c>
      <c r="T104" s="413"/>
      <c r="U104" s="224" t="s">
        <v>4</v>
      </c>
      <c r="V104" s="413"/>
      <c r="W104" s="224" t="s">
        <v>4</v>
      </c>
      <c r="X104" s="415"/>
      <c r="Y104" s="182"/>
      <c r="Z104" s="182"/>
      <c r="AA104" s="182"/>
      <c r="AB104" s="190"/>
      <c r="AC104" s="178"/>
      <c r="AD104" s="178"/>
      <c r="AE104" s="178"/>
      <c r="AF104" s="178"/>
      <c r="AG104" s="139"/>
      <c r="AH104" s="139"/>
      <c r="AI104" s="139"/>
      <c r="AJ104" s="139"/>
    </row>
    <row r="105" spans="1:36" ht="17.25" thickBot="1" thickTop="1">
      <c r="A105" s="151" t="s">
        <v>413</v>
      </c>
      <c r="B105" s="178" t="s">
        <v>312</v>
      </c>
      <c r="C105" s="178"/>
      <c r="D105" s="220"/>
      <c r="E105" s="220"/>
      <c r="F105" s="220"/>
      <c r="G105" s="220"/>
      <c r="H105" s="182" t="s">
        <v>5</v>
      </c>
      <c r="I105" s="182" t="s">
        <v>4</v>
      </c>
      <c r="J105" s="182" t="s">
        <v>5</v>
      </c>
      <c r="K105" s="182" t="s">
        <v>4</v>
      </c>
      <c r="L105" s="182" t="s">
        <v>5</v>
      </c>
      <c r="M105" s="182" t="s">
        <v>4</v>
      </c>
      <c r="N105" s="182" t="s">
        <v>5</v>
      </c>
      <c r="O105" s="182" t="s">
        <v>4</v>
      </c>
      <c r="P105" s="182" t="s">
        <v>5</v>
      </c>
      <c r="Q105" s="182" t="s">
        <v>4</v>
      </c>
      <c r="R105" s="182" t="s">
        <v>5</v>
      </c>
      <c r="S105" s="182" t="s">
        <v>4</v>
      </c>
      <c r="T105" s="182" t="s">
        <v>5</v>
      </c>
      <c r="U105" s="182" t="s">
        <v>4</v>
      </c>
      <c r="V105" s="182" t="s">
        <v>5</v>
      </c>
      <c r="W105" s="182" t="s">
        <v>4</v>
      </c>
      <c r="X105" s="182" t="s">
        <v>5</v>
      </c>
      <c r="Y105" s="182"/>
      <c r="Z105" s="225" t="s">
        <v>280</v>
      </c>
      <c r="AA105" s="225" t="s">
        <v>278</v>
      </c>
      <c r="AB105" s="190"/>
      <c r="AC105" s="178"/>
      <c r="AD105" s="178"/>
      <c r="AE105" s="178"/>
      <c r="AF105" s="178"/>
      <c r="AG105" s="139"/>
      <c r="AH105" s="139"/>
      <c r="AI105" s="139"/>
      <c r="AJ105" s="139"/>
    </row>
    <row r="106" spans="1:36" ht="15.75" thickTop="1">
      <c r="A106" s="139"/>
      <c r="B106" s="402" t="str">
        <f>D91</f>
        <v>3/4 ton Chevy Pickup</v>
      </c>
      <c r="C106" s="403"/>
      <c r="D106" s="220"/>
      <c r="E106" s="220"/>
      <c r="F106" s="220"/>
      <c r="G106" s="220"/>
      <c r="H106" s="218">
        <f>IF(I49=1,H49,0)+IF(I50=1,H50,0)+IF(I51=1,H51,0)+IF(I52=1,H52,0)+IF(I53=1,H53,0)+IF(I54=1,H54,0)+IF(I55=1,H55,0)+IF(I56=1,H56,0)+IF(I57=1,H57,0)+IF(I58=1,H58,0)+IF(I59=1,H59,0)+IF(I60=1,H60,0)+IF(I61=1,H61,0)+IF(I62=1,H62,0)+I106</f>
        <v>840</v>
      </c>
      <c r="I106" s="221">
        <f>IF(I$64=1,H$64,0)+IF(I$65=1,H$65,0)+IF(I$66=1,H$66,0)+IF(I$68=1,H$68,0)+IF(I$69=1,H$69,0)+IF(I$70=1,H$70,0)</f>
        <v>0</v>
      </c>
      <c r="J106" s="218">
        <f>IF(K49=1,J49,0)+IF(K50=1,J50,0)+IF(K51=1,J51,0)+IF(K52=1,J52,0)+IF(K53=1,J53,0)+IF(K54=1,J54,0)+IF(K55=1,J55,0)+IF(K56=1,J56,0)+IF(K57=1,J57,0)+IF(K58=1,J58,0)+IF(K59=1,J59,0)+IF(K60=1,J60,0)+IF(K61=1,J61,0)+IF(K62=1,J62,0)+K106</f>
        <v>1680</v>
      </c>
      <c r="K106" s="221">
        <f>IF(K$64=1,J$64,0)+IF(K$65=1,J$65,0)+IF(K$66=1,J$66,0)+IF(K$68=1,J$68,0)+IF(K$69=1,J$69,0)+IF(K$70=1,J$70,0)</f>
        <v>0</v>
      </c>
      <c r="L106" s="218">
        <f>IF(M49=1,L49,0)+IF(M50=1,L50,0)+IF(M51=1,L51,0)+IF(M52=1,L52,0)+IF(M53=1,L53,0)+IF(M54=1,L54,0)+IF(M55=1,L55,0)+IF(M56=1,L56,0)+IF(M57=1,L57,0)+IF(M58=1,L58,0)+IF(M59=1,L59,0)+IF(M60=1,L60,0)+IF(M61=1,L61,0)+IF(M62=1,L62,0)+M106</f>
        <v>360</v>
      </c>
      <c r="M106" s="221">
        <f>IF(M$64=1,L$64,0)+IF(M$65=1,L$65,0)+IF(M$66=1,L$66,0)+IF(M$68=1,L$68,0)+IF(M$69=1,L$69,0)+IF(M$70=1,L$70,0)</f>
        <v>0</v>
      </c>
      <c r="N106" s="218">
        <f>IF(O49=1,N49,0)+IF(O50=1,N50,0)+IF(O51=1,N51,0)+IF(O52=1,N52,0)+IF(O53=1,N53,0)+IF(O54=1,N54,0)+IF(O55=1,N55,0)+IF(O56=1,N56,0)+IF(O57=1,N57,0)+IF(O58=1,N58,0)+IF(O59=1,N59,0)+IF(O60=1,N60,0)+IF(O61=1,N61,0)+IF(O62=1,N62,0)+O106</f>
        <v>600</v>
      </c>
      <c r="O106" s="221">
        <f>IF(O$64=1,N$64,0)+IF(O$65=1,N$65,0)+IF(O$66=1,N$66,0)+IF(O$68=1,N$68,0)+IF(O$69=1,N$69,0)+IF(O$70=1,N$70,0)</f>
        <v>0</v>
      </c>
      <c r="P106" s="218">
        <f>IF(Q49=1,P49,0)+IF(Q50=1,P50,0)+IF(Q51=1,P51,0)+IF(Q52=1,P52,0)+IF(Q53=1,P53,0)+IF(Q54=1,P54,0)+IF(Q55=1,P55,0)+IF(Q56=1,P56,0)+IF(Q57=1,P57,0)+IF(Q58=1,P58,0)+IF(Q59=1,P59,0)+IF(Q60=1,P60,0)+IF(Q61=1,P61,0)+IF(Q62=1,P62,0)+Q106</f>
        <v>1260</v>
      </c>
      <c r="Q106" s="221">
        <f>IF(Q$64=1,P$64,0)+IF(Q$65=1,P$65,0)+IF(Q$66=1,P$66,0)+IF(Q$68=1,P$68,0)+IF(Q$69=1,P$69,0)+IF(Q$70=1,P$70,0)</f>
        <v>0</v>
      </c>
      <c r="R106" s="218">
        <f>IF(S49=1,R49,0)+IF(S50=1,R50,0)+IF(S51=1,R51,0)+IF(S52=1,R52,0)+IF(S53=1,R53,0)+IF(S54=1,R54,0)+IF(S55=1,R55,0)+IF(S56=1,R56,0)+IF(S57=1,R57,0)+IF(S58=1,R58,0)+IF(S59=1,R59,0)+IF(S60=1,R60,0)+IF(S61=1,R61,0)+IF(S62=1,R62,0)+S106</f>
        <v>0</v>
      </c>
      <c r="S106" s="221">
        <f>IF(S$64=1,R$64,0)+IF(S$65=1,R$65,0)+IF(S$66=1,R$66,0)+IF(S$68=1,R$68,0)+IF(S$69=1,R$69,0)+IF(S$70=1,R$70,0)</f>
        <v>0</v>
      </c>
      <c r="T106" s="218">
        <f>IF(U49=1,T49,0)+IF(U50=1,T50,0)+IF(U51=1,T51,0)+IF(U52=1,T52,0)+IF(U53=1,T53,0)+IF(U54=1,T54,0)+IF(U55=1,T55,0)+IF(U56=1,T56,0)+IF(U57=1,T57,0)+IF(U58=1,T58,0)+IF(U59=1,T59,0)+IF(U60=1,T60,0)+IF(U61=1,T61,0)+IF(U62=1,T62,0)+U106</f>
        <v>0</v>
      </c>
      <c r="U106" s="221">
        <f>IF(U$64=1,T$64,0)+IF(U$65=1,T$65,0)+IF(U$66=1,T$66,0)+IF(U$68=1,T$68,0)+IF(U$69=1,T$69,0)+IF(U$70=1,T$70,0)</f>
        <v>0</v>
      </c>
      <c r="V106" s="218">
        <f>IF(W49=1,V49,0)+IF(W50=1,V50,0)+IF(W51=1,V51,0)+IF(W52=1,V52,0)+IF(W53=1,V53,0)+IF(W54=1,V54,0)+IF(W55=1,V55,0)+IF(W56=1,V56,0)+IF(W57=1,V57,0)+IF(W58=1,V58,0)+IF(W59=1,V59,0)+IF(W60=1,V60,0)+IF(W61=1,V61,0)+IF(W62=1,V62,0)+W106</f>
        <v>0</v>
      </c>
      <c r="W106" s="221">
        <f>IF(W$64=1,V$64,0)+IF(W$65=1,V$65,0)+IF(W$66=1,V$66,0)+IF(W$68=1,V$68,0)+IF(W$69=1,V$69,0)+IF(W$70=1,V$70,0)</f>
        <v>0</v>
      </c>
      <c r="X106" s="218">
        <f>IF(Y49=1,X49,0)+IF(Y50=1,X50,0)+IF(Y51=1,X51,0)+IF(Y52=1,X52,0)+IF(Y53=1,X53,0)+IF(Y54=1,X54,0)+IF(Y55=1,X55,0)+IF(Y56=1,X56,0)+IF(Y57=1,X57,0)+IF(Y58=1,X58,0)+IF(Y59=1,X59,0)+IF(Y60=1,X60,0)+IF(Y61=1,X61,0)+IF(Y62=1,X62,0)+Y106</f>
        <v>0</v>
      </c>
      <c r="Y106" s="221">
        <f>IF(Y$64=1,X$64,0)+IF(Y$65=1,X$65,0)+IF(Y$66=1,X$66,0)+IF(Y$68=1,X$68,0)+IF(Y$69=1,X$69,0)+IF(Y$70=1,X$70,0)</f>
        <v>0</v>
      </c>
      <c r="Z106" s="298">
        <f aca="true" t="shared" si="6" ref="Z106:Z111">H106+J106+L106+N106+P106+R106+T106+V106+X106</f>
        <v>4740</v>
      </c>
      <c r="AA106" s="298">
        <f>AA91</f>
        <v>200.53846153846155</v>
      </c>
      <c r="AB106" s="190"/>
      <c r="AC106" s="178"/>
      <c r="AD106" s="178"/>
      <c r="AE106" s="178"/>
      <c r="AF106" s="178"/>
      <c r="AG106" s="139"/>
      <c r="AH106" s="139"/>
      <c r="AI106" s="139"/>
      <c r="AJ106" s="139"/>
    </row>
    <row r="107" spans="1:36" ht="15">
      <c r="A107" s="139"/>
      <c r="B107" s="396" t="str">
        <f>D93</f>
        <v>260 hp 4wd #11</v>
      </c>
      <c r="C107" s="397"/>
      <c r="D107" s="220"/>
      <c r="E107" s="220"/>
      <c r="F107" s="220"/>
      <c r="G107" s="220"/>
      <c r="H107" s="218">
        <f>IF(I49=2,H49,0)+IF(I50=2,H50,0)+IF(I51=2,H51,0)+IF(I52=2,H52,0)+IF(I53=2,H53,0)+IF(I54=2,H54,0)+IF(I55=2,H55,0)+IF(I56=2,H56,0)+IF(I57=2,H57,0)+IF(I58=2,H58,0)+IF(I59=2,H59,0)+IF(I60=2,H60,0)+IF(I61=2,H61,0)+IF(I62=2,H62,0)+I107</f>
        <v>420</v>
      </c>
      <c r="I107" s="221">
        <f>IF(I$64=2,H$64,0)+IF(I$65=2,H$65,0)+IF(I$66=2,H$66,0)+IF(I$68=2,H$68,0)+IF(I$69=2,H$69,0)+IF(I$70=2,H$70,0)</f>
        <v>0</v>
      </c>
      <c r="J107" s="218">
        <f>IF(K49=2,J49,0)+IF(K50=2,J50,0)+IF(K51=2,J51,0)+IF(K52=2,J52,0)+IF(K53=2,J53,0)+IF(K54=2,J54,0)+IF(K55=2,J55,0)+IF(K56=2,J56,0)+IF(K57=2,J57,0)+IF(K58=2,J58,0)+IF(K59=2,J59,0)+IF(K60=2,J60,0)+IF(K61=2,J61,0)+IF(K62=2,J62,0)+K107</f>
        <v>840</v>
      </c>
      <c r="K107" s="221">
        <f>IF(K$64=2,J$64,0)+IF(K$65=2,J$65,0)+IF(K$66=2,J$66,0)+IF(K$68=2,J$68,0)+IF(K$69=2,J$69,0)+IF(K$70=2,J$70,0)</f>
        <v>0</v>
      </c>
      <c r="L107" s="218">
        <f>IF(M49=2,L49,0)+IF(M50=2,L50,0)+IF(M51=2,L51,0)+IF(M52=2,L52,0)+IF(M53=2,L53,0)+IF(M54=2,L54,0)+IF(M55=2,L55,0)+IF(M56=2,L56,0)+IF(M57=2,L57,0)+IF(M58=2,L58,0)+IF(M59=2,L59,0)+IF(M60=2,L60,0)+IF(M61=2,L61,0)+IF(M62=2,L62,0)+M107</f>
        <v>180</v>
      </c>
      <c r="M107" s="221">
        <f>IF(M$64=2,L$64,0)+IF(M$65=2,L$65,0)+IF(M$66=2,L$66,0)+IF(M$68=2,L$68,0)+IF(M$69=2,L$69,0)+IF(M$70=2,L$70,0)</f>
        <v>0</v>
      </c>
      <c r="N107" s="218">
        <f>IF(O49=2,N49,0)+IF(O50=2,N50,0)+IF(O51=2,N51,0)+IF(O52=2,N52,0)+IF(O53=2,N53,0)+IF(O54=2,N54,0)+IF(O55=2,N55,0)+IF(O56=2,N56,0)+IF(O57=2,N57,0)+IF(O58=2,N58,0)+IF(O59=2,N59,0)+IF(O60=2,N60,0)+IF(O61=2,N61,0)+IF(O62=2,N62,0)+O107</f>
        <v>300</v>
      </c>
      <c r="O107" s="221">
        <f>IF(O$64=2,N$64,0)+IF(O$65=2,N$65,0)+IF(O$66=2,N$66,0)+IF(O$68=2,N$68,0)+IF(O$69=2,N$69,0)+IF(O$70=2,N$70,0)</f>
        <v>0</v>
      </c>
      <c r="P107" s="218">
        <f>IF(Q49=2,P49,0)+IF(Q50=2,P50,0)+IF(Q51=2,P51,0)+IF(Q52=2,P52,0)+IF(Q53=2,P53,0)+IF(Q54=2,P54,0)+IF(Q55=2,P55,0)+IF(Q56=2,P56,0)+IF(Q57=2,P57,0)+IF(Q58=2,P58,0)+IF(Q59=2,P59,0)+IF(Q60=2,P60,0)+IF(Q61=2,P61,0)+IF(Q62=2,P62,0)+Q107</f>
        <v>3780</v>
      </c>
      <c r="Q107" s="221">
        <f>IF(Q$64=2,P$64,0)+IF(Q$65=2,P$65,0)+IF(Q$66=2,P$66,0)+IF(Q$68=2,P$68,0)+IF(Q$69=2,P$69,0)+IF(Q$70=2,P$70,0)</f>
        <v>0</v>
      </c>
      <c r="R107" s="218">
        <f>IF(S49=2,R49,0)+IF(S50=2,R50,0)+IF(S51=2,R51,0)+IF(S52=2,R52,0)+IF(S53=2,R53,0)+IF(S54=2,R54,0)+IF(S55=2,R55,0)+IF(S56=2,R56,0)+IF(S57=2,R57,0)+IF(S58=2,R58,0)+IF(S59=2,R59,0)+IF(S60=2,R60,0)+IF(S61=2,R61,0)+IF(S62=2,R62,0)+S107</f>
        <v>0</v>
      </c>
      <c r="S107" s="221">
        <f>IF(S$64=2,R$64,0)+IF(S$65=2,R$65,0)+IF(S$66=2,R$66,0)+IF(S$68=2,R$68,0)+IF(S$69=2,R$69,0)+IF(S$70=2,R$70,0)</f>
        <v>0</v>
      </c>
      <c r="T107" s="218">
        <f>IF(U49=2,T49,0)+IF(U50=2,T50,0)+IF(U51=2,T51,0)+IF(U52=2,T52,0)+IF(U53=2,T53,0)+IF(U54=2,T54,0)+IF(U55=2,T55,0)+IF(U56=2,T56,0)+IF(U57=2,T57,0)+IF(U58=2,T58,0)+IF(U59=2,T59,0)+IF(U60=2,T60,0)+IF(U61=2,T61,0)+IF(U62=2,T62,0)+U107</f>
        <v>0</v>
      </c>
      <c r="U107" s="221">
        <f>IF(U$64=2,T$64,0)+IF(U$65=2,T$65,0)+IF(U$66=2,T$66,0)+IF(U$68=2,T$68,0)+IF(U$69=2,T$69,0)+IF(U$70=2,T$70,0)</f>
        <v>0</v>
      </c>
      <c r="V107" s="218">
        <f>IF(W49=2,V49,0)+IF(W50=2,V50,0)+IF(W51=2,V51,0)+IF(W52=2,V52,0)+IF(W53=2,V53,0)+IF(W54=2,V54,0)+IF(W55=2,V55,0)+IF(W56=2,V56,0)+IF(W57=2,V57,0)+IF(W58=2,V58,0)+IF(W59=2,V59,0)+IF(W60=2,V60,0)+IF(W61=2,V61,0)+IF(W62=2,V62,0)+W107</f>
        <v>0</v>
      </c>
      <c r="W107" s="221">
        <f>IF(W$64=2,V$64,0)+IF(W$65=2,V$65,0)+IF(W$66=2,V$66,0)+IF(W$68=2,V$68,0)+IF(W$69=2,V$69,0)+IF(W$70=2,V$70,0)</f>
        <v>0</v>
      </c>
      <c r="X107" s="218">
        <f>IF(Y49=2,X49,0)+IF(Y50=2,X50,0)+IF(Y51=2,X51,0)+IF(Y52=2,X52,0)+IF(Y53=2,X53,0)+IF(Y54=2,X54,0)+IF(Y55=2,X55,0)+IF(Y56=2,X56,0)+IF(Y57=2,X57,0)+IF(Y58=2,X58,0)+IF(Y59=2,X59,0)+IF(Y60=2,X60,0)+IF(Y61=2,X61,0)+IF(Y62=2,X62,0)+Y107</f>
        <v>0</v>
      </c>
      <c r="Y107" s="221">
        <f>IF(Y$64=2,X$64,0)+IF(Y$65=2,X$65,0)+IF(Y$66=2,X$66,0)+IF(Y$68=2,X$68,0)+IF(Y$69=2,X$69,0)+IF(Y$70=2,X$70,0)</f>
        <v>0</v>
      </c>
      <c r="Z107" s="298">
        <f t="shared" si="6"/>
        <v>5520</v>
      </c>
      <c r="AA107" s="298">
        <f>AA93</f>
        <v>266.26984126984127</v>
      </c>
      <c r="AB107" s="190"/>
      <c r="AC107" s="178"/>
      <c r="AD107" s="178"/>
      <c r="AE107" s="178"/>
      <c r="AF107" s="178"/>
      <c r="AG107" s="139"/>
      <c r="AH107" s="139"/>
      <c r="AI107" s="139"/>
      <c r="AJ107" s="139"/>
    </row>
    <row r="108" spans="1:36" ht="15">
      <c r="A108" s="139"/>
      <c r="B108" s="396" t="str">
        <f>D95</f>
        <v>80 hp 2wd #5</v>
      </c>
      <c r="C108" s="397"/>
      <c r="D108" s="220"/>
      <c r="E108" s="220"/>
      <c r="F108" s="220"/>
      <c r="G108" s="220"/>
      <c r="H108" s="218">
        <f>IF(I49=3,H49,0)+IF(I50=3,H50,0)+IF(I51=3,H51,0)+IF(I52=3,H52,0)+IF(I53=3,H53,0)+IF(I54=3,H54,0)+IF(I55=3,H55,0)+IF(I56=3,H56,0)+IF(I57=3,H57,0)+IF(I58=3,H58,0)+IF(I59=3,H59,0)+IF(I60=3,H60,0)+IF(I61=3,H61,0)+IF(I62=3,H62,0)+I108</f>
        <v>420</v>
      </c>
      <c r="I108" s="221">
        <f>IF(I$64=3,H$64,0)+IF(I$65=3,H$65,0)+IF(I$66=3,H$66,0)+IF(I$68=3,H$68,0)+IF(I$69=3,H$69,0)+IF(I$70=3,H$70,0)</f>
        <v>0</v>
      </c>
      <c r="J108" s="218">
        <f>IF(K49=3,J49,0)+IF(K50=3,J50,0)+IF(K51=3,J51,0)+IF(K52=3,J52,0)+IF(K53=3,J53,0)+IF(K54=3,J54,0)+IF(K55=3,J55,0)+IF(K56=3,J56,0)+IF(K57=3,J57,0)+IF(K58=3,J58,0)+IF(K59=3,J59,0)+IF(K60=3,J60,0)+IF(K61=3,J61,0)+IF(K62=3,J62,0)+K108</f>
        <v>0</v>
      </c>
      <c r="K108" s="221">
        <f>IF(K$64=3,J$64,0)+IF(K$65=3,J$65,0)+IF(K$66=3,J$66,0)+IF(K$68=3,J$68,0)+IF(K$69=3,J$69,0)+IF(K$70=3,J$70,0)</f>
        <v>0</v>
      </c>
      <c r="L108" s="218">
        <f>IF(M49=3,L49,0)+IF(M50=3,L50,0)+IF(M51=3,L51,0)+IF(M52=3,L52,0)+IF(M53=3,L53,0)+IF(M54=3,L54,0)+IF(M55=3,L55,0)+IF(M56=3,L56,0)+IF(M57=3,L57,0)+IF(M58=3,L58,0)+IF(M59=3,L59,0)+IF(M60=3,L60,0)+IF(M61=3,L61,0)+IF(M62=3,L62,0)+M108</f>
        <v>180</v>
      </c>
      <c r="M108" s="221">
        <f>IF(M$64=3,L$64,0)+IF(M$65=3,L$65,0)+IF(M$66=3,L$66,0)+IF(M$68=3,L$68,0)+IF(M$69=3,L$69,0)+IF(M$70=3,L$70,0)</f>
        <v>0</v>
      </c>
      <c r="N108" s="218">
        <f>IF(O49=3,N49,0)+IF(O50=3,N50,0)+IF(O51=3,N51,0)+IF(O52=3,N52,0)+IF(O53=3,N53,0)+IF(O54=3,N54,0)+IF(O55=3,N55,0)+IF(O56=3,N56,0)+IF(O57=3,N57,0)+IF(O58=3,N58,0)+IF(O59=3,N59,0)+IF(O60=3,N60,0)+IF(O61=3,N61,0)+IF(O62=3,N62,0)+O108</f>
        <v>0</v>
      </c>
      <c r="O108" s="221">
        <f>IF(O$64=3,N$64,0)+IF(O$65=3,N$65,0)+IF(O$66=3,N$66,0)+IF(O$68=3,N$68,0)+IF(O$69=3,N$69,0)+IF(O$70=3,N$70,0)</f>
        <v>0</v>
      </c>
      <c r="P108" s="218">
        <f>IF(Q49=3,P49,0)+IF(Q50=3,P50,0)+IF(Q51=3,P51,0)+IF(Q52=3,P52,0)+IF(Q53=3,P53,0)+IF(Q54=3,P54,0)+IF(Q55=3,P55,0)+IF(Q56=3,P56,0)+IF(Q57=3,P57,0)+IF(Q58=3,P58,0)+IF(Q59=3,P59,0)+IF(Q60=3,P60,0)+IF(Q61=3,P61,0)+IF(Q62=3,P62,0)+Q108</f>
        <v>0</v>
      </c>
      <c r="Q108" s="221">
        <f>IF(Q$64=3,P$64,0)+IF(Q$65=3,P$65,0)+IF(Q$66=3,P$66,0)+IF(Q$68=3,P$68,0)+IF(Q$69=3,P$69,0)+IF(Q$70=3,P$70,0)</f>
        <v>0</v>
      </c>
      <c r="R108" s="218">
        <f>IF(S49=3,R49,0)+IF(S50=3,R50,0)+IF(S51=3,R51,0)+IF(S52=3,R52,0)+IF(S53=3,R53,0)+IF(S54=3,R54,0)+IF(S55=3,R55,0)+IF(S56=3,R56,0)+IF(S57=3,R57,0)+IF(S58=3,R58,0)+IF(S59=3,R59,0)+IF(S60=3,R60,0)+IF(S61=3,R61,0)+IF(S62=3,R62,0)+S108</f>
        <v>0</v>
      </c>
      <c r="S108" s="221">
        <f>IF(S$64=3,R$64,0)+IF(S$65=3,R$65,0)+IF(S$66=3,R$66,0)+IF(S$68=3,R$68,0)+IF(S$69=3,R$69,0)+IF(S$70=3,R$70,0)</f>
        <v>0</v>
      </c>
      <c r="T108" s="218">
        <f>IF(U49=3,T49,0)+IF(U50=3,T50,0)+IF(U51=3,T51,0)+IF(U52=3,T52,0)+IF(U53=3,T53,0)+IF(U54=3,T54,0)+IF(U55=3,T55,0)+IF(U56=3,T56,0)+IF(U57=3,T57,0)+IF(U58=3,T58,0)+IF(U59=3,T59,0)+IF(U60=3,T60,0)+IF(U61=3,T61,0)+IF(U62=3,T62,0)+U108</f>
        <v>0</v>
      </c>
      <c r="U108" s="221">
        <f>IF(U$64=3,T$64,0)+IF(U$65=3,T$65,0)+IF(U$66=3,T$66,0)+IF(U$68=3,T$68,0)+IF(U$69=3,T$69,0)+IF(U$70=3,T$70,0)</f>
        <v>0</v>
      </c>
      <c r="V108" s="218">
        <f>IF(W49=3,V49,0)+IF(W50=3,V50,0)+IF(W51=3,V51,0)+IF(W52=3,V52,0)+IF(W53=3,V53,0)+IF(W54=3,V54,0)+IF(W55=3,V55,0)+IF(W56=3,V56,0)+IF(W57=3,V57,0)+IF(W58=3,V58,0)+IF(W59=3,V59,0)+IF(W60=3,V60,0)+IF(W61=3,V61,0)+IF(W62=3,V62,0)+W108</f>
        <v>0</v>
      </c>
      <c r="W108" s="221">
        <f>IF(W$64=3,V$64,0)+IF(W$65=3,V$65,0)+IF(W$66=3,V$66,0)+IF(W$68=3,V$68,0)+IF(W$69=3,V$69,0)+IF(W$70=3,V$70,0)</f>
        <v>0</v>
      </c>
      <c r="X108" s="218">
        <f>IF(Y49=3,X49,0)+IF(Y50=3,X50,0)+IF(Y51=3,X51,0)+IF(Y52=3,X52,0)+IF(Y53=3,X53,0)+IF(Y54=3,X54,0)+IF(Y55=3,X55,0)+IF(Y56=3,X56,0)+IF(Y57=3,X57,0)+IF(Y58=3,X58,0)+IF(Y59=3,X59,0)+IF(Y60=3,X60,0)+IF(Y61=3,X61,0)+IF(Y62=3,X62,0)+Y108</f>
        <v>0</v>
      </c>
      <c r="Y108" s="221">
        <f>IF(Y$64=3,X$64,0)+IF(Y$65=3,X$65,0)+IF(Y$66=3,X$66,0)+IF(Y$68=3,X$68,0)+IF(Y$69=3,X$69,0)+IF(Y$70=3,X$70,0)</f>
        <v>0</v>
      </c>
      <c r="Z108" s="298">
        <f t="shared" si="6"/>
        <v>600</v>
      </c>
      <c r="AA108" s="298">
        <f>AA95</f>
        <v>28.285714285714285</v>
      </c>
      <c r="AB108" s="190"/>
      <c r="AC108" s="178"/>
      <c r="AD108" s="178"/>
      <c r="AE108" s="178"/>
      <c r="AF108" s="178"/>
      <c r="AG108" s="139"/>
      <c r="AH108" s="139"/>
      <c r="AI108" s="139"/>
      <c r="AJ108" s="139"/>
    </row>
    <row r="109" spans="1:36" ht="15">
      <c r="A109" s="139"/>
      <c r="B109" s="396" t="str">
        <f>D97</f>
        <v>#4 tractor not used</v>
      </c>
      <c r="C109" s="397"/>
      <c r="D109" s="220"/>
      <c r="E109" s="220"/>
      <c r="F109" s="220"/>
      <c r="G109" s="220"/>
      <c r="H109" s="218">
        <f>IF(I49=4,H49,0)+IF(I50=4,H50,0)+IF(I51=4,H51,0)+IF(I52=4,H52,0)+IF(I53=4,H53,0)+IF(I54=4,H54,0)+IF(I55=4,H55,0)+IF(I56=4,H56,0)+IF(I57=4,H57,0)+IF(I58=4,H58,0)+IF(I59=4,H59,0)+IF(I60=4,H60,0)+IF(I61=4,H61,0)+IF(I62=4,H62,0)+I109</f>
        <v>0</v>
      </c>
      <c r="I109" s="221">
        <f>IF(I$64=4,H$64,0)+IF(I$65=4,H$65,0)+IF(I$66=4,H$66,0)+IF(I$68=4,H$68,0)+IF(I$69=4,H$69,0)+IF(I$70=4,H$70,0)</f>
        <v>0</v>
      </c>
      <c r="J109" s="218">
        <f>IF(K49=4,J49,0)+IF(K50=4,J50,0)+IF(K51=4,J51,0)+IF(K52=4,J52,0)+IF(K53=4,J53,0)+IF(K54=4,J54,0)+IF(K55=4,J55,0)+IF(K56=4,J56,0)+IF(K57=4,J57,0)+IF(K58=4,J58,0)+IF(K59=4,J59,0)+IF(K60=4,J60,0)+IF(K61=4,J61,0)+IF(K62=4,J62,0)+K109</f>
        <v>0</v>
      </c>
      <c r="K109" s="221">
        <f>IF(K$64=4,J$64,0)+IF(K$65=4,J$65,0)+IF(K$66=4,J$66,0)+IF(K$68=4,J$68,0)+IF(K$69=4,J$69,0)+IF(K$70=4,J$70,0)</f>
        <v>0</v>
      </c>
      <c r="L109" s="218">
        <f>IF(M49=4,L49,0)+IF(M50=4,L50,0)+IF(M51=4,L51,0)+IF(M52=4,L52,0)+IF(M53=4,L53,0)+IF(M54=4,L54,0)+IF(M55=4,L55,0)+IF(M56=4,L56,0)+IF(M57=4,L57,0)+IF(M58=4,L58,0)+IF(M59=4,L59,0)+IF(M60=4,L60,0)+IF(M61=4,L61,0)+IF(M62=4,L62,0)+M109</f>
        <v>0</v>
      </c>
      <c r="M109" s="221">
        <f>IF(M$64=4,L$64,0)+IF(M$65=4,L$65,0)+IF(M$66=4,L$66,0)+IF(M$68=4,L$68,0)+IF(M$69=4,L$69,0)+IF(M$70=4,L$70,0)</f>
        <v>0</v>
      </c>
      <c r="N109" s="218">
        <f>IF(O49=4,N49,0)+IF(O50=4,N50,0)+IF(O51=4,N51,0)+IF(O52=4,N52,0)+IF(O53=4,N53,0)+IF(O54=4,N54,0)+IF(O55=4,N55,0)+IF(O56=4,N56,0)+IF(O57=4,N57,0)+IF(O58=4,N58,0)+IF(O59=4,N59,0)+IF(O60=4,N60,0)+IF(O61=4,N61,0)+IF(O62=4,N62,0)+O109</f>
        <v>0</v>
      </c>
      <c r="O109" s="221">
        <f>IF(O$64=4,N$64,0)+IF(O$65=4,N$65,0)+IF(O$66=4,N$66,0)+IF(O$68=4,N$68,0)+IF(O$69=4,N$69,0)+IF(O$70=4,N$70,0)</f>
        <v>0</v>
      </c>
      <c r="P109" s="218">
        <f>IF(Q49=4,P49,0)+IF(Q50=4,P50,0)+IF(Q51=4,P51,0)+IF(Q52=4,P52,0)+IF(Q53=4,P53,0)+IF(Q54=4,P54,0)+IF(Q55=4,P55,0)+IF(Q56=4,P56,0)+IF(Q57=4,P57,0)+IF(Q58=4,P58,0)+IF(Q59=4,P59,0)+IF(Q60=4,P60,0)+IF(Q61=4,P61,0)+IF(Q62=4,P62,0)+Q109</f>
        <v>0</v>
      </c>
      <c r="Q109" s="221">
        <f>IF(Q$64=4,P$64,0)+IF(Q$65=4,P$65,0)+IF(Q$66=4,P$66,0)+IF(Q$68=4,P$68,0)+IF(Q$69=4,P$69,0)+IF(Q$70=4,P$70,0)</f>
        <v>0</v>
      </c>
      <c r="R109" s="218">
        <f>IF(S49=4,R49,0)+IF(S50=4,R50,0)+IF(S51=4,R51,0)+IF(S52=4,R52,0)+IF(S53=4,R53,0)+IF(S54=4,R54,0)+IF(S55=4,R55,0)+IF(S56=4,R56,0)+IF(S57=4,R57,0)+IF(S58=4,R58,0)+IF(S59=4,R59,0)+IF(S60=4,R60,0)+IF(S61=4,R61,0)+IF(S62=4,R62,0)+S109</f>
        <v>0</v>
      </c>
      <c r="S109" s="221">
        <f>IF(S$64=4,R$64,0)+IF(S$65=4,R$65,0)+IF(S$66=4,R$66,0)+IF(S$68=4,R$68,0)+IF(S$69=4,R$69,0)+IF(S$70=4,R$70,0)</f>
        <v>0</v>
      </c>
      <c r="T109" s="218">
        <f>IF(U49=4,T49,0)+IF(U50=4,T50,0)+IF(U51=4,T51,0)+IF(U52=4,T52,0)+IF(U53=4,T53,0)+IF(U54=4,T54,0)+IF(U55=4,T55,0)+IF(U56=4,T56,0)+IF(U57=4,T57,0)+IF(U58=4,T58,0)+IF(U59=4,T59,0)+IF(U60=4,T60,0)+IF(U61=4,T61,0)+IF(U62=4,T62,0)+U109</f>
        <v>0</v>
      </c>
      <c r="U109" s="221">
        <f>IF(U$64=4,T$64,0)+IF(U$65=4,T$65,0)+IF(U$66=4,T$66,0)+IF(U$68=4,T$68,0)+IF(U$69=4,T$69,0)+IF(U$70=4,T$70,0)</f>
        <v>0</v>
      </c>
      <c r="V109" s="218">
        <f>IF(W49=4,V49,0)+IF(W50=4,V50,0)+IF(W51=4,V51,0)+IF(W52=4,V52,0)+IF(W53=4,V53,0)+IF(W54=4,V54,0)+IF(W55=4,V55,0)+IF(W56=4,V56,0)+IF(W57=4,V57,0)+IF(W58=4,V58,0)+IF(W59=4,V59,0)+IF(W60=4,V60,0)+IF(W61=4,V61,0)+IF(W62=4,V62,0)+W109</f>
        <v>0</v>
      </c>
      <c r="W109" s="221">
        <f>IF(W$64=4,V$64,0)+IF(W$65=4,V$65,0)+IF(W$66=4,V$66,0)+IF(W$68=4,V$68,0)+IF(W$69=4,V$69,0)+IF(W$70=4,V$70,0)</f>
        <v>0</v>
      </c>
      <c r="X109" s="218">
        <f>IF(Y49=4,X49,0)+IF(Y50=4,X50,0)+IF(Y51=4,X51,0)+IF(Y52=4,X52,0)+IF(Y53=4,X53,0)+IF(Y54=4,X54,0)+IF(Y55=4,X55,0)+IF(Y56=4,X56,0)+IF(Y57=4,X57,0)+IF(Y58=4,X58,0)+IF(Y59=4,X59,0)+IF(Y60=4,X60,0)+IF(Y61=4,X61,0)+IF(Y62=4,X62,0)+Y109</f>
        <v>0</v>
      </c>
      <c r="Y109" s="221">
        <f>IF(Y$64=4,X$64,0)+IF(Y$65=4,X$65,0)+IF(Y$66=4,X$66,0)+IF(Y$68=4,X$68,0)+IF(Y$69=4,X$69,0)+IF(Y$70=4,X$70,0)</f>
        <v>0</v>
      </c>
      <c r="Z109" s="298">
        <f t="shared" si="6"/>
        <v>0</v>
      </c>
      <c r="AA109" s="298">
        <f>AA97</f>
        <v>0</v>
      </c>
      <c r="AB109" s="190"/>
      <c r="AC109" s="178"/>
      <c r="AD109" s="178"/>
      <c r="AE109" s="178"/>
      <c r="AF109" s="178"/>
      <c r="AG109" s="139"/>
      <c r="AH109" s="139"/>
      <c r="AI109" s="139"/>
      <c r="AJ109" s="139"/>
    </row>
    <row r="110" spans="1:36" ht="15">
      <c r="A110" s="139"/>
      <c r="B110" s="396" t="str">
        <f>D99</f>
        <v>#5 tractor not used</v>
      </c>
      <c r="C110" s="397"/>
      <c r="D110" s="220"/>
      <c r="E110" s="220"/>
      <c r="F110" s="220"/>
      <c r="G110" s="220"/>
      <c r="H110" s="218">
        <f>IF(I49=5,H49,0)+IF(I50=5,H50,0)+IF(I51=5,H51,0)+IF(I52=5,H52,0)+IF(I53=5,H53,0)+IF(I54=5,H54,0)+IF(I55=5,H55,0)+IF(I56=5,H56,0)+IF(I57=5,H57,0)+IF(I58=5,H58,0)+IF(I59=5,H59,0)+IF(I60=5,H60,0)+IF(I61=5,H61,0)+IF(I62=5,H62,0)+I110</f>
        <v>0</v>
      </c>
      <c r="I110" s="221">
        <f>IF(I$64=5,H$64,0)+IF(I$65=5,H$65,0)+IF(I$66=5,H$66,0)+IF(I$68=5,H$68,0)+IF(I$69=5,H$69,0)+IF(I$70=5,H$70,0)</f>
        <v>0</v>
      </c>
      <c r="J110" s="218">
        <f>IF(K49=5,J49,0)+IF(K50=5,J50,0)+IF(K51=5,J51,0)+IF(K52=5,J52,0)+IF(K53=5,J53,0)+IF(K54=5,J54,0)+IF(K55=5,J55,0)+IF(K56=5,J56,0)+IF(K57=5,J57,0)+IF(K58=5,J58,0)+IF(K59=5,J59,0)+IF(K60=5,J60,0)+IF(K61=5,J61,0)+IF(K62=5,J62,0)+K110</f>
        <v>0</v>
      </c>
      <c r="K110" s="221">
        <f>IF(K$64=5,J$64,0)+IF(K$65=5,J$65,0)+IF(K$66=5,J$66,0)+IF(K$68=5,J$68,0)+IF(K$69=5,J$69,0)+IF(K$70=5,J$70,0)</f>
        <v>0</v>
      </c>
      <c r="L110" s="218">
        <f>IF(M49=5,L49,0)+IF(M50=5,L50,0)+IF(M51=5,L51,0)+IF(M52=5,L52,0)+IF(M53=5,L53,0)+IF(M54=5,L54,0)+IF(M55=5,L55,0)+IF(M56=5,L56,0)+IF(M57=5,L57,0)+IF(M58=5,L58,0)+IF(M59=5,L59,0)+IF(M60=5,L60,0)+IF(M61=5,L61,0)+IF(M62=5,L62,0)+M110</f>
        <v>0</v>
      </c>
      <c r="M110" s="221">
        <f>IF(M$64=5,L$64,0)+IF(M$65=5,L$65,0)+IF(M$66=5,L$66,0)+IF(M$68=5,L$68,0)+IF(M$69=5,L$69,0)+IF(M$70=5,L$70,0)</f>
        <v>0</v>
      </c>
      <c r="N110" s="218">
        <f>IF(O49=5,N49,0)+IF(O50=5,N50,0)+IF(O51=5,N51,0)+IF(O52=5,N52,0)+IF(O53=5,N53,0)+IF(O54=5,N54,0)+IF(O55=5,N55,0)+IF(O56=5,N56,0)+IF(O57=5,N57,0)+IF(O58=5,N58,0)+IF(O59=5,N59,0)+IF(O60=5,N60,0)+IF(O61=5,N61,0)+IF(O62=5,N62,0)+O110</f>
        <v>0</v>
      </c>
      <c r="O110" s="221">
        <f>IF(O$64=5,N$64,0)+IF(O$65=5,N$65,0)+IF(O$66=5,N$66,0)+IF(O$68=5,N$68,0)+IF(O$69=5,N$69,0)+IF(O$70=5,N$70,0)</f>
        <v>0</v>
      </c>
      <c r="P110" s="218">
        <f>IF(Q49=5,P49,0)+IF(Q50=5,P50,0)+IF(Q51=5,P51,0)+IF(Q52=5,P52,0)+IF(Q53=5,P53,0)+IF(Q54=5,P54,0)+IF(Q55=5,P55,0)+IF(Q56=5,P56,0)+IF(Q57=5,P57,0)+IF(Q58=5,P58,0)+IF(Q59=5,P59,0)+IF(Q60=5,P60,0)+IF(Q61=5,P61,0)+IF(Q62=5,P62,0)+Q110</f>
        <v>0</v>
      </c>
      <c r="Q110" s="221">
        <f>IF(Q$64=5,P$64,0)+IF(Q$65=5,P$65,0)+IF(Q$66=5,P$66,0)+IF(Q$68=5,P$68,0)+IF(Q$69=5,P$69,0)+IF(Q$70=5,P$70,0)</f>
        <v>0</v>
      </c>
      <c r="R110" s="218">
        <f>IF(S49=5,R49,0)+IF(S50=5,R50,0)+IF(S51=5,R51,0)+IF(S52=5,R52,0)+IF(S53=5,R53,0)+IF(S54=5,R54,0)+IF(S55=5,R55,0)+IF(S56=5,R56,0)+IF(S57=5,R57,0)+IF(S58=5,R58,0)+IF(S59=5,R59,0)+IF(S60=5,R60,0)+IF(S61=5,R61,0)+IF(S62=5,R62,0)+S110</f>
        <v>0</v>
      </c>
      <c r="S110" s="221">
        <f>IF(S$64=5,R$64,0)+IF(S$65=5,R$65,0)+IF(S$66=5,R$66,0)+IF(S$68=5,R$68,0)+IF(S$69=5,R$69,0)+IF(S$70=5,R$70,0)</f>
        <v>0</v>
      </c>
      <c r="T110" s="218">
        <f>IF(U49=5,T49,0)+IF(U50=5,T50,0)+IF(U51=5,T51,0)+IF(U52=5,T52,0)+IF(U53=5,T53,0)+IF(U54=5,T54,0)+IF(U55=5,T55,0)+IF(U56=5,T56,0)+IF(U57=5,T57,0)+IF(U58=5,T58,0)+IF(U59=5,T59,0)+IF(U60=5,T60,0)+IF(U61=5,T61,0)+IF(U62=5,T62,0)+U110</f>
        <v>0</v>
      </c>
      <c r="U110" s="221">
        <f>IF(U$64=5,T$64,0)+IF(U$65=5,T$65,0)+IF(U$66=5,T$66,0)+IF(U$68=5,T$68,0)+IF(U$69=5,T$69,0)+IF(U$70=5,T$70,0)</f>
        <v>0</v>
      </c>
      <c r="V110" s="218">
        <f>IF(W49=5,V49,0)+IF(W50=5,V50,0)+IF(W51=5,V51,0)+IF(W52=5,V52,0)+IF(W53=5,V53,0)+IF(W54=5,V54,0)+IF(W55=5,V55,0)+IF(W56=5,V56,0)+IF(W57=5,V57,0)+IF(W58=5,V58,0)+IF(W59=5,V59,0)+IF(W60=5,V60,0)+IF(W61=5,V61,0)+IF(W62=5,V62,0)+W110</f>
        <v>0</v>
      </c>
      <c r="W110" s="221">
        <f>IF(W$64=5,V$64,0)+IF(W$65=5,V$65,0)+IF(W$66=5,V$66,0)+IF(W$68=5,V$68,0)+IF(W$69=5,V$69,0)+IF(W$70=5,V$70,0)</f>
        <v>0</v>
      </c>
      <c r="X110" s="218">
        <f>IF(Y49=5,X49,0)+IF(Y50=5,X50,0)+IF(Y51=5,X51,0)+IF(Y52=5,X52,0)+IF(Y53=5,X53,0)+IF(Y54=5,X54,0)+IF(Y55=5,X55,0)+IF(Y56=5,X56,0)+IF(Y57=5,X57,0)+IF(Y58=5,X58,0)+IF(Y59=5,X59,0)+IF(Y60=5,X60,0)+IF(Y61=5,X61,0)+IF(Y62=5,X62,0)+Y110</f>
        <v>0</v>
      </c>
      <c r="Y110" s="221">
        <f>IF(Y$64=5,X$64,0)+IF(Y$65=5,X$65,0)+IF(Y$66=5,X$66,0)+IF(Y$68=5,X$68,0)+IF(Y$69=5,X$69,0)+IF(Y$70=5,X$70,0)</f>
        <v>0</v>
      </c>
      <c r="Z110" s="298">
        <f t="shared" si="6"/>
        <v>0</v>
      </c>
      <c r="AA110" s="298">
        <f>AA99</f>
        <v>0</v>
      </c>
      <c r="AB110" s="190"/>
      <c r="AC110" s="178"/>
      <c r="AD110" s="178"/>
      <c r="AE110" s="178"/>
      <c r="AF110" s="178"/>
      <c r="AG110" s="139"/>
      <c r="AH110" s="139"/>
      <c r="AI110" s="139"/>
      <c r="AJ110" s="139"/>
    </row>
    <row r="111" spans="1:36" ht="15.75" thickBot="1">
      <c r="A111" s="139"/>
      <c r="B111" s="398" t="str">
        <f>D101</f>
        <v>#6 tractor not used</v>
      </c>
      <c r="C111" s="399"/>
      <c r="D111" s="220"/>
      <c r="E111" s="220"/>
      <c r="F111" s="220"/>
      <c r="G111" s="220"/>
      <c r="H111" s="218">
        <f>IF(I49=6,H49,0)+IF(I50=6,H50,0)+IF(I51=6,H51,0)+IF(I52=6,H52,0)+IF(I53=6,H53,0)+IF(I54=6,H54,0)+IF(I55=6,H55,0)+IF(I56=6,H56,0)+IF(I57=6,H57,0)+IF(I58=6,H58,0)+IF(I59=6,H59,0)+IF(I60=6,H60,0)+IF(I61=6,H61,0)+IF(I62=6,H62,0)+I111</f>
        <v>0</v>
      </c>
      <c r="I111" s="221">
        <f>IF(I$64=6,H$64,0)+IF(I$65=6,H$65,0)+IF(I$66=6,H$66,0)+IF(I$68=6,H$68,0)+IF(I$69=6,H$69,0)+IF(I$70=6,H$70,0)</f>
        <v>0</v>
      </c>
      <c r="J111" s="218">
        <f>IF(K49=6,J49,0)+IF(K50=6,J50,0)+IF(K51=6,J51,0)+IF(K52=6,J52,0)+IF(K53=6,J53,0)+IF(K54=6,J54,0)+IF(K55=6,J55,0)+IF(K56=6,J56,0)+IF(K57=6,J57,0)+IF(K58=6,J58,0)+IF(K59=6,J59,0)+IF(K60=6,J60,0)+IF(K61=6,J61,0)+IF(K62=6,J62,0)+K111</f>
        <v>0</v>
      </c>
      <c r="K111" s="221">
        <f>IF(K$64=6,J$64,0)+IF(K$65=6,J$65,0)+IF(K$66=6,J$66,0)+IF(K$68=6,J$68,0)+IF(K$69=6,J$69,0)+IF(K$70=6,J$70,0)</f>
        <v>0</v>
      </c>
      <c r="L111" s="218">
        <f>IF(M49=6,L49,0)+IF(M50=6,L50,0)+IF(M51=6,L51,0)+IF(M52=6,L52,0)+IF(M53=6,L53,0)+IF(M54=6,L54,0)+IF(M55=6,L55,0)+IF(M56=6,L56,0)+IF(M57=6,L57,0)+IF(M58=6,L58,0)+IF(M59=6,L59,0)+IF(M60=6,L60,0)+IF(M61=6,L61,0)+IF(M62=6,L62,0)+M111</f>
        <v>0</v>
      </c>
      <c r="M111" s="221">
        <f>IF(M$64=6,L$64,0)+IF(M$65=6,L$65,0)+IF(M$66=6,L$66,0)+IF(M$68=6,L$68,0)+IF(M$69=6,L$69,0)+IF(M$70=6,L$70,0)</f>
        <v>0</v>
      </c>
      <c r="N111" s="218">
        <f>IF(O49=6,N49,0)+IF(O50=6,N50,0)+IF(O51=6,N51,0)+IF(O52=6,N52,0)+IF(O53=6,N53,0)+IF(O54=6,N54,0)+IF(O55=6,N55,0)+IF(O56=6,N56,0)+IF(O57=6,N57,0)+IF(O58=6,N58,0)+IF(O59=6,N59,0)+IF(O60=6,N60,0)+IF(O61=6,N61,0)+IF(O62=6,N62,0)+O111</f>
        <v>0</v>
      </c>
      <c r="O111" s="221">
        <f>IF(O$64=6,N$64,0)+IF(O$65=6,N$65,0)+IF(O$66=6,N$66,0)+IF(O$68=6,N$68,0)+IF(O$69=6,N$69,0)+IF(O$70=6,N$70,0)</f>
        <v>0</v>
      </c>
      <c r="P111" s="218">
        <f>IF(Q49=6,P49,0)+IF(Q50=6,P50,0)+IF(Q51=6,P51,0)+IF(Q52=6,P52,0)+IF(Q53=6,P53,0)+IF(Q54=6,P54,0)+IF(Q55=6,P55,0)+IF(Q56=6,P56,0)+IF(Q57=6,P57,0)+IF(Q58=6,P58,0)+IF(Q59=6,P59,0)+IF(Q60=6,P60,0)+IF(Q61=6,P61,0)+IF(Q62=6,P62,0)+Q111</f>
        <v>0</v>
      </c>
      <c r="Q111" s="221">
        <f>IF(Q$64=6,P$64,0)+IF(Q$65=6,P$65,0)+IF(Q$66=6,P$66,0)+IF(Q$68=6,P$68,0)+IF(Q$69=6,P$69,0)+IF(Q$70=6,P$70,0)</f>
        <v>0</v>
      </c>
      <c r="R111" s="218">
        <f>IF(S49=6,R49,0)+IF(S50=6,R50,0)+IF(S51=6,R51,0)+IF(S52=6,R52,0)+IF(S53=6,R53,0)+IF(S54=6,R54,0)+IF(S55=6,R55,0)+IF(S56=6,R56,0)+IF(S57=6,R57,0)+IF(S58=6,R58,0)+IF(S59=6,R59,0)+IF(S60=6,R60,0)+IF(S61=6,R61,0)+IF(S62=6,R62,0)+S111</f>
        <v>0</v>
      </c>
      <c r="S111" s="221">
        <f>IF(S$64=6,R$64,0)+IF(S$65=6,R$65,0)+IF(S$66=6,R$66,0)+IF(S$68=6,R$68,0)+IF(S$69=6,R$69,0)+IF(S$70=6,R$70,0)</f>
        <v>0</v>
      </c>
      <c r="T111" s="218">
        <f>IF(U49=6,T49,0)+IF(U50=6,T50,0)+IF(U51=6,T51,0)+IF(U52=6,T52,0)+IF(U53=6,T53,0)+IF(U54=6,T54,0)+IF(U55=6,T55,0)+IF(U56=6,T56,0)+IF(U57=6,T57,0)+IF(U58=6,T58,0)+IF(U59=6,T59,0)+IF(U60=6,T60,0)+IF(U61=6,T61,0)+IF(U62=6,T62,0)+U111</f>
        <v>0</v>
      </c>
      <c r="U111" s="221">
        <f>IF(U$64=6,T$64,0)+IF(U$65=6,T$65,0)+IF(U$66=6,T$66,0)+IF(U$68=6,T$68,0)+IF(U$69=6,T$69,0)+IF(U$70=6,T$70,0)</f>
        <v>0</v>
      </c>
      <c r="V111" s="218">
        <f>IF(W49=6,V49,0)+IF(W50=6,V50,0)+IF(W51=6,V51,0)+IF(W52=6,V52,0)+IF(W53=6,V53,0)+IF(W54=6,V54,0)+IF(W55=6,V55,0)+IF(W56=6,V56,0)+IF(W57=6,V57,0)+IF(W58=6,V58,0)+IF(W59=6,V59,0)+IF(W60=6,V60,0)+IF(W61=6,V61,0)+IF(W62=6,V62,0)+W111</f>
        <v>0</v>
      </c>
      <c r="W111" s="221">
        <f>IF(W$64=6,V$64,0)+IF(W$65=6,V$65,0)+IF(W$66=6,V$66,0)+IF(W$68=6,V$68,0)+IF(W$69=6,V$69,0)+IF(W$70=6,V$70,0)</f>
        <v>0</v>
      </c>
      <c r="X111" s="218">
        <f>IF(Y49=6,X49,0)+IF(Y50=6,X50,0)+IF(Y51=6,X51,0)+IF(Y52=6,X52,0)+IF(Y53=6,X53,0)+IF(Y54=6,X54,0)+IF(Y55=6,X55,0)+IF(Y56=6,X56,0)+IF(Y57=6,X57,0)+IF(Y58=6,X58,0)+IF(Y59=6,X59,0)+IF(Y60=6,X60,0)+IF(Y61=6,X61,0)+IF(Y62=6,X62,0)+Y111</f>
        <v>0</v>
      </c>
      <c r="Y111" s="221">
        <f>IF(Y$64=6,X$64,0)+IF(Y$65=6,X$65,0)+IF(Y$66=6,X$66,0)+IF(Y$68=6,X$68,0)+IF(Y$69=6,X$69,0)+IF(Y$70=6,X$70,0)</f>
        <v>0</v>
      </c>
      <c r="Z111" s="298">
        <f t="shared" si="6"/>
        <v>0</v>
      </c>
      <c r="AA111" s="298">
        <f>AA101</f>
        <v>0</v>
      </c>
      <c r="AB111" s="190"/>
      <c r="AC111" s="178"/>
      <c r="AD111" s="178"/>
      <c r="AE111" s="178"/>
      <c r="AF111" s="178"/>
      <c r="AG111" s="139"/>
      <c r="AH111" s="139"/>
      <c r="AI111" s="139"/>
      <c r="AJ111" s="139"/>
    </row>
    <row r="112" spans="1:36" ht="16.5" thickTop="1">
      <c r="A112" s="170" t="s">
        <v>367</v>
      </c>
      <c r="B112" s="178" t="s">
        <v>277</v>
      </c>
      <c r="C112" s="178"/>
      <c r="D112" s="220"/>
      <c r="E112" s="220"/>
      <c r="F112" s="220"/>
      <c r="G112" s="220"/>
      <c r="H112" s="218"/>
      <c r="I112" s="218"/>
      <c r="J112" s="218"/>
      <c r="K112" s="218"/>
      <c r="L112" s="218"/>
      <c r="M112" s="218"/>
      <c r="N112" s="218"/>
      <c r="O112" s="218"/>
      <c r="P112" s="218"/>
      <c r="Q112" s="218"/>
      <c r="R112" s="218"/>
      <c r="S112" s="218"/>
      <c r="T112" s="218"/>
      <c r="U112" s="218"/>
      <c r="V112" s="218"/>
      <c r="W112" s="218"/>
      <c r="X112" s="218"/>
      <c r="Y112" s="218"/>
      <c r="Z112" s="218" t="s">
        <v>280</v>
      </c>
      <c r="AA112" s="218" t="s">
        <v>278</v>
      </c>
      <c r="AB112" s="190"/>
      <c r="AC112" s="178"/>
      <c r="AD112" s="178"/>
      <c r="AE112" s="178"/>
      <c r="AF112" s="178"/>
      <c r="AG112" s="139"/>
      <c r="AH112" s="139"/>
      <c r="AI112" s="139"/>
      <c r="AJ112" s="139"/>
    </row>
    <row r="113" spans="1:36" ht="15">
      <c r="A113" s="139"/>
      <c r="B113" s="390" t="s">
        <v>26</v>
      </c>
      <c r="C113" s="406"/>
      <c r="D113" s="232"/>
      <c r="E113" s="233"/>
      <c r="F113" s="233"/>
      <c r="G113" s="195"/>
      <c r="H113" s="195"/>
      <c r="I113" s="195"/>
      <c r="J113" s="195"/>
      <c r="K113" s="195"/>
      <c r="L113" s="195"/>
      <c r="M113" s="195"/>
      <c r="N113" s="195"/>
      <c r="O113" s="195"/>
      <c r="P113" s="195"/>
      <c r="Q113" s="195"/>
      <c r="R113" s="195"/>
      <c r="S113" s="195"/>
      <c r="T113" s="195"/>
      <c r="U113" s="195"/>
      <c r="V113" s="195"/>
      <c r="W113" s="195"/>
      <c r="X113" s="195"/>
      <c r="Y113" s="195"/>
      <c r="Z113" s="99">
        <v>0</v>
      </c>
      <c r="AA113" s="100">
        <v>0</v>
      </c>
      <c r="AB113" s="190"/>
      <c r="AC113" s="178"/>
      <c r="AD113" s="178"/>
      <c r="AE113" s="178"/>
      <c r="AF113" s="178"/>
      <c r="AG113" s="139"/>
      <c r="AH113" s="139"/>
      <c r="AI113" s="139"/>
      <c r="AJ113" s="139"/>
    </row>
    <row r="114" spans="1:36" ht="15">
      <c r="A114" s="139"/>
      <c r="B114" s="392" t="s">
        <v>27</v>
      </c>
      <c r="C114" s="407"/>
      <c r="D114" s="232"/>
      <c r="E114" s="233"/>
      <c r="F114" s="233"/>
      <c r="G114" s="195"/>
      <c r="H114" s="195"/>
      <c r="I114" s="195"/>
      <c r="J114" s="195"/>
      <c r="K114" s="195"/>
      <c r="L114" s="195"/>
      <c r="M114" s="195"/>
      <c r="N114" s="195"/>
      <c r="O114" s="195"/>
      <c r="P114" s="195"/>
      <c r="Q114" s="195"/>
      <c r="R114" s="195"/>
      <c r="S114" s="195"/>
      <c r="T114" s="195"/>
      <c r="U114" s="195"/>
      <c r="V114" s="195"/>
      <c r="W114" s="195"/>
      <c r="X114" s="195"/>
      <c r="Y114" s="195"/>
      <c r="Z114" s="101">
        <v>0</v>
      </c>
      <c r="AA114" s="102">
        <v>0</v>
      </c>
      <c r="AB114" s="190"/>
      <c r="AC114" s="178"/>
      <c r="AD114" s="178"/>
      <c r="AE114" s="178"/>
      <c r="AF114" s="178"/>
      <c r="AG114" s="139"/>
      <c r="AH114" s="139"/>
      <c r="AI114" s="139"/>
      <c r="AJ114" s="139"/>
    </row>
    <row r="115" spans="1:36" ht="15">
      <c r="A115" s="139"/>
      <c r="B115" s="394" t="s">
        <v>28</v>
      </c>
      <c r="C115" s="405"/>
      <c r="D115" s="232"/>
      <c r="E115" s="233"/>
      <c r="F115" s="233"/>
      <c r="G115" s="195"/>
      <c r="H115" s="195"/>
      <c r="I115" s="195"/>
      <c r="J115" s="195"/>
      <c r="K115" s="195"/>
      <c r="L115" s="195"/>
      <c r="M115" s="195"/>
      <c r="N115" s="195"/>
      <c r="O115" s="195"/>
      <c r="P115" s="195"/>
      <c r="Q115" s="195"/>
      <c r="R115" s="195"/>
      <c r="S115" s="195"/>
      <c r="T115" s="195"/>
      <c r="U115" s="195"/>
      <c r="V115" s="195"/>
      <c r="W115" s="195"/>
      <c r="X115" s="195"/>
      <c r="Y115" s="195"/>
      <c r="Z115" s="15">
        <v>0</v>
      </c>
      <c r="AA115" s="17">
        <v>0</v>
      </c>
      <c r="AB115" s="190"/>
      <c r="AC115" s="178"/>
      <c r="AD115" s="178"/>
      <c r="AE115" s="178"/>
      <c r="AF115" s="178"/>
      <c r="AG115" s="139"/>
      <c r="AH115" s="139"/>
      <c r="AI115" s="139"/>
      <c r="AJ115" s="139"/>
    </row>
    <row r="116" spans="1:36" ht="15.75" thickBot="1">
      <c r="A116" s="139"/>
      <c r="B116" s="178"/>
      <c r="C116" s="178"/>
      <c r="D116" s="178"/>
      <c r="E116" s="178"/>
      <c r="F116" s="178"/>
      <c r="G116" s="178"/>
      <c r="H116" s="178"/>
      <c r="I116" s="178"/>
      <c r="J116" s="178"/>
      <c r="K116" s="178"/>
      <c r="L116" s="178"/>
      <c r="M116" s="178"/>
      <c r="N116" s="178"/>
      <c r="O116" s="178"/>
      <c r="P116" s="178"/>
      <c r="Q116" s="178"/>
      <c r="R116" s="178"/>
      <c r="S116" s="178"/>
      <c r="T116" s="178"/>
      <c r="U116" s="178"/>
      <c r="V116" s="178"/>
      <c r="W116" s="178"/>
      <c r="X116" s="178"/>
      <c r="Y116" s="178"/>
      <c r="Z116" s="178"/>
      <c r="AA116" s="178"/>
      <c r="AB116" s="208"/>
      <c r="AC116" s="178"/>
      <c r="AD116" s="178"/>
      <c r="AE116" s="178"/>
      <c r="AF116" s="178"/>
      <c r="AG116" s="139"/>
      <c r="AH116" s="139"/>
      <c r="AI116" s="139"/>
      <c r="AJ116" s="139"/>
    </row>
    <row r="117" spans="1:36" ht="19.5" customHeight="1" thickTop="1">
      <c r="A117" s="139"/>
      <c r="B117" s="178"/>
      <c r="C117" s="178"/>
      <c r="D117" s="178"/>
      <c r="E117" s="416" t="str">
        <f>$H$103</f>
        <v>WW on Fallow</v>
      </c>
      <c r="F117" s="412" t="str">
        <f>$J$103</f>
        <v>SW on Fallow</v>
      </c>
      <c r="G117" s="412" t="str">
        <f>$L$103</f>
        <v>WW on Recrop</v>
      </c>
      <c r="H117" s="412" t="str">
        <f>$N$103</f>
        <v>Barley on Recrop</v>
      </c>
      <c r="I117" s="412" t="str">
        <f>$P$103</f>
        <v>Summer Fallow</v>
      </c>
      <c r="J117" s="412" t="str">
        <f>$R$103</f>
        <v>Not Used</v>
      </c>
      <c r="K117" s="412" t="str">
        <f>$T$103</f>
        <v>Not Used</v>
      </c>
      <c r="L117" s="412" t="str">
        <f>$V$103</f>
        <v>Not Used</v>
      </c>
      <c r="M117" s="414" t="str">
        <f>$X$103</f>
        <v>Not Used</v>
      </c>
      <c r="N117" s="182" t="s">
        <v>265</v>
      </c>
      <c r="O117" s="182" t="s">
        <v>265</v>
      </c>
      <c r="P117" s="139"/>
      <c r="Q117" s="213"/>
      <c r="R117" s="213"/>
      <c r="S117" s="139"/>
      <c r="T117" s="139"/>
      <c r="U117" s="139"/>
      <c r="V117" s="178" t="s">
        <v>355</v>
      </c>
      <c r="W117" s="178"/>
      <c r="X117" s="178"/>
      <c r="Y117" s="178"/>
      <c r="Z117" s="178"/>
      <c r="AA117" s="178"/>
      <c r="AB117" s="178"/>
      <c r="AC117" s="178"/>
      <c r="AD117" s="178"/>
      <c r="AE117" s="178"/>
      <c r="AF117" s="178"/>
      <c r="AG117" s="139"/>
      <c r="AH117" s="139"/>
      <c r="AI117" s="139"/>
      <c r="AJ117" s="139"/>
    </row>
    <row r="118" spans="1:36" ht="19.5" customHeight="1" thickBot="1">
      <c r="A118" s="151" t="s">
        <v>322</v>
      </c>
      <c r="B118" s="234" t="s">
        <v>341</v>
      </c>
      <c r="C118" s="235"/>
      <c r="D118" s="178"/>
      <c r="E118" s="417"/>
      <c r="F118" s="413">
        <f>J104</f>
        <v>0</v>
      </c>
      <c r="G118" s="413">
        <f>L104</f>
        <v>0</v>
      </c>
      <c r="H118" s="413">
        <f>N104</f>
        <v>0</v>
      </c>
      <c r="I118" s="413">
        <f>P104</f>
        <v>0</v>
      </c>
      <c r="J118" s="413">
        <f>R104</f>
        <v>0</v>
      </c>
      <c r="K118" s="413">
        <f>T104</f>
        <v>0</v>
      </c>
      <c r="L118" s="413">
        <f>V104</f>
        <v>0</v>
      </c>
      <c r="M118" s="415">
        <f>X104</f>
        <v>0</v>
      </c>
      <c r="N118" s="182" t="s">
        <v>63</v>
      </c>
      <c r="O118" s="182" t="s">
        <v>215</v>
      </c>
      <c r="P118" s="139"/>
      <c r="Q118" s="213"/>
      <c r="R118" s="213"/>
      <c r="S118" s="139"/>
      <c r="T118" s="139"/>
      <c r="U118" s="236" t="s">
        <v>357</v>
      </c>
      <c r="V118" s="213" t="s">
        <v>280</v>
      </c>
      <c r="W118" s="213"/>
      <c r="X118" s="213"/>
      <c r="Y118" s="178"/>
      <c r="Z118" s="178"/>
      <c r="AA118" s="178"/>
      <c r="AB118" s="178"/>
      <c r="AC118" s="178"/>
      <c r="AD118" s="178"/>
      <c r="AE118" s="178"/>
      <c r="AF118" s="178"/>
      <c r="AG118" s="139"/>
      <c r="AH118" s="139"/>
      <c r="AI118" s="139"/>
      <c r="AJ118" s="139"/>
    </row>
    <row r="119" spans="1:36" ht="15.75" thickBot="1">
      <c r="A119" s="139"/>
      <c r="B119" s="237" t="s">
        <v>338</v>
      </c>
      <c r="C119" s="178"/>
      <c r="D119" s="178"/>
      <c r="E119" s="238">
        <f>$H$43</f>
        <v>420</v>
      </c>
      <c r="F119" s="238">
        <f>$J$43</f>
        <v>840</v>
      </c>
      <c r="G119" s="238">
        <f>$L$43</f>
        <v>180</v>
      </c>
      <c r="H119" s="238">
        <f>$N$43</f>
        <v>300</v>
      </c>
      <c r="I119" s="238">
        <f>$P$43</f>
        <v>1260</v>
      </c>
      <c r="J119" s="238">
        <f>$R$43</f>
        <v>0</v>
      </c>
      <c r="K119" s="238">
        <f>$T$43</f>
        <v>0</v>
      </c>
      <c r="L119" s="238">
        <f>$V$43</f>
        <v>0</v>
      </c>
      <c r="M119" s="238">
        <f>$X$43</f>
        <v>0</v>
      </c>
      <c r="N119" s="182"/>
      <c r="O119" s="182"/>
      <c r="P119" s="139"/>
      <c r="Q119" s="139"/>
      <c r="R119" s="139"/>
      <c r="S119" s="139" t="s">
        <v>356</v>
      </c>
      <c r="T119" s="139"/>
      <c r="U119" s="239" t="s">
        <v>358</v>
      </c>
      <c r="V119" s="235" t="s">
        <v>360</v>
      </c>
      <c r="W119" s="213"/>
      <c r="X119" s="213"/>
      <c r="Y119" s="178"/>
      <c r="Z119" s="178"/>
      <c r="AA119" s="178"/>
      <c r="AB119" s="178"/>
      <c r="AC119" s="178"/>
      <c r="AD119" s="178"/>
      <c r="AE119" s="178"/>
      <c r="AF119" s="178"/>
      <c r="AG119" s="139"/>
      <c r="AH119" s="139"/>
      <c r="AI119" s="139"/>
      <c r="AJ119" s="139"/>
    </row>
    <row r="120" spans="1:36" ht="15.75" thickTop="1">
      <c r="A120" s="139"/>
      <c r="B120" s="240" t="s">
        <v>409</v>
      </c>
      <c r="C120" s="178"/>
      <c r="D120" s="178"/>
      <c r="E120" s="27">
        <v>420</v>
      </c>
      <c r="F120" s="19">
        <v>840</v>
      </c>
      <c r="G120" s="19">
        <v>180</v>
      </c>
      <c r="H120" s="19">
        <v>300</v>
      </c>
      <c r="I120" s="19">
        <v>0</v>
      </c>
      <c r="J120" s="19">
        <v>0</v>
      </c>
      <c r="K120" s="19">
        <v>0</v>
      </c>
      <c r="L120" s="19">
        <v>0</v>
      </c>
      <c r="M120" s="20">
        <v>0</v>
      </c>
      <c r="N120" s="195"/>
      <c r="O120" s="241">
        <f>SUM(E120:M120)</f>
        <v>1740</v>
      </c>
      <c r="P120" s="139"/>
      <c r="Q120" s="139"/>
      <c r="R120" s="139"/>
      <c r="S120" s="226" t="str">
        <f>$H$39</f>
        <v>WW on Fallow</v>
      </c>
      <c r="T120" s="242"/>
      <c r="U120" s="243">
        <f>$H$43</f>
        <v>420</v>
      </c>
      <c r="V120" s="244">
        <f>$U$120/$U$132</f>
        <v>0.04883720930232558</v>
      </c>
      <c r="W120" s="245"/>
      <c r="X120" s="213"/>
      <c r="Y120" s="178"/>
      <c r="Z120" s="178"/>
      <c r="AA120" s="178"/>
      <c r="AB120" s="178"/>
      <c r="AC120" s="178"/>
      <c r="AD120" s="178"/>
      <c r="AE120" s="178"/>
      <c r="AF120" s="178"/>
      <c r="AG120" s="139"/>
      <c r="AH120" s="139"/>
      <c r="AI120" s="139"/>
      <c r="AJ120" s="139"/>
    </row>
    <row r="121" spans="1:36" ht="15">
      <c r="A121" s="139"/>
      <c r="B121" s="178" t="s">
        <v>410</v>
      </c>
      <c r="C121" s="178"/>
      <c r="D121" s="178"/>
      <c r="E121" s="15">
        <v>72</v>
      </c>
      <c r="F121" s="16">
        <v>126</v>
      </c>
      <c r="G121" s="16">
        <v>18</v>
      </c>
      <c r="H121" s="16">
        <v>54</v>
      </c>
      <c r="I121" s="16">
        <v>0</v>
      </c>
      <c r="J121" s="16">
        <v>0</v>
      </c>
      <c r="K121" s="16">
        <v>0</v>
      </c>
      <c r="L121" s="16">
        <v>0</v>
      </c>
      <c r="M121" s="17">
        <v>0</v>
      </c>
      <c r="N121" s="218">
        <f>SUM(E121:M121)</f>
        <v>270</v>
      </c>
      <c r="O121" s="195"/>
      <c r="P121" s="139"/>
      <c r="Q121" s="139"/>
      <c r="R121" s="139"/>
      <c r="S121" s="228" t="str">
        <f>$J$39</f>
        <v>SW on Fallow</v>
      </c>
      <c r="T121" s="246"/>
      <c r="U121" s="243">
        <f>$J$43</f>
        <v>840</v>
      </c>
      <c r="V121" s="244">
        <f>$U$121/$U$132</f>
        <v>0.09767441860465116</v>
      </c>
      <c r="W121" s="247"/>
      <c r="X121" s="248"/>
      <c r="Y121" s="178"/>
      <c r="Z121" s="178"/>
      <c r="AA121" s="178"/>
      <c r="AB121" s="178"/>
      <c r="AC121" s="178"/>
      <c r="AD121" s="178"/>
      <c r="AE121" s="178"/>
      <c r="AF121" s="178"/>
      <c r="AG121" s="139"/>
      <c r="AH121" s="139"/>
      <c r="AI121" s="139"/>
      <c r="AJ121" s="139"/>
    </row>
    <row r="122" spans="1:36" ht="16.5" customHeight="1">
      <c r="A122" s="139"/>
      <c r="B122" s="178"/>
      <c r="C122" s="178"/>
      <c r="D122" s="178"/>
      <c r="E122" s="182"/>
      <c r="F122" s="182"/>
      <c r="G122" s="182"/>
      <c r="H122" s="182"/>
      <c r="I122" s="182"/>
      <c r="J122" s="182"/>
      <c r="K122" s="182"/>
      <c r="L122" s="182"/>
      <c r="M122" s="182"/>
      <c r="N122" s="182" t="s">
        <v>278</v>
      </c>
      <c r="O122" s="182" t="s">
        <v>280</v>
      </c>
      <c r="P122" s="139"/>
      <c r="Q122" s="139"/>
      <c r="R122" s="139"/>
      <c r="S122" s="228" t="str">
        <f>$L$39</f>
        <v>WW on Recrop</v>
      </c>
      <c r="T122" s="249"/>
      <c r="U122" s="243">
        <f>$L$43</f>
        <v>180</v>
      </c>
      <c r="V122" s="244">
        <f>$U$122/$U$132</f>
        <v>0.020930232558139535</v>
      </c>
      <c r="W122" s="247"/>
      <c r="X122" s="248"/>
      <c r="Y122" s="178"/>
      <c r="Z122" s="178"/>
      <c r="AA122" s="178"/>
      <c r="AB122" s="178"/>
      <c r="AC122" s="178"/>
      <c r="AD122" s="178"/>
      <c r="AE122" s="178"/>
      <c r="AF122" s="178"/>
      <c r="AG122" s="139"/>
      <c r="AH122" s="139"/>
      <c r="AI122" s="139"/>
      <c r="AJ122" s="139"/>
    </row>
    <row r="123" spans="1:36" ht="15.75">
      <c r="A123" s="170" t="s">
        <v>367</v>
      </c>
      <c r="B123" s="178" t="s">
        <v>411</v>
      </c>
      <c r="C123" s="178"/>
      <c r="D123" s="170" t="s">
        <v>367</v>
      </c>
      <c r="E123" s="250" t="s">
        <v>412</v>
      </c>
      <c r="F123" s="182"/>
      <c r="G123" s="182"/>
      <c r="H123" s="182"/>
      <c r="I123" s="182"/>
      <c r="J123" s="182"/>
      <c r="K123" s="182"/>
      <c r="L123" s="182"/>
      <c r="M123" s="182"/>
      <c r="N123" s="251" t="s">
        <v>279</v>
      </c>
      <c r="O123" s="251" t="s">
        <v>279</v>
      </c>
      <c r="P123" s="139"/>
      <c r="Q123" s="139"/>
      <c r="R123" s="139"/>
      <c r="S123" s="228" t="str">
        <f>$N$39</f>
        <v>Barley on Recrop</v>
      </c>
      <c r="T123" s="249"/>
      <c r="U123" s="243">
        <f>$N$43</f>
        <v>300</v>
      </c>
      <c r="V123" s="244">
        <f>$U$123/$U$132</f>
        <v>0.03488372093023256</v>
      </c>
      <c r="W123" s="247"/>
      <c r="X123" s="248"/>
      <c r="Y123" s="178"/>
      <c r="Z123" s="178"/>
      <c r="AA123" s="178"/>
      <c r="AB123" s="178"/>
      <c r="AC123" s="178"/>
      <c r="AD123" s="178"/>
      <c r="AE123" s="178"/>
      <c r="AF123" s="178"/>
      <c r="AG123" s="139"/>
      <c r="AH123" s="139"/>
      <c r="AI123" s="139"/>
      <c r="AJ123" s="139"/>
    </row>
    <row r="124" spans="1:36" ht="15">
      <c r="A124" s="139"/>
      <c r="B124" s="390" t="s">
        <v>522</v>
      </c>
      <c r="C124" s="406"/>
      <c r="D124" s="252"/>
      <c r="E124" s="27">
        <v>50</v>
      </c>
      <c r="F124" s="19">
        <v>50</v>
      </c>
      <c r="G124" s="19">
        <v>50</v>
      </c>
      <c r="H124" s="19">
        <v>50</v>
      </c>
      <c r="I124" s="19">
        <v>0</v>
      </c>
      <c r="J124" s="19">
        <v>0</v>
      </c>
      <c r="K124" s="19">
        <v>0</v>
      </c>
      <c r="L124" s="19">
        <v>0</v>
      </c>
      <c r="M124" s="20">
        <v>0</v>
      </c>
      <c r="N124" s="218">
        <f>E121*E124/100+F121*F124/100+G121*G124/100+H121*H124/100+I121*I124/100+J121*J124/100+K121*K124/100+L121*L124/100+M121*M124/100</f>
        <v>135</v>
      </c>
      <c r="O124" s="241">
        <f>E120*E124/100+F120*F124/100+G120*G124/100+H120*H124/100+I120*I124/100+J120*J124/100+K120*K124/100+L120*L124/100+M120*M124/100</f>
        <v>870</v>
      </c>
      <c r="P124" s="139"/>
      <c r="Q124" s="139"/>
      <c r="R124" s="139"/>
      <c r="S124" s="228" t="str">
        <f>$P$39</f>
        <v>Summer Fallow</v>
      </c>
      <c r="T124" s="246"/>
      <c r="U124" s="243">
        <f>$P$43</f>
        <v>1260</v>
      </c>
      <c r="V124" s="244">
        <f>$U$124/$U$132</f>
        <v>0.14651162790697675</v>
      </c>
      <c r="W124" s="247"/>
      <c r="X124" s="248"/>
      <c r="Y124" s="178"/>
      <c r="Z124" s="178"/>
      <c r="AA124" s="178"/>
      <c r="AB124" s="178"/>
      <c r="AC124" s="178"/>
      <c r="AD124" s="178"/>
      <c r="AE124" s="178"/>
      <c r="AF124" s="178"/>
      <c r="AG124" s="139"/>
      <c r="AH124" s="139"/>
      <c r="AI124" s="139"/>
      <c r="AJ124" s="139"/>
    </row>
    <row r="125" spans="1:36" ht="15">
      <c r="A125" s="139"/>
      <c r="B125" s="392" t="s">
        <v>523</v>
      </c>
      <c r="C125" s="407"/>
      <c r="D125" s="252"/>
      <c r="E125" s="12">
        <v>50</v>
      </c>
      <c r="F125" s="13">
        <v>50</v>
      </c>
      <c r="G125" s="13">
        <v>50</v>
      </c>
      <c r="H125" s="13">
        <v>50</v>
      </c>
      <c r="I125" s="13">
        <v>0</v>
      </c>
      <c r="J125" s="13">
        <v>0</v>
      </c>
      <c r="K125" s="13">
        <v>0</v>
      </c>
      <c r="L125" s="13">
        <v>0</v>
      </c>
      <c r="M125" s="14">
        <v>0</v>
      </c>
      <c r="N125" s="218">
        <f>E121*E125/100+F121*F125/100+G121*G125/100+H121*H125/100+I121*I125/100+J121*J125/100+K121*K125/100+L121*L125/100+M121*M125/100</f>
        <v>135</v>
      </c>
      <c r="O125" s="241">
        <f>E120*E125/100+F120*F125/100+G120*G125/100+H120*H125/100+I120*I125/100+J120*J125/100+K120*K125/100+L120*L125/100+M120*M125/100</f>
        <v>870</v>
      </c>
      <c r="P125" s="139"/>
      <c r="Q125" s="139"/>
      <c r="R125" s="139"/>
      <c r="S125" s="228" t="str">
        <f>$R$39</f>
        <v>Not Used</v>
      </c>
      <c r="T125" s="246"/>
      <c r="U125" s="243">
        <f>$R$43</f>
        <v>0</v>
      </c>
      <c r="V125" s="244">
        <f>$U$125/$U$132</f>
        <v>0</v>
      </c>
      <c r="W125" s="247"/>
      <c r="X125" s="248"/>
      <c r="Y125" s="178"/>
      <c r="Z125" s="178"/>
      <c r="AA125" s="178"/>
      <c r="AB125" s="178"/>
      <c r="AC125" s="178"/>
      <c r="AD125" s="178"/>
      <c r="AE125" s="178"/>
      <c r="AF125" s="178"/>
      <c r="AG125" s="139"/>
      <c r="AH125" s="139"/>
      <c r="AI125" s="139"/>
      <c r="AJ125" s="139"/>
    </row>
    <row r="126" spans="1:36" ht="15">
      <c r="A126" s="139"/>
      <c r="B126" s="394" t="s">
        <v>29</v>
      </c>
      <c r="C126" s="405"/>
      <c r="D126" s="252"/>
      <c r="E126" s="15">
        <v>0</v>
      </c>
      <c r="F126" s="16">
        <v>0</v>
      </c>
      <c r="G126" s="16">
        <v>0</v>
      </c>
      <c r="H126" s="16">
        <v>0</v>
      </c>
      <c r="I126" s="16">
        <v>0</v>
      </c>
      <c r="J126" s="16">
        <v>0</v>
      </c>
      <c r="K126" s="16">
        <v>0</v>
      </c>
      <c r="L126" s="16">
        <v>0</v>
      </c>
      <c r="M126" s="17">
        <v>0</v>
      </c>
      <c r="N126" s="218">
        <f>E121*E126/100+F121*F126/100+G121*G126/100+H121*H126/100+I121*I126/100+J121*J126/100+K121*K126/100+L121*L126/100+M121*M126/100</f>
        <v>0</v>
      </c>
      <c r="O126" s="241">
        <f>E120*E126/100+F120*F126/100+G120*G126/100+H120*H126/100+I120*I126/100+J120*J126/100+K120*K126/100+L120*L126/100+M120*M126/100</f>
        <v>0</v>
      </c>
      <c r="P126" s="139"/>
      <c r="Q126" s="139"/>
      <c r="R126" s="139"/>
      <c r="S126" s="228" t="str">
        <f>$T$39</f>
        <v>Not Used</v>
      </c>
      <c r="T126" s="246"/>
      <c r="U126" s="243">
        <f>$T$43</f>
        <v>0</v>
      </c>
      <c r="V126" s="244">
        <f>$U$126/$U$132</f>
        <v>0</v>
      </c>
      <c r="W126" s="247"/>
      <c r="X126" s="248"/>
      <c r="Y126" s="178"/>
      <c r="Z126" s="178"/>
      <c r="AA126" s="178"/>
      <c r="AB126" s="178"/>
      <c r="AC126" s="178"/>
      <c r="AD126" s="178"/>
      <c r="AE126" s="178"/>
      <c r="AF126" s="178"/>
      <c r="AG126" s="139"/>
      <c r="AH126" s="139"/>
      <c r="AI126" s="139"/>
      <c r="AJ126" s="139"/>
    </row>
    <row r="127" spans="1:36" ht="15">
      <c r="A127" s="139"/>
      <c r="B127" s="139"/>
      <c r="C127" s="178"/>
      <c r="D127" s="253" t="s">
        <v>496</v>
      </c>
      <c r="E127" s="218">
        <f aca="true" t="shared" si="7" ref="E127:M127">SUM(E124:E126)</f>
        <v>100</v>
      </c>
      <c r="F127" s="218">
        <f t="shared" si="7"/>
        <v>100</v>
      </c>
      <c r="G127" s="218">
        <f t="shared" si="7"/>
        <v>100</v>
      </c>
      <c r="H127" s="218">
        <f t="shared" si="7"/>
        <v>100</v>
      </c>
      <c r="I127" s="218">
        <f t="shared" si="7"/>
        <v>0</v>
      </c>
      <c r="J127" s="218">
        <f t="shared" si="7"/>
        <v>0</v>
      </c>
      <c r="K127" s="218">
        <f t="shared" si="7"/>
        <v>0</v>
      </c>
      <c r="L127" s="218">
        <f t="shared" si="7"/>
        <v>0</v>
      </c>
      <c r="M127" s="218">
        <f t="shared" si="7"/>
        <v>0</v>
      </c>
      <c r="N127" s="218">
        <f>SUM(N124:N126)</f>
        <v>270</v>
      </c>
      <c r="O127" s="241">
        <f>SUM(O124:O126)</f>
        <v>1740</v>
      </c>
      <c r="P127" s="139"/>
      <c r="Q127" s="139"/>
      <c r="R127" s="139"/>
      <c r="S127" s="228" t="str">
        <f>$V$39</f>
        <v>Not Used</v>
      </c>
      <c r="T127" s="246"/>
      <c r="U127" s="243">
        <f>$V$43</f>
        <v>0</v>
      </c>
      <c r="V127" s="244">
        <f>$U$127/$U$132</f>
        <v>0</v>
      </c>
      <c r="W127" s="245"/>
      <c r="X127" s="245"/>
      <c r="Y127" s="178"/>
      <c r="Z127" s="178"/>
      <c r="AA127" s="178"/>
      <c r="AB127" s="178"/>
      <c r="AC127" s="178"/>
      <c r="AD127" s="178"/>
      <c r="AE127" s="178"/>
      <c r="AF127" s="178"/>
      <c r="AG127" s="139"/>
      <c r="AH127" s="139"/>
      <c r="AI127" s="139"/>
      <c r="AJ127" s="139"/>
    </row>
    <row r="128" spans="1:36" ht="15">
      <c r="A128" s="139"/>
      <c r="B128" s="178"/>
      <c r="C128" s="178"/>
      <c r="D128" s="178"/>
      <c r="E128" s="218"/>
      <c r="F128" s="218"/>
      <c r="G128" s="218"/>
      <c r="H128" s="218"/>
      <c r="I128" s="218"/>
      <c r="J128" s="218"/>
      <c r="K128" s="218"/>
      <c r="L128" s="218"/>
      <c r="M128" s="218"/>
      <c r="N128" s="218"/>
      <c r="O128" s="218"/>
      <c r="P128" s="139"/>
      <c r="Q128" s="139"/>
      <c r="R128" s="139"/>
      <c r="S128" s="228" t="str">
        <f>$X$39</f>
        <v>Not Used</v>
      </c>
      <c r="T128" s="246"/>
      <c r="U128" s="243">
        <f>$X$43</f>
        <v>0</v>
      </c>
      <c r="V128" s="244">
        <f>$U$128/$U$132</f>
        <v>0</v>
      </c>
      <c r="W128" s="247"/>
      <c r="X128" s="245"/>
      <c r="Y128" s="178"/>
      <c r="Z128" s="178"/>
      <c r="AA128" s="178"/>
      <c r="AB128" s="178"/>
      <c r="AC128" s="178"/>
      <c r="AD128" s="178"/>
      <c r="AE128" s="178"/>
      <c r="AF128" s="178"/>
      <c r="AG128" s="139"/>
      <c r="AH128" s="139"/>
      <c r="AI128" s="139"/>
      <c r="AJ128" s="139"/>
    </row>
    <row r="129" spans="1:36" ht="15">
      <c r="A129" s="139"/>
      <c r="B129" s="178"/>
      <c r="C129" s="178"/>
      <c r="D129" s="213"/>
      <c r="E129" s="213"/>
      <c r="F129" s="213"/>
      <c r="G129" s="213"/>
      <c r="H129" s="213"/>
      <c r="I129" s="213"/>
      <c r="J129" s="213"/>
      <c r="K129" s="213"/>
      <c r="L129" s="213"/>
      <c r="M129" s="213"/>
      <c r="N129" s="213"/>
      <c r="O129" s="150"/>
      <c r="P129" s="178"/>
      <c r="Q129" s="139"/>
      <c r="R129" s="139"/>
      <c r="S129" s="228" t="s">
        <v>103</v>
      </c>
      <c r="T129" s="249"/>
      <c r="U129" s="169">
        <f>G23</f>
        <v>4000</v>
      </c>
      <c r="V129" s="244">
        <f>$U$129/$U$132</f>
        <v>0.46511627906976744</v>
      </c>
      <c r="W129" s="178"/>
      <c r="X129" s="178"/>
      <c r="Y129" s="178"/>
      <c r="Z129" s="178"/>
      <c r="AA129" s="178"/>
      <c r="AB129" s="178"/>
      <c r="AC129" s="178"/>
      <c r="AD129" s="178"/>
      <c r="AE129" s="178"/>
      <c r="AF129" s="178"/>
      <c r="AG129" s="139"/>
      <c r="AH129" s="139"/>
      <c r="AI129" s="139"/>
      <c r="AJ129" s="139"/>
    </row>
    <row r="130" spans="1:36" ht="16.5" thickBot="1">
      <c r="A130" s="151" t="s">
        <v>320</v>
      </c>
      <c r="B130" s="234" t="s">
        <v>340</v>
      </c>
      <c r="C130" s="235"/>
      <c r="D130" s="254"/>
      <c r="E130" s="255" t="s">
        <v>417</v>
      </c>
      <c r="F130" s="256"/>
      <c r="G130" s="256"/>
      <c r="H130" s="256"/>
      <c r="I130" s="245"/>
      <c r="J130" s="245"/>
      <c r="K130" s="245"/>
      <c r="L130" s="185"/>
      <c r="M130" s="185"/>
      <c r="N130" s="245"/>
      <c r="O130" s="150"/>
      <c r="P130" s="178"/>
      <c r="Q130" s="213"/>
      <c r="R130" s="213"/>
      <c r="S130" s="228" t="s">
        <v>354</v>
      </c>
      <c r="T130" s="249"/>
      <c r="U130" s="169">
        <f>G24</f>
        <v>1500</v>
      </c>
      <c r="V130" s="244">
        <f>$U$130/$U$132</f>
        <v>0.1744186046511628</v>
      </c>
      <c r="W130" s="178"/>
      <c r="X130" s="178"/>
      <c r="Y130" s="178"/>
      <c r="Z130" s="178"/>
      <c r="AA130" s="178"/>
      <c r="AB130" s="178"/>
      <c r="AC130" s="178"/>
      <c r="AD130" s="178"/>
      <c r="AE130" s="178"/>
      <c r="AF130" s="178"/>
      <c r="AG130" s="139"/>
      <c r="AH130" s="139"/>
      <c r="AI130" s="139"/>
      <c r="AJ130" s="139"/>
    </row>
    <row r="131" spans="1:36" ht="15.75" thickBot="1">
      <c r="A131" s="139"/>
      <c r="B131" s="139"/>
      <c r="C131" s="139"/>
      <c r="D131" s="257"/>
      <c r="E131" s="155" t="s">
        <v>345</v>
      </c>
      <c r="F131" s="155" t="s">
        <v>254</v>
      </c>
      <c r="G131" s="155" t="s">
        <v>350</v>
      </c>
      <c r="H131" s="154" t="s">
        <v>355</v>
      </c>
      <c r="I131" s="154" t="s">
        <v>350</v>
      </c>
      <c r="J131" s="258" t="s">
        <v>386</v>
      </c>
      <c r="K131" s="258" t="s">
        <v>383</v>
      </c>
      <c r="L131" s="259"/>
      <c r="M131" s="259"/>
      <c r="N131" s="245"/>
      <c r="O131" s="150"/>
      <c r="P131" s="178"/>
      <c r="Q131" s="213"/>
      <c r="R131" s="213"/>
      <c r="S131" s="230" t="s">
        <v>353</v>
      </c>
      <c r="T131" s="260"/>
      <c r="U131" s="261">
        <f>G25</f>
        <v>100</v>
      </c>
      <c r="V131" s="262">
        <f>$U$131/$U$132</f>
        <v>0.011627906976744186</v>
      </c>
      <c r="W131" s="178"/>
      <c r="X131" s="178"/>
      <c r="Y131" s="178"/>
      <c r="Z131" s="178"/>
      <c r="AA131" s="178"/>
      <c r="AB131" s="178"/>
      <c r="AC131" s="178"/>
      <c r="AD131" s="178"/>
      <c r="AE131" s="178"/>
      <c r="AF131" s="178"/>
      <c r="AG131" s="139"/>
      <c r="AH131" s="139"/>
      <c r="AI131" s="139"/>
      <c r="AJ131" s="139"/>
    </row>
    <row r="132" spans="1:36" ht="16.5" thickTop="1">
      <c r="A132" s="139"/>
      <c r="B132" s="139"/>
      <c r="C132" s="139"/>
      <c r="D132" s="257"/>
      <c r="E132" s="155" t="s">
        <v>349</v>
      </c>
      <c r="F132" s="155" t="s">
        <v>347</v>
      </c>
      <c r="G132" s="155" t="s">
        <v>63</v>
      </c>
      <c r="H132" s="154" t="s">
        <v>238</v>
      </c>
      <c r="I132" s="154" t="s">
        <v>364</v>
      </c>
      <c r="J132" s="258" t="s">
        <v>387</v>
      </c>
      <c r="K132" s="258" t="s">
        <v>384</v>
      </c>
      <c r="L132" s="259"/>
      <c r="M132" s="259"/>
      <c r="N132" s="245"/>
      <c r="O132" s="150"/>
      <c r="P132" s="178"/>
      <c r="Q132" s="213"/>
      <c r="R132" s="213"/>
      <c r="S132" s="178"/>
      <c r="T132" s="203" t="s">
        <v>359</v>
      </c>
      <c r="U132" s="263">
        <f>SUM(U120:U131)</f>
        <v>8600</v>
      </c>
      <c r="V132" s="264">
        <f>SUM(V120:V131)</f>
        <v>1</v>
      </c>
      <c r="W132" s="178"/>
      <c r="X132" s="178"/>
      <c r="Y132" s="178"/>
      <c r="Z132" s="178"/>
      <c r="AA132" s="178"/>
      <c r="AB132" s="178"/>
      <c r="AC132" s="178"/>
      <c r="AD132" s="178"/>
      <c r="AE132" s="178"/>
      <c r="AF132" s="178"/>
      <c r="AG132" s="139"/>
      <c r="AH132" s="139"/>
      <c r="AI132" s="139"/>
      <c r="AJ132" s="139"/>
    </row>
    <row r="133" spans="1:36" ht="15">
      <c r="A133" s="139"/>
      <c r="B133" s="153" t="s">
        <v>344</v>
      </c>
      <c r="C133" s="178"/>
      <c r="D133" s="257"/>
      <c r="E133" s="155" t="s">
        <v>346</v>
      </c>
      <c r="F133" s="155" t="s">
        <v>348</v>
      </c>
      <c r="G133" s="155" t="s">
        <v>238</v>
      </c>
      <c r="H133" s="265" t="s">
        <v>361</v>
      </c>
      <c r="I133" s="154" t="s">
        <v>365</v>
      </c>
      <c r="J133" s="155" t="s">
        <v>346</v>
      </c>
      <c r="K133" s="155" t="s">
        <v>385</v>
      </c>
      <c r="L133" s="259"/>
      <c r="M133" s="259"/>
      <c r="N133" s="245"/>
      <c r="O133" s="150"/>
      <c r="P133" s="178"/>
      <c r="Q133" s="213"/>
      <c r="R133" s="213"/>
      <c r="S133" s="178"/>
      <c r="T133" s="178"/>
      <c r="U133" s="178"/>
      <c r="V133" s="178"/>
      <c r="W133" s="178"/>
      <c r="X133" s="178"/>
      <c r="Y133" s="178"/>
      <c r="Z133" s="178"/>
      <c r="AA133" s="178"/>
      <c r="AB133" s="178"/>
      <c r="AC133" s="178"/>
      <c r="AD133" s="178"/>
      <c r="AE133" s="178"/>
      <c r="AF133" s="178"/>
      <c r="AG133" s="139"/>
      <c r="AH133" s="139"/>
      <c r="AI133" s="139"/>
      <c r="AJ133" s="139"/>
    </row>
    <row r="134" spans="1:36" ht="15">
      <c r="A134" s="139"/>
      <c r="B134" s="390" t="s">
        <v>525</v>
      </c>
      <c r="C134" s="406"/>
      <c r="D134" s="257"/>
      <c r="E134" s="120">
        <v>35000</v>
      </c>
      <c r="F134" s="118">
        <v>50</v>
      </c>
      <c r="G134" s="266">
        <f>E134/IF(F134=0,1,F134)</f>
        <v>700</v>
      </c>
      <c r="H134" s="123">
        <v>0.3</v>
      </c>
      <c r="I134" s="266">
        <f>G134*(1-H134)</f>
        <v>489.99999999999994</v>
      </c>
      <c r="J134" s="125">
        <v>300</v>
      </c>
      <c r="K134" s="267">
        <f>G134/IF(J134=0,1,J134)</f>
        <v>2.3333333333333335</v>
      </c>
      <c r="L134" s="259"/>
      <c r="M134" s="259"/>
      <c r="N134" s="245"/>
      <c r="O134" s="150"/>
      <c r="P134" s="178"/>
      <c r="Q134" s="213"/>
      <c r="R134" s="213"/>
      <c r="S134" s="178"/>
      <c r="T134" s="178"/>
      <c r="U134" s="178"/>
      <c r="V134" s="178"/>
      <c r="W134" s="178"/>
      <c r="X134" s="178"/>
      <c r="Y134" s="178"/>
      <c r="Z134" s="178"/>
      <c r="AA134" s="178"/>
      <c r="AB134" s="178"/>
      <c r="AC134" s="178"/>
      <c r="AD134" s="178"/>
      <c r="AE134" s="178"/>
      <c r="AF134" s="178"/>
      <c r="AG134" s="139"/>
      <c r="AH134" s="139"/>
      <c r="AI134" s="139"/>
      <c r="AJ134" s="139"/>
    </row>
    <row r="135" spans="1:36" ht="15">
      <c r="A135" s="139"/>
      <c r="B135" s="23" t="s">
        <v>524</v>
      </c>
      <c r="C135" s="25"/>
      <c r="D135" s="257"/>
      <c r="E135" s="121">
        <v>15000</v>
      </c>
      <c r="F135" s="122">
        <v>30</v>
      </c>
      <c r="G135" s="266">
        <f>E135/IF(F135=0,1,F135)</f>
        <v>500</v>
      </c>
      <c r="H135" s="124">
        <v>0</v>
      </c>
      <c r="I135" s="266">
        <f>G135*(1-H135)</f>
        <v>500</v>
      </c>
      <c r="J135" s="126">
        <v>200</v>
      </c>
      <c r="K135" s="267">
        <f>G135/IF(J135=0,1,J135)</f>
        <v>2.5</v>
      </c>
      <c r="L135" s="259"/>
      <c r="M135" s="259"/>
      <c r="N135" s="245"/>
      <c r="O135" s="150"/>
      <c r="P135" s="178"/>
      <c r="Q135" s="213"/>
      <c r="R135" s="213"/>
      <c r="S135" s="178"/>
      <c r="T135" s="178"/>
      <c r="U135" s="178"/>
      <c r="V135" s="178"/>
      <c r="W135" s="178"/>
      <c r="X135" s="178"/>
      <c r="Y135" s="178"/>
      <c r="Z135" s="178"/>
      <c r="AA135" s="178"/>
      <c r="AB135" s="178"/>
      <c r="AC135" s="178"/>
      <c r="AD135" s="178"/>
      <c r="AE135" s="178"/>
      <c r="AF135" s="178"/>
      <c r="AG135" s="139"/>
      <c r="AH135" s="139"/>
      <c r="AI135" s="139"/>
      <c r="AJ135" s="139"/>
    </row>
    <row r="136" spans="1:36" ht="15">
      <c r="A136" s="139"/>
      <c r="B136" s="24" t="s">
        <v>339</v>
      </c>
      <c r="C136" s="26"/>
      <c r="D136" s="257"/>
      <c r="E136" s="80">
        <v>0</v>
      </c>
      <c r="F136" s="17">
        <v>0</v>
      </c>
      <c r="G136" s="266">
        <f>E136/IF(F136=0,1,F136)</f>
        <v>0</v>
      </c>
      <c r="H136" s="81">
        <v>0</v>
      </c>
      <c r="I136" s="266">
        <f>G136*(1-H136)</f>
        <v>0</v>
      </c>
      <c r="J136" s="96">
        <v>0</v>
      </c>
      <c r="K136" s="267">
        <f>G136/IF(J136=0,1,J136)</f>
        <v>0</v>
      </c>
      <c r="L136" s="259"/>
      <c r="M136" s="259"/>
      <c r="N136" s="245"/>
      <c r="O136" s="150"/>
      <c r="P136" s="178"/>
      <c r="Q136" s="213"/>
      <c r="R136" s="213"/>
      <c r="S136" s="178"/>
      <c r="T136" s="178"/>
      <c r="U136" s="178"/>
      <c r="V136" s="178"/>
      <c r="W136" s="178"/>
      <c r="X136" s="178"/>
      <c r="Y136" s="178"/>
      <c r="Z136" s="178"/>
      <c r="AA136" s="178"/>
      <c r="AB136" s="178"/>
      <c r="AC136" s="178"/>
      <c r="AD136" s="178"/>
      <c r="AE136" s="178"/>
      <c r="AF136" s="178"/>
      <c r="AG136" s="139"/>
      <c r="AH136" s="139"/>
      <c r="AI136" s="139"/>
      <c r="AJ136" s="139"/>
    </row>
    <row r="137" spans="1:36" ht="15">
      <c r="A137" s="139"/>
      <c r="B137" s="139"/>
      <c r="C137" s="139"/>
      <c r="D137" s="139"/>
      <c r="E137" s="139"/>
      <c r="F137" s="268"/>
      <c r="G137" s="266"/>
      <c r="H137" s="178"/>
      <c r="I137" s="268"/>
      <c r="J137" s="268"/>
      <c r="K137" s="268"/>
      <c r="L137" s="259"/>
      <c r="M137" s="259"/>
      <c r="N137" s="245"/>
      <c r="O137" s="150"/>
      <c r="P137" s="178"/>
      <c r="Q137" s="213"/>
      <c r="R137" s="213"/>
      <c r="S137" s="178"/>
      <c r="T137" s="178"/>
      <c r="U137" s="178"/>
      <c r="V137" s="178"/>
      <c r="W137" s="178"/>
      <c r="X137" s="178"/>
      <c r="Y137" s="178"/>
      <c r="Z137" s="178"/>
      <c r="AA137" s="178"/>
      <c r="AB137" s="178"/>
      <c r="AC137" s="178"/>
      <c r="AD137" s="178"/>
      <c r="AE137" s="178"/>
      <c r="AF137" s="178"/>
      <c r="AG137" s="139"/>
      <c r="AH137" s="139"/>
      <c r="AI137" s="139"/>
      <c r="AJ137" s="139"/>
    </row>
    <row r="138" spans="1:36" ht="15.75" thickBot="1">
      <c r="A138" s="139"/>
      <c r="B138" s="269"/>
      <c r="C138" s="178"/>
      <c r="D138" s="257"/>
      <c r="E138" s="270"/>
      <c r="F138" s="247"/>
      <c r="G138" s="247"/>
      <c r="H138" s="247"/>
      <c r="I138" s="247"/>
      <c r="J138" s="247"/>
      <c r="K138" s="247"/>
      <c r="L138" s="247"/>
      <c r="M138" s="247"/>
      <c r="N138" s="247"/>
      <c r="O138" s="150"/>
      <c r="P138" s="178"/>
      <c r="Q138" s="213"/>
      <c r="R138" s="213"/>
      <c r="S138" s="178"/>
      <c r="T138" s="178"/>
      <c r="U138" s="178"/>
      <c r="V138" s="178"/>
      <c r="W138" s="178"/>
      <c r="X138" s="178"/>
      <c r="Y138" s="178"/>
      <c r="Z138" s="178"/>
      <c r="AA138" s="178"/>
      <c r="AB138" s="178"/>
      <c r="AC138" s="178"/>
      <c r="AD138" s="178"/>
      <c r="AE138" s="178"/>
      <c r="AF138" s="178"/>
      <c r="AG138" s="139"/>
      <c r="AH138" s="139"/>
      <c r="AI138" s="139"/>
      <c r="AJ138" s="139"/>
    </row>
    <row r="139" spans="1:36" ht="18.75" customHeight="1" thickTop="1">
      <c r="A139" s="139"/>
      <c r="B139" s="269"/>
      <c r="C139" s="178"/>
      <c r="D139" s="257"/>
      <c r="E139" s="416" t="str">
        <f>$H$103</f>
        <v>WW on Fallow</v>
      </c>
      <c r="F139" s="412" t="str">
        <f>$J$103</f>
        <v>SW on Fallow</v>
      </c>
      <c r="G139" s="412" t="str">
        <f>$L$103</f>
        <v>WW on Recrop</v>
      </c>
      <c r="H139" s="412" t="str">
        <f>$N$103</f>
        <v>Barley on Recrop</v>
      </c>
      <c r="I139" s="412" t="str">
        <f>$P$103</f>
        <v>Summer Fallow</v>
      </c>
      <c r="J139" s="412" t="str">
        <f>$R$103</f>
        <v>Not Used</v>
      </c>
      <c r="K139" s="412" t="str">
        <f>$T$103</f>
        <v>Not Used</v>
      </c>
      <c r="L139" s="412" t="str">
        <f>$V$103</f>
        <v>Not Used</v>
      </c>
      <c r="M139" s="414" t="str">
        <f>$X$103</f>
        <v>Not Used</v>
      </c>
      <c r="N139" s="271"/>
      <c r="O139" s="266"/>
      <c r="P139" s="215" t="s">
        <v>362</v>
      </c>
      <c r="Q139" s="139"/>
      <c r="R139" s="213"/>
      <c r="S139" s="178"/>
      <c r="T139" s="178"/>
      <c r="U139" s="178"/>
      <c r="V139" s="178"/>
      <c r="W139" s="178"/>
      <c r="X139" s="178"/>
      <c r="Y139" s="178"/>
      <c r="Z139" s="178"/>
      <c r="AA139" s="178"/>
      <c r="AB139" s="178"/>
      <c r="AC139" s="178"/>
      <c r="AD139" s="178"/>
      <c r="AE139" s="178"/>
      <c r="AF139" s="178"/>
      <c r="AG139" s="139"/>
      <c r="AH139" s="139"/>
      <c r="AI139" s="139"/>
      <c r="AJ139" s="139"/>
    </row>
    <row r="140" spans="1:36" ht="18.75" customHeight="1" thickBot="1">
      <c r="A140" s="139"/>
      <c r="B140" s="139"/>
      <c r="C140" s="139"/>
      <c r="D140" s="139"/>
      <c r="E140" s="417"/>
      <c r="F140" s="413">
        <f>J128</f>
        <v>0</v>
      </c>
      <c r="G140" s="413">
        <f>L128</f>
        <v>0</v>
      </c>
      <c r="H140" s="413">
        <f>N128</f>
        <v>0</v>
      </c>
      <c r="I140" s="413">
        <f>P128</f>
        <v>0</v>
      </c>
      <c r="J140" s="413">
        <f>R128</f>
        <v>0</v>
      </c>
      <c r="K140" s="413">
        <f>T128</f>
        <v>0</v>
      </c>
      <c r="L140" s="413">
        <f>V128</f>
        <v>0</v>
      </c>
      <c r="M140" s="415">
        <f>X128</f>
        <v>0</v>
      </c>
      <c r="N140" s="266" t="s">
        <v>103</v>
      </c>
      <c r="O140" s="266" t="s">
        <v>354</v>
      </c>
      <c r="P140" s="215" t="s">
        <v>363</v>
      </c>
      <c r="Q140" s="245" t="s">
        <v>109</v>
      </c>
      <c r="R140" s="182" t="s">
        <v>280</v>
      </c>
      <c r="S140" s="139"/>
      <c r="T140" s="178"/>
      <c r="U140" s="178"/>
      <c r="V140" s="178"/>
      <c r="W140" s="178"/>
      <c r="X140" s="178"/>
      <c r="Y140" s="178"/>
      <c r="Z140" s="178"/>
      <c r="AA140" s="178"/>
      <c r="AB140" s="178"/>
      <c r="AC140" s="178"/>
      <c r="AD140" s="178"/>
      <c r="AE140" s="178"/>
      <c r="AF140" s="178"/>
      <c r="AG140" s="139"/>
      <c r="AH140" s="139"/>
      <c r="AI140" s="139"/>
      <c r="AJ140" s="139"/>
    </row>
    <row r="141" spans="1:36" ht="15.75" thickTop="1">
      <c r="A141" s="139"/>
      <c r="B141" s="139"/>
      <c r="C141" s="139"/>
      <c r="D141" s="139"/>
      <c r="E141" s="179" t="s">
        <v>369</v>
      </c>
      <c r="F141" s="179" t="s">
        <v>370</v>
      </c>
      <c r="G141" s="179" t="s">
        <v>371</v>
      </c>
      <c r="H141" s="179" t="s">
        <v>372</v>
      </c>
      <c r="I141" s="179" t="s">
        <v>373</v>
      </c>
      <c r="J141" s="179" t="s">
        <v>374</v>
      </c>
      <c r="K141" s="179" t="s">
        <v>375</v>
      </c>
      <c r="L141" s="179" t="s">
        <v>376</v>
      </c>
      <c r="M141" s="179" t="s">
        <v>377</v>
      </c>
      <c r="N141" s="179" t="s">
        <v>378</v>
      </c>
      <c r="O141" s="179" t="s">
        <v>379</v>
      </c>
      <c r="P141" s="179" t="s">
        <v>380</v>
      </c>
      <c r="Q141" s="245" t="s">
        <v>227</v>
      </c>
      <c r="R141" s="182" t="s">
        <v>382</v>
      </c>
      <c r="S141" s="139"/>
      <c r="T141" s="178"/>
      <c r="U141" s="178"/>
      <c r="V141" s="178"/>
      <c r="W141" s="178"/>
      <c r="X141" s="178"/>
      <c r="Y141" s="178"/>
      <c r="Z141" s="178"/>
      <c r="AA141" s="178"/>
      <c r="AB141" s="178"/>
      <c r="AC141" s="178"/>
      <c r="AD141" s="178"/>
      <c r="AE141" s="178"/>
      <c r="AF141" s="178"/>
      <c r="AG141" s="139"/>
      <c r="AH141" s="139"/>
      <c r="AI141" s="139"/>
      <c r="AJ141" s="139"/>
    </row>
    <row r="142" spans="1:36" ht="16.5" thickBot="1">
      <c r="A142" s="170" t="s">
        <v>367</v>
      </c>
      <c r="B142" s="269"/>
      <c r="C142" s="178"/>
      <c r="D142" s="272" t="s">
        <v>366</v>
      </c>
      <c r="E142" s="244">
        <f>$U$120/IF($U$132=0,1,$U$132)</f>
        <v>0.04883720930232558</v>
      </c>
      <c r="F142" s="244">
        <f>$U$121/IF($U$132=0,1,$U$132)</f>
        <v>0.09767441860465116</v>
      </c>
      <c r="G142" s="244">
        <f>$U$122/IF($U$132=0,1,$U$132)</f>
        <v>0.020930232558139535</v>
      </c>
      <c r="H142" s="244">
        <f>$U$123/IF($U$132=0,1,$U$132)</f>
        <v>0.03488372093023256</v>
      </c>
      <c r="I142" s="244">
        <f>$U$124/IF($U$132=0,1,$U$132)</f>
        <v>0.14651162790697675</v>
      </c>
      <c r="J142" s="244">
        <f>$U$125/IF($U$132=0,1,$U$132)</f>
        <v>0</v>
      </c>
      <c r="K142" s="244">
        <f>$U$126/IF($U$132=0,1,$U$132)</f>
        <v>0</v>
      </c>
      <c r="L142" s="244">
        <f>$U$127/IF($U$132=0,1,$U$132)</f>
        <v>0</v>
      </c>
      <c r="M142" s="244">
        <f>$U$128/IF($U$132=0,1,$U$132)</f>
        <v>0</v>
      </c>
      <c r="N142" s="244">
        <f>$U$129/IF($U$132=0,1,$U$132)</f>
        <v>0.46511627906976744</v>
      </c>
      <c r="O142" s="244">
        <f>$U$130/IF($U$132=0,1,$U$132)</f>
        <v>0.1744186046511628</v>
      </c>
      <c r="P142" s="244">
        <f>$U$131/IF($U$132=0,1,$U$132)</f>
        <v>0.011627906976744186</v>
      </c>
      <c r="Q142" s="256" t="s">
        <v>368</v>
      </c>
      <c r="R142" s="256" t="s">
        <v>225</v>
      </c>
      <c r="S142" s="139"/>
      <c r="T142" s="178"/>
      <c r="U142" s="178"/>
      <c r="V142" s="178"/>
      <c r="W142" s="178"/>
      <c r="X142" s="178"/>
      <c r="Y142" s="178"/>
      <c r="Z142" s="178"/>
      <c r="AA142" s="178"/>
      <c r="AB142" s="178"/>
      <c r="AC142" s="178"/>
      <c r="AD142" s="178"/>
      <c r="AE142" s="178"/>
      <c r="AF142" s="178"/>
      <c r="AG142" s="139"/>
      <c r="AH142" s="139"/>
      <c r="AI142" s="139"/>
      <c r="AJ142" s="139"/>
    </row>
    <row r="143" spans="1:36" ht="15.75" thickTop="1">
      <c r="A143" s="139"/>
      <c r="B143" s="402" t="str">
        <f>B134</f>
        <v>Chevy pickup #1</v>
      </c>
      <c r="C143" s="403"/>
      <c r="D143" s="178"/>
      <c r="E143" s="83">
        <v>0.05</v>
      </c>
      <c r="F143" s="84">
        <v>0.1</v>
      </c>
      <c r="G143" s="84">
        <v>0.02</v>
      </c>
      <c r="H143" s="84">
        <v>0.04</v>
      </c>
      <c r="I143" s="84">
        <v>0.05</v>
      </c>
      <c r="J143" s="84"/>
      <c r="K143" s="84"/>
      <c r="L143" s="84"/>
      <c r="M143" s="84"/>
      <c r="N143" s="127">
        <v>0.4</v>
      </c>
      <c r="O143" s="84">
        <v>0.15</v>
      </c>
      <c r="P143" s="85">
        <v>0</v>
      </c>
      <c r="Q143" s="273">
        <f>1-SUM(E143:P143)</f>
        <v>0.18999999999999995</v>
      </c>
      <c r="R143" s="241">
        <f>IF(E143&gt;0,$E$119,0)+IF(F143&gt;0,$F$119,0)+IF(G143&gt;0,$G$119,0)+IF(H143&gt;0,$H$119,0)+IF(I143&gt;0,$I$119,0)+IF(J143&gt;0,$J$119,0)+IF(K143&gt;0,$K$119,0)+IF(L143&gt;0,$L$119,0)+IF(M143&gt;0,$M$119,0)+IF(N143&gt;0,$U$129,0)+IF(O143&gt;0,$U$130,0)+IF(P143&gt;0,$U$131,0)</f>
        <v>8500</v>
      </c>
      <c r="S143" s="139"/>
      <c r="T143" s="178"/>
      <c r="U143" s="178"/>
      <c r="V143" s="178"/>
      <c r="W143" s="178"/>
      <c r="X143" s="178"/>
      <c r="Y143" s="178"/>
      <c r="Z143" s="178"/>
      <c r="AA143" s="178"/>
      <c r="AB143" s="178"/>
      <c r="AC143" s="178"/>
      <c r="AD143" s="178"/>
      <c r="AE143" s="178"/>
      <c r="AF143" s="178"/>
      <c r="AG143" s="139"/>
      <c r="AH143" s="139"/>
      <c r="AI143" s="139"/>
      <c r="AJ143" s="139"/>
    </row>
    <row r="144" spans="1:36" ht="15">
      <c r="A144" s="139"/>
      <c r="B144" s="396" t="str">
        <f>B135</f>
        <v>Ford pickup #2</v>
      </c>
      <c r="C144" s="397"/>
      <c r="D144" s="178"/>
      <c r="E144" s="86">
        <v>0.1</v>
      </c>
      <c r="F144" s="87"/>
      <c r="G144" s="87"/>
      <c r="H144" s="87"/>
      <c r="I144" s="87"/>
      <c r="J144" s="87"/>
      <c r="K144" s="87"/>
      <c r="L144" s="87"/>
      <c r="M144" s="87"/>
      <c r="N144" s="128">
        <v>0.8</v>
      </c>
      <c r="O144" s="87">
        <v>0.1</v>
      </c>
      <c r="P144" s="88"/>
      <c r="Q144" s="273">
        <f>1-SUM(E144:P144)</f>
        <v>0</v>
      </c>
      <c r="R144" s="241">
        <f>IF(E144&gt;0,$E$119,0)+IF(F144&gt;0,$F$119,0)+IF(G144&gt;0,$G$119,0)+IF(H144&gt;0,$H$119,0)+IF(I144&gt;0,$I$119,0)+IF(J144&gt;0,$J$119,0)+IF(K144&gt;0,$K$119,0)+IF(L144&gt;0,$L$119,0)+IF(M144&gt;0,$M$119,0)+IF(N144&gt;0,$U$129,0)+IF(O144&gt;0,$U$130,0)+IF(P144&gt;0,$U$131,0)</f>
        <v>5920</v>
      </c>
      <c r="S144" s="139"/>
      <c r="T144" s="178"/>
      <c r="U144" s="178"/>
      <c r="V144" s="178"/>
      <c r="W144" s="178"/>
      <c r="X144" s="178"/>
      <c r="Y144" s="178"/>
      <c r="Z144" s="178"/>
      <c r="AA144" s="178"/>
      <c r="AB144" s="178"/>
      <c r="AC144" s="178"/>
      <c r="AD144" s="178"/>
      <c r="AE144" s="178"/>
      <c r="AF144" s="178"/>
      <c r="AG144" s="139"/>
      <c r="AH144" s="139"/>
      <c r="AI144" s="139"/>
      <c r="AJ144" s="139"/>
    </row>
    <row r="145" spans="1:36" ht="15.75" thickBot="1">
      <c r="A145" s="139"/>
      <c r="B145" s="398" t="str">
        <f>B136</f>
        <v>Pickup not used</v>
      </c>
      <c r="C145" s="399"/>
      <c r="D145" s="178"/>
      <c r="E145" s="89"/>
      <c r="F145" s="90"/>
      <c r="G145" s="90"/>
      <c r="H145" s="90"/>
      <c r="I145" s="90"/>
      <c r="J145" s="90"/>
      <c r="K145" s="90"/>
      <c r="L145" s="90"/>
      <c r="M145" s="90"/>
      <c r="N145" s="90"/>
      <c r="O145" s="90"/>
      <c r="P145" s="91"/>
      <c r="Q145" s="273">
        <f>1-SUM(E145:P145)</f>
        <v>1</v>
      </c>
      <c r="R145" s="241">
        <f>IF(E145&gt;0,$E$119,0)+IF(F145&gt;0,$F$119,0)+IF(G145&gt;0,$G$119,0)+IF(H145&gt;0,$H$119,0)+IF(I145&gt;0,$I$119,0)+IF(J145&gt;0,$J$119,0)+IF(K145&gt;0,$K$119,0)+IF(L145&gt;0,$L$119,0)+IF(M145&gt;0,$M$119,0)+IF(N145&gt;0,$U$129,0)+IF(O145&gt;0,$U$130,0)+IF(P145&gt;0,$U$131,0)</f>
        <v>0</v>
      </c>
      <c r="S145" s="139"/>
      <c r="T145" s="178"/>
      <c r="U145" s="178"/>
      <c r="V145" s="178"/>
      <c r="W145" s="178"/>
      <c r="X145" s="178"/>
      <c r="Y145" s="178"/>
      <c r="Z145" s="178"/>
      <c r="AA145" s="178"/>
      <c r="AB145" s="178"/>
      <c r="AC145" s="178"/>
      <c r="AD145" s="178"/>
      <c r="AE145" s="178"/>
      <c r="AF145" s="178"/>
      <c r="AG145" s="139"/>
      <c r="AH145" s="139"/>
      <c r="AI145" s="139"/>
      <c r="AJ145" s="139"/>
    </row>
    <row r="146" spans="1:36" ht="15.75" thickTop="1">
      <c r="A146" s="139"/>
      <c r="B146" s="274"/>
      <c r="C146" s="178"/>
      <c r="D146" s="178"/>
      <c r="E146" s="178"/>
      <c r="F146" s="139"/>
      <c r="G146" s="178"/>
      <c r="H146" s="178"/>
      <c r="I146" s="178"/>
      <c r="J146" s="178"/>
      <c r="K146" s="178"/>
      <c r="L146" s="178"/>
      <c r="M146" s="178"/>
      <c r="N146" s="178"/>
      <c r="O146" s="178"/>
      <c r="P146" s="213"/>
      <c r="Q146" s="213"/>
      <c r="R146" s="213"/>
      <c r="S146" s="178"/>
      <c r="T146" s="178"/>
      <c r="U146" s="178"/>
      <c r="V146" s="178"/>
      <c r="W146" s="178"/>
      <c r="X146" s="178"/>
      <c r="Y146" s="178"/>
      <c r="Z146" s="178"/>
      <c r="AA146" s="178"/>
      <c r="AB146" s="178"/>
      <c r="AC146" s="178"/>
      <c r="AD146" s="178"/>
      <c r="AE146" s="178"/>
      <c r="AF146" s="178"/>
      <c r="AG146" s="139"/>
      <c r="AH146" s="139"/>
      <c r="AI146" s="139"/>
      <c r="AJ146" s="139"/>
    </row>
    <row r="147" spans="1:36" ht="15">
      <c r="A147" s="139"/>
      <c r="B147" s="178"/>
      <c r="C147" s="178"/>
      <c r="D147" s="139"/>
      <c r="E147" s="139"/>
      <c r="F147" s="178"/>
      <c r="G147" s="139"/>
      <c r="H147" s="178"/>
      <c r="I147" s="213"/>
      <c r="J147" s="213"/>
      <c r="K147" s="178"/>
      <c r="L147" s="139"/>
      <c r="M147" s="139"/>
      <c r="N147" s="139"/>
      <c r="O147" s="139"/>
      <c r="P147" s="139"/>
      <c r="Q147" s="178"/>
      <c r="R147" s="178"/>
      <c r="S147" s="178"/>
      <c r="T147" s="178"/>
      <c r="U147" s="178"/>
      <c r="V147" s="178"/>
      <c r="W147" s="178"/>
      <c r="X147" s="178"/>
      <c r="Y147" s="178"/>
      <c r="Z147" s="178"/>
      <c r="AA147" s="178"/>
      <c r="AB147" s="178"/>
      <c r="AC147" s="178"/>
      <c r="AD147" s="178"/>
      <c r="AE147" s="178"/>
      <c r="AF147" s="178"/>
      <c r="AG147" s="139"/>
      <c r="AH147" s="139"/>
      <c r="AI147" s="139"/>
      <c r="AJ147" s="139"/>
    </row>
    <row r="148" spans="1:36" ht="16.5" thickBot="1">
      <c r="A148" s="151" t="s">
        <v>321</v>
      </c>
      <c r="B148" s="275" t="s">
        <v>343</v>
      </c>
      <c r="C148" s="178"/>
      <c r="D148" s="182" t="s">
        <v>63</v>
      </c>
      <c r="E148" s="139"/>
      <c r="F148" s="178"/>
      <c r="G148" s="178"/>
      <c r="H148" s="178"/>
      <c r="I148" s="213"/>
      <c r="J148" s="213"/>
      <c r="K148" s="178"/>
      <c r="L148" s="139"/>
      <c r="M148" s="139"/>
      <c r="N148" s="139"/>
      <c r="O148" s="139"/>
      <c r="P148" s="139"/>
      <c r="Q148" s="178"/>
      <c r="R148" s="178"/>
      <c r="S148" s="178"/>
      <c r="T148" s="178"/>
      <c r="U148" s="178"/>
      <c r="V148" s="178"/>
      <c r="W148" s="178"/>
      <c r="X148" s="178"/>
      <c r="Y148" s="178"/>
      <c r="Z148" s="178"/>
      <c r="AA148" s="178"/>
      <c r="AB148" s="178"/>
      <c r="AC148" s="178"/>
      <c r="AD148" s="178"/>
      <c r="AE148" s="178"/>
      <c r="AF148" s="178"/>
      <c r="AG148" s="139"/>
      <c r="AH148" s="139"/>
      <c r="AI148" s="139"/>
      <c r="AJ148" s="139"/>
    </row>
    <row r="149" spans="1:36" ht="16.5" thickTop="1">
      <c r="A149" s="139"/>
      <c r="B149" s="427" t="s">
        <v>415</v>
      </c>
      <c r="C149" s="428"/>
      <c r="D149" s="182" t="s">
        <v>342</v>
      </c>
      <c r="E149" s="139"/>
      <c r="F149" s="178"/>
      <c r="G149" s="178"/>
      <c r="H149" s="178"/>
      <c r="I149" s="213"/>
      <c r="J149" s="213"/>
      <c r="K149" s="178"/>
      <c r="L149" s="139"/>
      <c r="M149" s="139"/>
      <c r="N149" s="139"/>
      <c r="O149" s="139"/>
      <c r="P149" s="139"/>
      <c r="Q149" s="178"/>
      <c r="R149" s="178"/>
      <c r="S149" s="178"/>
      <c r="T149" s="178"/>
      <c r="U149" s="178"/>
      <c r="V149" s="178"/>
      <c r="W149" s="178"/>
      <c r="X149" s="178"/>
      <c r="Y149" s="178"/>
      <c r="Z149" s="178"/>
      <c r="AA149" s="178"/>
      <c r="AB149" s="178"/>
      <c r="AC149" s="178"/>
      <c r="AD149" s="178"/>
      <c r="AE149" s="178"/>
      <c r="AF149" s="178"/>
      <c r="AG149" s="139"/>
      <c r="AH149" s="139"/>
      <c r="AI149" s="139"/>
      <c r="AJ149" s="139"/>
    </row>
    <row r="150" spans="1:36" ht="15">
      <c r="A150" s="139"/>
      <c r="B150" s="396" t="str">
        <f aca="true" t="shared" si="8" ref="B150:B155">B106</f>
        <v>3/4 ton Chevy Pickup</v>
      </c>
      <c r="C150" s="397"/>
      <c r="D150" s="30">
        <v>0</v>
      </c>
      <c r="E150" s="139"/>
      <c r="F150" s="178"/>
      <c r="G150" s="178"/>
      <c r="H150" s="178"/>
      <c r="I150" s="213"/>
      <c r="J150" s="213"/>
      <c r="K150" s="178"/>
      <c r="L150" s="139"/>
      <c r="M150" s="139"/>
      <c r="N150" s="139"/>
      <c r="O150" s="139"/>
      <c r="P150" s="139"/>
      <c r="Q150" s="178"/>
      <c r="R150" s="178"/>
      <c r="S150" s="178"/>
      <c r="T150" s="178"/>
      <c r="U150" s="178"/>
      <c r="V150" s="178"/>
      <c r="W150" s="178"/>
      <c r="X150" s="178"/>
      <c r="Y150" s="178"/>
      <c r="Z150" s="178"/>
      <c r="AA150" s="178"/>
      <c r="AB150" s="178"/>
      <c r="AC150" s="178"/>
      <c r="AD150" s="178"/>
      <c r="AE150" s="178"/>
      <c r="AF150" s="178"/>
      <c r="AG150" s="139"/>
      <c r="AH150" s="139"/>
      <c r="AI150" s="139"/>
      <c r="AJ150" s="139"/>
    </row>
    <row r="151" spans="1:36" ht="15">
      <c r="A151" s="139"/>
      <c r="B151" s="396" t="str">
        <f t="shared" si="8"/>
        <v>260 hp 4wd #11</v>
      </c>
      <c r="C151" s="397"/>
      <c r="D151" s="31">
        <v>0</v>
      </c>
      <c r="E151" s="139"/>
      <c r="F151" s="178"/>
      <c r="G151" s="178"/>
      <c r="H151" s="178"/>
      <c r="I151" s="213"/>
      <c r="J151" s="213"/>
      <c r="K151" s="178"/>
      <c r="L151" s="139"/>
      <c r="M151" s="139"/>
      <c r="N151" s="139"/>
      <c r="O151" s="139"/>
      <c r="P151" s="139"/>
      <c r="Q151" s="178"/>
      <c r="R151" s="178"/>
      <c r="S151" s="178"/>
      <c r="T151" s="178"/>
      <c r="U151" s="178"/>
      <c r="V151" s="178"/>
      <c r="W151" s="178"/>
      <c r="X151" s="178"/>
      <c r="Y151" s="178"/>
      <c r="Z151" s="178"/>
      <c r="AA151" s="178"/>
      <c r="AB151" s="178"/>
      <c r="AC151" s="178"/>
      <c r="AD151" s="178"/>
      <c r="AE151" s="178"/>
      <c r="AF151" s="178"/>
      <c r="AG151" s="139"/>
      <c r="AH151" s="139"/>
      <c r="AI151" s="139"/>
      <c r="AJ151" s="139"/>
    </row>
    <row r="152" spans="1:36" ht="15">
      <c r="A152" s="139"/>
      <c r="B152" s="396" t="str">
        <f t="shared" si="8"/>
        <v>80 hp 2wd #5</v>
      </c>
      <c r="C152" s="397"/>
      <c r="D152" s="31">
        <v>0</v>
      </c>
      <c r="E152" s="139"/>
      <c r="F152" s="178"/>
      <c r="G152" s="178"/>
      <c r="H152" s="178"/>
      <c r="I152" s="213"/>
      <c r="J152" s="213"/>
      <c r="K152" s="178"/>
      <c r="L152" s="139"/>
      <c r="M152" s="139"/>
      <c r="N152" s="139"/>
      <c r="O152" s="139"/>
      <c r="P152" s="139"/>
      <c r="Q152" s="178"/>
      <c r="R152" s="178"/>
      <c r="S152" s="178"/>
      <c r="T152" s="178"/>
      <c r="U152" s="178"/>
      <c r="V152" s="178"/>
      <c r="W152" s="178"/>
      <c r="X152" s="178"/>
      <c r="Y152" s="178"/>
      <c r="Z152" s="178"/>
      <c r="AA152" s="178"/>
      <c r="AB152" s="178"/>
      <c r="AC152" s="178"/>
      <c r="AD152" s="178"/>
      <c r="AE152" s="178"/>
      <c r="AF152" s="178"/>
      <c r="AG152" s="139"/>
      <c r="AH152" s="139"/>
      <c r="AI152" s="139"/>
      <c r="AJ152" s="139"/>
    </row>
    <row r="153" spans="1:36" ht="15">
      <c r="A153" s="139"/>
      <c r="B153" s="396" t="str">
        <f t="shared" si="8"/>
        <v>#4 tractor not used</v>
      </c>
      <c r="C153" s="397"/>
      <c r="D153" s="31">
        <v>0</v>
      </c>
      <c r="E153" s="139"/>
      <c r="F153" s="178"/>
      <c r="G153" s="178"/>
      <c r="H153" s="178"/>
      <c r="I153" s="213"/>
      <c r="J153" s="213"/>
      <c r="K153" s="178"/>
      <c r="L153" s="139"/>
      <c r="M153" s="139"/>
      <c r="N153" s="139"/>
      <c r="O153" s="139"/>
      <c r="P153" s="139"/>
      <c r="Q153" s="178"/>
      <c r="R153" s="178"/>
      <c r="S153" s="178"/>
      <c r="T153" s="178"/>
      <c r="U153" s="178"/>
      <c r="V153" s="178"/>
      <c r="W153" s="178"/>
      <c r="X153" s="178"/>
      <c r="Y153" s="178"/>
      <c r="Z153" s="178"/>
      <c r="AA153" s="178"/>
      <c r="AB153" s="178"/>
      <c r="AC153" s="178"/>
      <c r="AD153" s="178"/>
      <c r="AE153" s="178"/>
      <c r="AF153" s="178"/>
      <c r="AG153" s="139"/>
      <c r="AH153" s="139"/>
      <c r="AI153" s="139"/>
      <c r="AJ153" s="139"/>
    </row>
    <row r="154" spans="1:36" ht="15">
      <c r="A154" s="139"/>
      <c r="B154" s="396" t="str">
        <f t="shared" si="8"/>
        <v>#5 tractor not used</v>
      </c>
      <c r="C154" s="397"/>
      <c r="D154" s="31">
        <v>0</v>
      </c>
      <c r="E154" s="139"/>
      <c r="F154" s="178"/>
      <c r="G154" s="178"/>
      <c r="H154" s="178"/>
      <c r="I154" s="213"/>
      <c r="J154" s="213"/>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39"/>
      <c r="AH154" s="139"/>
      <c r="AI154" s="139"/>
      <c r="AJ154" s="139"/>
    </row>
    <row r="155" spans="1:36" ht="15">
      <c r="A155" s="139"/>
      <c r="B155" s="396" t="str">
        <f t="shared" si="8"/>
        <v>#6 tractor not used</v>
      </c>
      <c r="C155" s="397"/>
      <c r="D155" s="32">
        <v>0</v>
      </c>
      <c r="E155" s="139"/>
      <c r="F155" s="178"/>
      <c r="G155" s="178"/>
      <c r="H155" s="178"/>
      <c r="I155" s="213"/>
      <c r="J155" s="213"/>
      <c r="K155" s="178"/>
      <c r="L155" s="178"/>
      <c r="M155" s="178"/>
      <c r="N155" s="178"/>
      <c r="O155" s="178"/>
      <c r="P155" s="178"/>
      <c r="Q155" s="178"/>
      <c r="R155" s="178"/>
      <c r="S155" s="178"/>
      <c r="T155" s="178"/>
      <c r="U155" s="178"/>
      <c r="V155" s="178"/>
      <c r="W155" s="178"/>
      <c r="X155" s="178"/>
      <c r="Y155" s="178"/>
      <c r="Z155" s="178"/>
      <c r="AA155" s="178"/>
      <c r="AB155" s="178"/>
      <c r="AC155" s="178"/>
      <c r="AD155" s="178"/>
      <c r="AE155" s="178"/>
      <c r="AF155" s="178"/>
      <c r="AG155" s="139"/>
      <c r="AH155" s="139"/>
      <c r="AI155" s="139"/>
      <c r="AJ155" s="139"/>
    </row>
    <row r="156" spans="1:36" ht="15.75">
      <c r="A156" s="139"/>
      <c r="B156" s="410" t="s">
        <v>416</v>
      </c>
      <c r="C156" s="411"/>
      <c r="D156" s="195"/>
      <c r="E156" s="139"/>
      <c r="F156" s="178"/>
      <c r="G156" s="178"/>
      <c r="H156" s="178"/>
      <c r="I156" s="213"/>
      <c r="J156" s="213"/>
      <c r="K156" s="178"/>
      <c r="L156" s="178"/>
      <c r="M156" s="178"/>
      <c r="N156" s="178"/>
      <c r="O156" s="178"/>
      <c r="P156" s="178"/>
      <c r="Q156" s="178"/>
      <c r="R156" s="178"/>
      <c r="S156" s="178"/>
      <c r="T156" s="178"/>
      <c r="U156" s="178"/>
      <c r="V156" s="178"/>
      <c r="W156" s="178"/>
      <c r="X156" s="178"/>
      <c r="Y156" s="178"/>
      <c r="Z156" s="178"/>
      <c r="AA156" s="178"/>
      <c r="AB156" s="178"/>
      <c r="AC156" s="178"/>
      <c r="AD156" s="178"/>
      <c r="AE156" s="178"/>
      <c r="AF156" s="178"/>
      <c r="AG156" s="139"/>
      <c r="AH156" s="139"/>
      <c r="AI156" s="139"/>
      <c r="AJ156" s="139"/>
    </row>
    <row r="157" spans="1:36" ht="15">
      <c r="A157" s="139"/>
      <c r="B157" s="396" t="str">
        <f>B124</f>
        <v>350 bushel truck #1</v>
      </c>
      <c r="C157" s="397"/>
      <c r="D157" s="30">
        <v>0</v>
      </c>
      <c r="E157" s="139"/>
      <c r="F157" s="178"/>
      <c r="G157" s="178"/>
      <c r="H157" s="178"/>
      <c r="I157" s="213"/>
      <c r="J157" s="213"/>
      <c r="K157" s="178"/>
      <c r="L157" s="178"/>
      <c r="M157" s="178"/>
      <c r="N157" s="178"/>
      <c r="O157" s="178"/>
      <c r="P157" s="178"/>
      <c r="Q157" s="178"/>
      <c r="R157" s="178"/>
      <c r="S157" s="178"/>
      <c r="T157" s="178"/>
      <c r="U157" s="178"/>
      <c r="V157" s="178"/>
      <c r="W157" s="178"/>
      <c r="X157" s="178"/>
      <c r="Y157" s="178"/>
      <c r="Z157" s="178"/>
      <c r="AA157" s="178"/>
      <c r="AB157" s="178"/>
      <c r="AC157" s="178"/>
      <c r="AD157" s="178"/>
      <c r="AE157" s="178"/>
      <c r="AF157" s="178"/>
      <c r="AG157" s="139"/>
      <c r="AH157" s="139"/>
      <c r="AI157" s="139"/>
      <c r="AJ157" s="139"/>
    </row>
    <row r="158" spans="1:36" ht="15">
      <c r="A158" s="139"/>
      <c r="B158" s="396" t="str">
        <f>B125</f>
        <v>350 bushel truck #2</v>
      </c>
      <c r="C158" s="397"/>
      <c r="D158" s="31">
        <v>0</v>
      </c>
      <c r="E158" s="139"/>
      <c r="F158" s="178"/>
      <c r="G158" s="178"/>
      <c r="H158" s="178"/>
      <c r="I158" s="213"/>
      <c r="J158" s="213"/>
      <c r="K158" s="178"/>
      <c r="L158" s="178"/>
      <c r="M158" s="178"/>
      <c r="N158" s="178"/>
      <c r="O158" s="178"/>
      <c r="P158" s="178"/>
      <c r="Q158" s="178"/>
      <c r="R158" s="178"/>
      <c r="S158" s="178"/>
      <c r="T158" s="178"/>
      <c r="U158" s="178"/>
      <c r="V158" s="178"/>
      <c r="W158" s="178"/>
      <c r="X158" s="178"/>
      <c r="Y158" s="178"/>
      <c r="Z158" s="178"/>
      <c r="AA158" s="178"/>
      <c r="AB158" s="178"/>
      <c r="AC158" s="178"/>
      <c r="AD158" s="178"/>
      <c r="AE158" s="178"/>
      <c r="AF158" s="178"/>
      <c r="AG158" s="139"/>
      <c r="AH158" s="139"/>
      <c r="AI158" s="139"/>
      <c r="AJ158" s="139"/>
    </row>
    <row r="159" spans="1:36" ht="15.75" thickBot="1">
      <c r="A159" s="139"/>
      <c r="B159" s="398" t="str">
        <f>B126</f>
        <v># 3 Truck Not Used</v>
      </c>
      <c r="C159" s="399"/>
      <c r="D159" s="92">
        <v>0</v>
      </c>
      <c r="E159" s="139"/>
      <c r="F159" s="178"/>
      <c r="G159" s="178"/>
      <c r="H159" s="178"/>
      <c r="I159" s="213"/>
      <c r="J159" s="213"/>
      <c r="K159" s="178"/>
      <c r="L159" s="178"/>
      <c r="M159" s="178"/>
      <c r="N159" s="178"/>
      <c r="O159" s="178"/>
      <c r="P159" s="178"/>
      <c r="Q159" s="178"/>
      <c r="R159" s="178"/>
      <c r="S159" s="178"/>
      <c r="T159" s="178"/>
      <c r="U159" s="178"/>
      <c r="V159" s="178"/>
      <c r="W159" s="178"/>
      <c r="X159" s="178"/>
      <c r="Y159" s="178"/>
      <c r="Z159" s="178"/>
      <c r="AA159" s="178"/>
      <c r="AB159" s="178"/>
      <c r="AC159" s="178"/>
      <c r="AD159" s="178"/>
      <c r="AE159" s="178"/>
      <c r="AF159" s="178"/>
      <c r="AG159" s="139"/>
      <c r="AH159" s="139"/>
      <c r="AI159" s="139"/>
      <c r="AJ159" s="139"/>
    </row>
    <row r="160" spans="1:36" ht="16.5" thickTop="1">
      <c r="A160" s="150"/>
      <c r="B160" s="426"/>
      <c r="C160" s="426"/>
      <c r="D160" s="200"/>
      <c r="E160" s="150"/>
      <c r="F160" s="178"/>
      <c r="G160" s="178"/>
      <c r="H160" s="178"/>
      <c r="I160" s="213"/>
      <c r="J160" s="213"/>
      <c r="K160" s="178"/>
      <c r="L160" s="178"/>
      <c r="M160" s="178"/>
      <c r="N160" s="178"/>
      <c r="O160" s="178"/>
      <c r="P160" s="178"/>
      <c r="Q160" s="178"/>
      <c r="R160" s="178"/>
      <c r="S160" s="178"/>
      <c r="T160" s="178"/>
      <c r="U160" s="178"/>
      <c r="V160" s="178"/>
      <c r="W160" s="178"/>
      <c r="X160" s="178"/>
      <c r="Y160" s="178"/>
      <c r="Z160" s="178"/>
      <c r="AA160" s="178"/>
      <c r="AB160" s="178"/>
      <c r="AC160" s="178"/>
      <c r="AD160" s="178"/>
      <c r="AE160" s="178"/>
      <c r="AF160" s="178"/>
      <c r="AG160" s="139"/>
      <c r="AH160" s="139"/>
      <c r="AI160" s="139"/>
      <c r="AJ160" s="139"/>
    </row>
    <row r="161" spans="1:36" ht="15">
      <c r="A161" s="150"/>
      <c r="B161" s="276"/>
      <c r="C161" s="276"/>
      <c r="D161" s="268"/>
      <c r="E161" s="150"/>
      <c r="F161" s="178"/>
      <c r="G161" s="178"/>
      <c r="H161" s="178"/>
      <c r="I161" s="213"/>
      <c r="J161" s="213"/>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39"/>
      <c r="AH161" s="139"/>
      <c r="AI161" s="139"/>
      <c r="AJ161" s="139"/>
    </row>
    <row r="162" spans="1:36" ht="15.75">
      <c r="A162" s="151" t="s">
        <v>326</v>
      </c>
      <c r="B162" s="178" t="s">
        <v>30</v>
      </c>
      <c r="C162" s="178"/>
      <c r="D162" s="178"/>
      <c r="E162" s="178"/>
      <c r="F162" s="178"/>
      <c r="G162" s="178"/>
      <c r="H162" s="139"/>
      <c r="I162" s="139"/>
      <c r="J162" s="139"/>
      <c r="K162" s="139"/>
      <c r="L162" s="139"/>
      <c r="M162" s="139"/>
      <c r="N162" s="178"/>
      <c r="O162" s="178"/>
      <c r="P162" s="178"/>
      <c r="Q162" s="178"/>
      <c r="R162" s="178"/>
      <c r="S162" s="178"/>
      <c r="T162" s="178"/>
      <c r="U162" s="178"/>
      <c r="V162" s="178"/>
      <c r="W162" s="178"/>
      <c r="X162" s="178"/>
      <c r="Y162" s="178"/>
      <c r="Z162" s="178"/>
      <c r="AA162" s="178"/>
      <c r="AB162" s="178"/>
      <c r="AC162" s="178"/>
      <c r="AD162" s="178"/>
      <c r="AE162" s="178"/>
      <c r="AF162" s="178"/>
      <c r="AG162" s="139"/>
      <c r="AH162" s="139"/>
      <c r="AI162" s="139"/>
      <c r="AJ162" s="139"/>
    </row>
    <row r="163" spans="1:36" ht="15">
      <c r="A163" s="139"/>
      <c r="B163" s="178"/>
      <c r="C163" s="178"/>
      <c r="D163" s="178"/>
      <c r="E163" s="178"/>
      <c r="F163" s="178"/>
      <c r="G163" s="178"/>
      <c r="H163" s="178"/>
      <c r="I163" s="139"/>
      <c r="J163" s="139"/>
      <c r="K163" s="139"/>
      <c r="L163" s="139"/>
      <c r="M163" s="139"/>
      <c r="N163" s="178"/>
      <c r="O163" s="213"/>
      <c r="P163" s="213"/>
      <c r="Q163" s="178"/>
      <c r="R163" s="178"/>
      <c r="S163" s="178"/>
      <c r="T163" s="178"/>
      <c r="U163" s="178"/>
      <c r="V163" s="178"/>
      <c r="W163" s="178"/>
      <c r="X163" s="178"/>
      <c r="Y163" s="178"/>
      <c r="Z163" s="178"/>
      <c r="AA163" s="178"/>
      <c r="AB163" s="178"/>
      <c r="AC163" s="178"/>
      <c r="AD163" s="178"/>
      <c r="AE163" s="178"/>
      <c r="AF163" s="178"/>
      <c r="AG163" s="139"/>
      <c r="AH163" s="139"/>
      <c r="AI163" s="139"/>
      <c r="AJ163" s="139"/>
    </row>
    <row r="164" spans="1:36" ht="15">
      <c r="A164" s="139"/>
      <c r="B164" s="178" t="s">
        <v>31</v>
      </c>
      <c r="C164" s="178"/>
      <c r="D164" s="178"/>
      <c r="E164" s="129">
        <v>0.05</v>
      </c>
      <c r="F164" s="178"/>
      <c r="G164" s="277" t="s">
        <v>367</v>
      </c>
      <c r="H164" s="178"/>
      <c r="I164" s="178"/>
      <c r="J164" s="178"/>
      <c r="K164" s="178"/>
      <c r="L164" s="139"/>
      <c r="M164" s="139"/>
      <c r="N164" s="178"/>
      <c r="O164" s="213"/>
      <c r="P164" s="213"/>
      <c r="Q164" s="178"/>
      <c r="R164" s="178"/>
      <c r="S164" s="178"/>
      <c r="T164" s="178"/>
      <c r="U164" s="178"/>
      <c r="V164" s="178"/>
      <c r="W164" s="178"/>
      <c r="X164" s="178"/>
      <c r="Y164" s="178"/>
      <c r="Z164" s="178"/>
      <c r="AA164" s="178"/>
      <c r="AB164" s="178"/>
      <c r="AC164" s="178"/>
      <c r="AD164" s="178"/>
      <c r="AE164" s="178"/>
      <c r="AF164" s="178"/>
      <c r="AG164" s="139"/>
      <c r="AH164" s="139"/>
      <c r="AI164" s="139"/>
      <c r="AJ164" s="139"/>
    </row>
    <row r="165" spans="1:36" ht="15">
      <c r="A165" s="139"/>
      <c r="B165" s="178" t="s">
        <v>332</v>
      </c>
      <c r="C165" s="178"/>
      <c r="D165" s="178"/>
      <c r="E165" s="130">
        <v>0.09</v>
      </c>
      <c r="F165" s="178"/>
      <c r="G165" s="278" t="s">
        <v>418</v>
      </c>
      <c r="H165" s="279"/>
      <c r="I165" s="280"/>
      <c r="J165" s="178"/>
      <c r="K165" s="178"/>
      <c r="L165" s="139"/>
      <c r="M165" s="139"/>
      <c r="N165" s="178"/>
      <c r="O165" s="213"/>
      <c r="P165" s="213"/>
      <c r="Q165" s="178"/>
      <c r="R165" s="178"/>
      <c r="S165" s="178"/>
      <c r="T165" s="178"/>
      <c r="U165" s="178"/>
      <c r="V165" s="178"/>
      <c r="W165" s="178"/>
      <c r="X165" s="178"/>
      <c r="Y165" s="178"/>
      <c r="Z165" s="178"/>
      <c r="AA165" s="178"/>
      <c r="AB165" s="178"/>
      <c r="AC165" s="178"/>
      <c r="AD165" s="178"/>
      <c r="AE165" s="178"/>
      <c r="AF165" s="178"/>
      <c r="AG165" s="139"/>
      <c r="AH165" s="139"/>
      <c r="AI165" s="139"/>
      <c r="AJ165" s="139"/>
    </row>
    <row r="166" spans="1:36" ht="15">
      <c r="A166" s="139"/>
      <c r="B166" s="178" t="s">
        <v>33</v>
      </c>
      <c r="C166" s="178"/>
      <c r="D166" s="178"/>
      <c r="E166" s="34">
        <v>0.06</v>
      </c>
      <c r="F166" s="178"/>
      <c r="G166" s="281" t="s">
        <v>419</v>
      </c>
      <c r="H166" s="282"/>
      <c r="I166" s="283"/>
      <c r="J166" s="178"/>
      <c r="K166" s="178"/>
      <c r="L166" s="139"/>
      <c r="M166" s="139"/>
      <c r="N166" s="178"/>
      <c r="O166" s="213"/>
      <c r="P166" s="213"/>
      <c r="Q166" s="178"/>
      <c r="R166" s="178"/>
      <c r="S166" s="178"/>
      <c r="T166" s="178"/>
      <c r="U166" s="178"/>
      <c r="V166" s="178"/>
      <c r="W166" s="178"/>
      <c r="X166" s="178"/>
      <c r="Y166" s="178"/>
      <c r="Z166" s="178"/>
      <c r="AA166" s="178"/>
      <c r="AB166" s="178"/>
      <c r="AC166" s="178"/>
      <c r="AD166" s="178"/>
      <c r="AE166" s="178"/>
      <c r="AF166" s="178"/>
      <c r="AG166" s="139"/>
      <c r="AH166" s="139"/>
      <c r="AI166" s="139"/>
      <c r="AJ166" s="139"/>
    </row>
    <row r="167" spans="1:36" ht="15">
      <c r="A167" s="139"/>
      <c r="B167" s="178" t="s">
        <v>35</v>
      </c>
      <c r="C167" s="178"/>
      <c r="D167" s="178"/>
      <c r="E167" s="34">
        <v>300</v>
      </c>
      <c r="F167" s="178"/>
      <c r="G167" s="278" t="s">
        <v>32</v>
      </c>
      <c r="H167" s="279"/>
      <c r="I167" s="284">
        <v>0.044</v>
      </c>
      <c r="J167" s="139"/>
      <c r="K167" s="139"/>
      <c r="L167" s="139"/>
      <c r="M167" s="139"/>
      <c r="N167" s="178"/>
      <c r="O167" s="213"/>
      <c r="P167" s="213"/>
      <c r="Q167" s="178"/>
      <c r="R167" s="178"/>
      <c r="S167" s="178"/>
      <c r="T167" s="178"/>
      <c r="U167" s="178"/>
      <c r="V167" s="178"/>
      <c r="W167" s="178"/>
      <c r="X167" s="178"/>
      <c r="Y167" s="178"/>
      <c r="Z167" s="178"/>
      <c r="AA167" s="178"/>
      <c r="AB167" s="178"/>
      <c r="AC167" s="178"/>
      <c r="AD167" s="178"/>
      <c r="AE167" s="178"/>
      <c r="AF167" s="178"/>
      <c r="AG167" s="139"/>
      <c r="AH167" s="139"/>
      <c r="AI167" s="139"/>
      <c r="AJ167" s="139"/>
    </row>
    <row r="168" spans="1:36" ht="15">
      <c r="A168" s="139"/>
      <c r="B168" s="178" t="s">
        <v>333</v>
      </c>
      <c r="C168" s="178"/>
      <c r="D168" s="178"/>
      <c r="E168" s="34">
        <v>4.5</v>
      </c>
      <c r="F168" s="178"/>
      <c r="G168" s="285" t="s">
        <v>34</v>
      </c>
      <c r="H168" s="213"/>
      <c r="I168" s="286">
        <v>0.06</v>
      </c>
      <c r="J168" s="139"/>
      <c r="K168" s="139"/>
      <c r="L168" s="178"/>
      <c r="M168" s="178"/>
      <c r="N168" s="178"/>
      <c r="O168" s="213"/>
      <c r="P168" s="213"/>
      <c r="Q168" s="178"/>
      <c r="R168" s="178"/>
      <c r="S168" s="178"/>
      <c r="T168" s="178"/>
      <c r="U168" s="178"/>
      <c r="V168" s="178"/>
      <c r="W168" s="178"/>
      <c r="X168" s="178"/>
      <c r="Y168" s="178"/>
      <c r="Z168" s="178"/>
      <c r="AA168" s="178"/>
      <c r="AB168" s="178"/>
      <c r="AC168" s="178"/>
      <c r="AD168" s="178"/>
      <c r="AE168" s="178"/>
      <c r="AF168" s="178"/>
      <c r="AG168" s="139"/>
      <c r="AH168" s="139"/>
      <c r="AI168" s="139"/>
      <c r="AJ168" s="139"/>
    </row>
    <row r="169" spans="1:36" ht="15">
      <c r="A169" s="139"/>
      <c r="B169" s="178" t="s">
        <v>37</v>
      </c>
      <c r="C169" s="178"/>
      <c r="D169" s="178"/>
      <c r="E169" s="131">
        <v>1.8</v>
      </c>
      <c r="F169" s="178"/>
      <c r="G169" s="287" t="s">
        <v>36</v>
      </c>
      <c r="H169" s="282"/>
      <c r="I169" s="288">
        <v>0.072</v>
      </c>
      <c r="J169" s="139"/>
      <c r="K169" s="139"/>
      <c r="L169" s="178"/>
      <c r="M169" s="178"/>
      <c r="N169" s="178"/>
      <c r="O169" s="213"/>
      <c r="P169" s="213"/>
      <c r="Q169" s="178"/>
      <c r="R169" s="178"/>
      <c r="S169" s="178"/>
      <c r="T169" s="178"/>
      <c r="U169" s="178"/>
      <c r="V169" s="178"/>
      <c r="W169" s="178"/>
      <c r="X169" s="178"/>
      <c r="Y169" s="178"/>
      <c r="Z169" s="178"/>
      <c r="AA169" s="178"/>
      <c r="AB169" s="178"/>
      <c r="AC169" s="178"/>
      <c r="AD169" s="178"/>
      <c r="AE169" s="178"/>
      <c r="AF169" s="178"/>
      <c r="AG169" s="139"/>
      <c r="AH169" s="139"/>
      <c r="AI169" s="139"/>
      <c r="AJ169" s="139"/>
    </row>
    <row r="170" spans="1:36" ht="15">
      <c r="A170" s="139"/>
      <c r="B170" s="178" t="s">
        <v>38</v>
      </c>
      <c r="C170" s="178"/>
      <c r="D170" s="178"/>
      <c r="E170" s="131">
        <v>1.75</v>
      </c>
      <c r="F170" s="178"/>
      <c r="G170" s="139"/>
      <c r="H170" s="178"/>
      <c r="I170" s="178"/>
      <c r="J170" s="178"/>
      <c r="K170" s="178"/>
      <c r="L170" s="178"/>
      <c r="M170" s="178"/>
      <c r="N170" s="178"/>
      <c r="O170" s="213"/>
      <c r="P170" s="213"/>
      <c r="Q170" s="178"/>
      <c r="R170" s="178"/>
      <c r="S170" s="178"/>
      <c r="T170" s="178"/>
      <c r="U170" s="178"/>
      <c r="V170" s="178"/>
      <c r="W170" s="178"/>
      <c r="X170" s="178"/>
      <c r="Y170" s="178"/>
      <c r="Z170" s="178"/>
      <c r="AA170" s="178"/>
      <c r="AB170" s="178"/>
      <c r="AC170" s="178"/>
      <c r="AD170" s="178"/>
      <c r="AE170" s="178"/>
      <c r="AF170" s="178"/>
      <c r="AG170" s="139"/>
      <c r="AH170" s="139"/>
      <c r="AI170" s="139"/>
      <c r="AJ170" s="139"/>
    </row>
    <row r="171" spans="1:36" ht="15">
      <c r="A171" s="139"/>
      <c r="B171" s="178" t="s">
        <v>39</v>
      </c>
      <c r="C171" s="178"/>
      <c r="D171" s="178"/>
      <c r="E171" s="119">
        <v>0</v>
      </c>
      <c r="F171" s="178"/>
      <c r="G171" s="139"/>
      <c r="H171" s="178"/>
      <c r="I171" s="178"/>
      <c r="J171" s="178"/>
      <c r="K171" s="178"/>
      <c r="L171" s="178"/>
      <c r="M171" s="178"/>
      <c r="N171" s="178"/>
      <c r="O171" s="213"/>
      <c r="P171" s="213"/>
      <c r="Q171" s="178"/>
      <c r="R171" s="178"/>
      <c r="S171" s="178"/>
      <c r="T171" s="178"/>
      <c r="U171" s="178"/>
      <c r="V171" s="178"/>
      <c r="W171" s="178"/>
      <c r="X171" s="178"/>
      <c r="Y171" s="178"/>
      <c r="Z171" s="178"/>
      <c r="AA171" s="178"/>
      <c r="AB171" s="178"/>
      <c r="AC171" s="178"/>
      <c r="AD171" s="178"/>
      <c r="AE171" s="178"/>
      <c r="AF171" s="178"/>
      <c r="AG171" s="139"/>
      <c r="AH171" s="139"/>
      <c r="AI171" s="139"/>
      <c r="AJ171" s="139"/>
    </row>
    <row r="172" spans="1:36" ht="15">
      <c r="A172" s="139"/>
      <c r="B172" s="178"/>
      <c r="C172" s="178"/>
      <c r="D172" s="178"/>
      <c r="E172" s="178"/>
      <c r="F172" s="178"/>
      <c r="G172" s="178"/>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39"/>
      <c r="AH172" s="139"/>
      <c r="AI172" s="139"/>
      <c r="AJ172" s="139"/>
    </row>
    <row r="173" spans="1:36" ht="15">
      <c r="A173" s="139"/>
      <c r="B173" s="178"/>
      <c r="C173" s="178"/>
      <c r="D173" s="182"/>
      <c r="E173" s="182"/>
      <c r="F173" s="182"/>
      <c r="G173" s="182"/>
      <c r="H173" s="182"/>
      <c r="I173" s="182"/>
      <c r="J173" s="182"/>
      <c r="K173" s="182"/>
      <c r="L173" s="182"/>
      <c r="M173" s="182"/>
      <c r="N173" s="182"/>
      <c r="O173" s="182"/>
      <c r="P173" s="182"/>
      <c r="Q173" s="182"/>
      <c r="R173" s="182"/>
      <c r="S173" s="182"/>
      <c r="T173" s="182"/>
      <c r="U173" s="182"/>
      <c r="V173" s="182"/>
      <c r="W173" s="182"/>
      <c r="X173" s="182"/>
      <c r="Y173" s="182"/>
      <c r="Z173" s="182"/>
      <c r="AA173" s="182"/>
      <c r="AB173" s="182"/>
      <c r="AC173" s="182"/>
      <c r="AD173" s="178"/>
      <c r="AE173" s="178"/>
      <c r="AF173" s="178"/>
      <c r="AG173" s="139"/>
      <c r="AH173" s="139"/>
      <c r="AI173" s="139"/>
      <c r="AJ173" s="139"/>
    </row>
    <row r="174" spans="1:36" ht="15">
      <c r="A174" s="139"/>
      <c r="B174" s="178"/>
      <c r="C174" s="178"/>
      <c r="D174" s="182"/>
      <c r="E174" s="182"/>
      <c r="F174" s="182"/>
      <c r="G174" s="182"/>
      <c r="H174" s="182"/>
      <c r="I174" s="182"/>
      <c r="J174" s="182"/>
      <c r="K174" s="182"/>
      <c r="L174" s="182"/>
      <c r="M174" s="182"/>
      <c r="N174" s="182"/>
      <c r="O174" s="289"/>
      <c r="P174" s="139"/>
      <c r="Q174" s="139"/>
      <c r="R174" s="139"/>
      <c r="S174" s="250"/>
      <c r="T174" s="139"/>
      <c r="U174" s="139"/>
      <c r="V174" s="139"/>
      <c r="W174" s="139"/>
      <c r="X174" s="182"/>
      <c r="Y174" s="182"/>
      <c r="Z174" s="182"/>
      <c r="AA174" s="182"/>
      <c r="AB174" s="182"/>
      <c r="AC174" s="182"/>
      <c r="AD174" s="178"/>
      <c r="AE174" s="178"/>
      <c r="AF174" s="178"/>
      <c r="AG174" s="139"/>
      <c r="AH174" s="139"/>
      <c r="AI174" s="139"/>
      <c r="AJ174" s="139"/>
    </row>
    <row r="175" spans="1:36" ht="15.75" thickBot="1">
      <c r="A175" s="139"/>
      <c r="B175" s="178"/>
      <c r="C175" s="178"/>
      <c r="D175" s="182" t="s">
        <v>4</v>
      </c>
      <c r="E175" s="182" t="s">
        <v>4</v>
      </c>
      <c r="F175" s="182" t="s">
        <v>58</v>
      </c>
      <c r="G175" s="182" t="s">
        <v>4</v>
      </c>
      <c r="H175" s="182" t="s">
        <v>4</v>
      </c>
      <c r="I175" s="182" t="s">
        <v>4</v>
      </c>
      <c r="J175" s="182" t="s">
        <v>4</v>
      </c>
      <c r="K175" s="139"/>
      <c r="L175" s="182"/>
      <c r="M175" s="182"/>
      <c r="N175" s="182" t="s">
        <v>4</v>
      </c>
      <c r="O175" s="182" t="s">
        <v>4</v>
      </c>
      <c r="P175" s="429" t="s">
        <v>337</v>
      </c>
      <c r="Q175" s="429"/>
      <c r="R175" s="429"/>
      <c r="S175" s="182" t="s">
        <v>247</v>
      </c>
      <c r="T175" s="429" t="s">
        <v>336</v>
      </c>
      <c r="U175" s="429"/>
      <c r="V175" s="429"/>
      <c r="W175" s="429"/>
      <c r="X175" s="182" t="s">
        <v>254</v>
      </c>
      <c r="Y175" s="182" t="s">
        <v>257</v>
      </c>
      <c r="Z175" s="182" t="s">
        <v>260</v>
      </c>
      <c r="AA175" s="182" t="s">
        <v>261</v>
      </c>
      <c r="AB175" s="290" t="s">
        <v>263</v>
      </c>
      <c r="AC175" s="182" t="s">
        <v>265</v>
      </c>
      <c r="AD175" s="178"/>
      <c r="AE175" s="178"/>
      <c r="AF175" s="178"/>
      <c r="AG175" s="139"/>
      <c r="AH175" s="139"/>
      <c r="AI175" s="139"/>
      <c r="AJ175" s="139"/>
    </row>
    <row r="176" spans="1:36" ht="15">
      <c r="A176" s="139"/>
      <c r="B176" s="178"/>
      <c r="C176" s="178"/>
      <c r="D176" s="182" t="s">
        <v>229</v>
      </c>
      <c r="E176" s="182" t="s">
        <v>231</v>
      </c>
      <c r="F176" s="182" t="s">
        <v>233</v>
      </c>
      <c r="G176" s="182" t="s">
        <v>4</v>
      </c>
      <c r="H176" s="182" t="s">
        <v>4</v>
      </c>
      <c r="I176" s="182" t="s">
        <v>236</v>
      </c>
      <c r="J176" s="182" t="s">
        <v>215</v>
      </c>
      <c r="K176" s="182" t="s">
        <v>238</v>
      </c>
      <c r="L176" s="182" t="s">
        <v>240</v>
      </c>
      <c r="M176" s="182" t="s">
        <v>243</v>
      </c>
      <c r="N176" s="182" t="s">
        <v>497</v>
      </c>
      <c r="O176" s="182" t="s">
        <v>59</v>
      </c>
      <c r="P176" s="139"/>
      <c r="Q176" s="139"/>
      <c r="R176" s="139"/>
      <c r="S176" s="291" t="s">
        <v>249</v>
      </c>
      <c r="T176" s="291" t="s">
        <v>4</v>
      </c>
      <c r="U176" s="291" t="s">
        <v>251</v>
      </c>
      <c r="V176" s="291" t="s">
        <v>4</v>
      </c>
      <c r="W176" s="291" t="s">
        <v>4</v>
      </c>
      <c r="X176" s="291" t="s">
        <v>255</v>
      </c>
      <c r="Y176" s="182" t="s">
        <v>258</v>
      </c>
      <c r="Z176" s="182" t="s">
        <v>62</v>
      </c>
      <c r="AA176" s="182" t="s">
        <v>249</v>
      </c>
      <c r="AB176" s="290" t="s">
        <v>255</v>
      </c>
      <c r="AC176" s="182" t="s">
        <v>264</v>
      </c>
      <c r="AD176" s="178"/>
      <c r="AE176" s="178"/>
      <c r="AF176" s="178"/>
      <c r="AG176" s="139"/>
      <c r="AH176" s="139"/>
      <c r="AI176" s="139"/>
      <c r="AJ176" s="139"/>
    </row>
    <row r="177" spans="1:36" ht="16.5" thickBot="1">
      <c r="A177" s="151" t="s">
        <v>327</v>
      </c>
      <c r="B177" s="292" t="s">
        <v>317</v>
      </c>
      <c r="C177" s="293"/>
      <c r="D177" s="219" t="s">
        <v>230</v>
      </c>
      <c r="E177" s="219" t="s">
        <v>232</v>
      </c>
      <c r="F177" s="219" t="s">
        <v>63</v>
      </c>
      <c r="G177" s="219" t="s">
        <v>234</v>
      </c>
      <c r="H177" s="219" t="s">
        <v>235</v>
      </c>
      <c r="I177" s="219" t="s">
        <v>107</v>
      </c>
      <c r="J177" s="219" t="s">
        <v>237</v>
      </c>
      <c r="K177" s="219" t="s">
        <v>239</v>
      </c>
      <c r="L177" s="219" t="s">
        <v>241</v>
      </c>
      <c r="M177" s="219" t="s">
        <v>64</v>
      </c>
      <c r="N177" s="219" t="s">
        <v>244</v>
      </c>
      <c r="O177" s="219" t="s">
        <v>64</v>
      </c>
      <c r="P177" s="294" t="s">
        <v>242</v>
      </c>
      <c r="Q177" s="294" t="s">
        <v>245</v>
      </c>
      <c r="R177" s="294" t="s">
        <v>246</v>
      </c>
      <c r="S177" s="294" t="s">
        <v>248</v>
      </c>
      <c r="T177" s="294" t="s">
        <v>250</v>
      </c>
      <c r="U177" s="294" t="s">
        <v>61</v>
      </c>
      <c r="V177" s="294" t="s">
        <v>252</v>
      </c>
      <c r="W177" s="294" t="s">
        <v>253</v>
      </c>
      <c r="X177" s="294" t="s">
        <v>256</v>
      </c>
      <c r="Y177" s="219" t="s">
        <v>259</v>
      </c>
      <c r="Z177" s="219" t="s">
        <v>60</v>
      </c>
      <c r="AA177" s="219" t="s">
        <v>262</v>
      </c>
      <c r="AB177" s="295" t="s">
        <v>262</v>
      </c>
      <c r="AC177" s="219" t="s">
        <v>258</v>
      </c>
      <c r="AD177" s="178"/>
      <c r="AE177" s="178"/>
      <c r="AF177" s="178"/>
      <c r="AG177" s="139"/>
      <c r="AH177" s="139"/>
      <c r="AI177" s="139"/>
      <c r="AJ177" s="139"/>
    </row>
    <row r="178" spans="1:36" ht="15.75" thickTop="1">
      <c r="A178" s="139"/>
      <c r="B178" s="226" t="str">
        <f aca="true" t="shared" si="9" ref="B178:B191">B49</f>
        <v>skid mount sprayer</v>
      </c>
      <c r="C178" s="227"/>
      <c r="D178" s="73">
        <v>4900</v>
      </c>
      <c r="E178" s="68">
        <v>0</v>
      </c>
      <c r="F178" s="20">
        <v>1200</v>
      </c>
      <c r="G178" s="193">
        <f aca="true" t="shared" si="10" ref="G178:G191">D49</f>
        <v>5</v>
      </c>
      <c r="H178" s="193">
        <f aca="true" t="shared" si="11" ref="H178:H191">E49</f>
        <v>60</v>
      </c>
      <c r="I178" s="193">
        <f aca="true" t="shared" si="12" ref="I178:I191">F49</f>
        <v>65</v>
      </c>
      <c r="J178" s="193">
        <f aca="true" t="shared" si="13" ref="J178:J191">G49</f>
        <v>23.636363636363637</v>
      </c>
      <c r="K178" s="193">
        <f aca="true" t="shared" si="14" ref="K178:K191">Z49</f>
        <v>4740</v>
      </c>
      <c r="L178" s="193">
        <f aca="true" t="shared" si="15" ref="L178:L191">AA49</f>
        <v>200.53846153846155</v>
      </c>
      <c r="M178" s="297"/>
      <c r="N178" s="297"/>
      <c r="O178" s="60">
        <v>1</v>
      </c>
      <c r="P178" s="298">
        <f>L178*M178*N178*IF(M178&lt;0.05,E169,IF(M178&gt;0.07,E171,E170))</f>
        <v>0</v>
      </c>
      <c r="Q178" s="298">
        <f aca="true" t="shared" si="16" ref="Q178:Q193">0.15*P178</f>
        <v>0</v>
      </c>
      <c r="R178" s="298">
        <f aca="true" t="shared" si="17" ref="R178:R193">IF(O178&gt;3,O178/100,O178)*D178/IF(F178&lt;5,1,F178)*L178</f>
        <v>818.8653846153846</v>
      </c>
      <c r="S178" s="536">
        <f aca="true" t="shared" si="18" ref="S178:S193">SUM(P178:R178)/IF(K178&lt;1,1,K178)</f>
        <v>0.17275641025641025</v>
      </c>
      <c r="T178" s="298">
        <f aca="true" t="shared" si="19" ref="T178:T193">(D178-E178)/IF(F178&lt;5,1,F178)*L178</f>
        <v>818.8653846153846</v>
      </c>
      <c r="U178" s="298">
        <f>(D178+E178)/2*IF(E164&lt;1,E164,E164/100)</f>
        <v>122.5</v>
      </c>
      <c r="V178" s="298">
        <f>((D178+E178)/2)/1000*IF(E166&lt;1,E166,E166/100)*IF(E167&gt;1,E167,E167*100)</f>
        <v>44.099999999999994</v>
      </c>
      <c r="W178" s="298">
        <f>((D178+E178)/2)/1000*E168</f>
        <v>11.025</v>
      </c>
      <c r="X178" s="536">
        <f aca="true" t="shared" si="20" ref="X178:X193">SUM(T178:W178)/IF(K178&lt;1,1,K178)</f>
        <v>0.21023003894839337</v>
      </c>
      <c r="Y178" s="536">
        <f aca="true" t="shared" si="21" ref="Y178:Y193">S178+X178</f>
        <v>0.3829864492048036</v>
      </c>
      <c r="Z178" s="299">
        <f aca="true" t="shared" si="22" ref="Z178:Z193">F178/IF(L178&lt;1,1,L178)</f>
        <v>5.983889528193325</v>
      </c>
      <c r="AA178" s="300">
        <f aca="true" t="shared" si="23" ref="AA178:AA193">K178*S178</f>
        <v>818.8653846153846</v>
      </c>
      <c r="AB178" s="300">
        <f aca="true" t="shared" si="24" ref="AB178:AB193">K178*X178</f>
        <v>996.4903846153845</v>
      </c>
      <c r="AC178" s="300">
        <f aca="true" t="shared" si="25" ref="AC178:AC193">AA178+AB178</f>
        <v>1815.355769230769</v>
      </c>
      <c r="AD178" s="213"/>
      <c r="AE178" s="213"/>
      <c r="AF178" s="178"/>
      <c r="AG178" s="139"/>
      <c r="AH178" s="139"/>
      <c r="AI178" s="139"/>
      <c r="AJ178" s="139"/>
    </row>
    <row r="179" spans="1:36" ht="15">
      <c r="A179" s="139"/>
      <c r="B179" s="228" t="str">
        <f t="shared" si="9"/>
        <v>air seeder</v>
      </c>
      <c r="C179" s="229"/>
      <c r="D179" s="74">
        <v>50700</v>
      </c>
      <c r="E179" s="70">
        <v>0</v>
      </c>
      <c r="F179" s="14">
        <v>2000</v>
      </c>
      <c r="G179" s="193">
        <f t="shared" si="10"/>
        <v>4.5</v>
      </c>
      <c r="H179" s="193">
        <f t="shared" si="11"/>
        <v>42</v>
      </c>
      <c r="I179" s="193">
        <f t="shared" si="12"/>
        <v>75</v>
      </c>
      <c r="J179" s="193">
        <f t="shared" si="13"/>
        <v>17.181818181818183</v>
      </c>
      <c r="K179" s="193">
        <f t="shared" si="14"/>
        <v>1740</v>
      </c>
      <c r="L179" s="193">
        <f t="shared" si="15"/>
        <v>101.26984126984127</v>
      </c>
      <c r="M179" s="297"/>
      <c r="N179" s="297"/>
      <c r="O179" s="61">
        <v>1</v>
      </c>
      <c r="P179" s="298">
        <f>L179*M179*N179*IF(M179&lt;0.05,E169,IF(M179&gt;0.07,E171,E170))</f>
        <v>0</v>
      </c>
      <c r="Q179" s="298">
        <f t="shared" si="16"/>
        <v>0</v>
      </c>
      <c r="R179" s="298">
        <f t="shared" si="17"/>
        <v>2567.190476190476</v>
      </c>
      <c r="S179" s="536">
        <f t="shared" si="18"/>
        <v>1.4753968253968253</v>
      </c>
      <c r="T179" s="298">
        <f t="shared" si="19"/>
        <v>2567.190476190476</v>
      </c>
      <c r="U179" s="298">
        <f>(D179+E179)/2*IF(E164&lt;1,E164,E164/100)</f>
        <v>1267.5</v>
      </c>
      <c r="V179" s="298">
        <f>((D179+E179)/2)/1000*IF(E166&lt;1,E166,E166/100)*IF(E167&gt;1,E167,E167*100)</f>
        <v>456.3</v>
      </c>
      <c r="W179" s="298">
        <f>((D179+E179)/2)/1000*E168</f>
        <v>114.075</v>
      </c>
      <c r="X179" s="536">
        <f t="shared" si="20"/>
        <v>2.5316468253968254</v>
      </c>
      <c r="Y179" s="536">
        <f t="shared" si="21"/>
        <v>4.00704365079365</v>
      </c>
      <c r="Z179" s="299">
        <f t="shared" si="22"/>
        <v>19.74921630094044</v>
      </c>
      <c r="AA179" s="300">
        <f t="shared" si="23"/>
        <v>2567.190476190476</v>
      </c>
      <c r="AB179" s="300">
        <f t="shared" si="24"/>
        <v>4405.065476190476</v>
      </c>
      <c r="AC179" s="300">
        <f t="shared" si="25"/>
        <v>6972.255952380952</v>
      </c>
      <c r="AD179" s="213"/>
      <c r="AE179" s="213"/>
      <c r="AF179" s="178"/>
      <c r="AG179" s="139"/>
      <c r="AH179" s="139"/>
      <c r="AI179" s="139"/>
      <c r="AJ179" s="139"/>
    </row>
    <row r="180" spans="1:36" ht="15">
      <c r="A180" s="139"/>
      <c r="B180" s="228" t="str">
        <f t="shared" si="9"/>
        <v>fertilizer spreader - rented from dealer</v>
      </c>
      <c r="C180" s="229"/>
      <c r="D180" s="74">
        <v>0</v>
      </c>
      <c r="E180" s="70">
        <v>0</v>
      </c>
      <c r="F180" s="14">
        <v>0</v>
      </c>
      <c r="G180" s="193">
        <f t="shared" si="10"/>
        <v>5</v>
      </c>
      <c r="H180" s="193">
        <f t="shared" si="11"/>
        <v>50</v>
      </c>
      <c r="I180" s="193">
        <f t="shared" si="12"/>
        <v>70</v>
      </c>
      <c r="J180" s="193">
        <f t="shared" si="13"/>
        <v>21.21212121212121</v>
      </c>
      <c r="K180" s="193">
        <f t="shared" si="14"/>
        <v>600</v>
      </c>
      <c r="L180" s="193">
        <f t="shared" si="15"/>
        <v>28.28571428571429</v>
      </c>
      <c r="M180" s="297"/>
      <c r="N180" s="297"/>
      <c r="O180" s="61">
        <v>0</v>
      </c>
      <c r="P180" s="298">
        <f>L180*M180*N180*IF(M180&lt;0.05,E169,IF(M180&gt;0.07,E171,E170))</f>
        <v>0</v>
      </c>
      <c r="Q180" s="298">
        <f t="shared" si="16"/>
        <v>0</v>
      </c>
      <c r="R180" s="298">
        <f t="shared" si="17"/>
        <v>0</v>
      </c>
      <c r="S180" s="536">
        <f t="shared" si="18"/>
        <v>0</v>
      </c>
      <c r="T180" s="298">
        <f t="shared" si="19"/>
        <v>0</v>
      </c>
      <c r="U180" s="298">
        <f>(D180+E180)/2*IF(E164&lt;1,E164,E164/100)</f>
        <v>0</v>
      </c>
      <c r="V180" s="298">
        <f>((D180+E180)/2)/1000*IF(E166&lt;1,E166,E166/100)*IF(E167&gt;1,E167,E167*100)</f>
        <v>0</v>
      </c>
      <c r="W180" s="298">
        <f>((D180+E180)/2)/1000*E168</f>
        <v>0</v>
      </c>
      <c r="X180" s="536">
        <f t="shared" si="20"/>
        <v>0</v>
      </c>
      <c r="Y180" s="536">
        <f t="shared" si="21"/>
        <v>0</v>
      </c>
      <c r="Z180" s="299">
        <f t="shared" si="22"/>
        <v>0</v>
      </c>
      <c r="AA180" s="300">
        <f t="shared" si="23"/>
        <v>0</v>
      </c>
      <c r="AB180" s="300">
        <f t="shared" si="24"/>
        <v>0</v>
      </c>
      <c r="AC180" s="300">
        <f t="shared" si="25"/>
        <v>0</v>
      </c>
      <c r="AD180" s="213"/>
      <c r="AE180" s="213"/>
      <c r="AF180" s="178"/>
      <c r="AG180" s="139"/>
      <c r="AH180" s="139"/>
      <c r="AI180" s="139"/>
      <c r="AJ180" s="139"/>
    </row>
    <row r="181" spans="1:36" ht="15">
      <c r="A181" s="139"/>
      <c r="B181" s="228" t="str">
        <f t="shared" si="9"/>
        <v>Tool Bar</v>
      </c>
      <c r="C181" s="229"/>
      <c r="D181" s="74">
        <v>34490</v>
      </c>
      <c r="E181" s="70">
        <v>0</v>
      </c>
      <c r="F181" s="14">
        <v>2500</v>
      </c>
      <c r="G181" s="193">
        <f t="shared" si="10"/>
        <v>6</v>
      </c>
      <c r="H181" s="193">
        <f t="shared" si="11"/>
        <v>42</v>
      </c>
      <c r="I181" s="193">
        <f t="shared" si="12"/>
        <v>75</v>
      </c>
      <c r="J181" s="193">
        <f t="shared" si="13"/>
        <v>22.90909090909091</v>
      </c>
      <c r="K181" s="193">
        <f t="shared" si="14"/>
        <v>3780</v>
      </c>
      <c r="L181" s="193">
        <f t="shared" si="15"/>
        <v>165</v>
      </c>
      <c r="M181" s="297"/>
      <c r="N181" s="297"/>
      <c r="O181" s="61">
        <v>1.2</v>
      </c>
      <c r="P181" s="298">
        <f>L181*M181*N181*IF(M181&lt;0.05,E169,IF(M181&gt;0.07,E171,E170))</f>
        <v>0</v>
      </c>
      <c r="Q181" s="298">
        <f t="shared" si="16"/>
        <v>0</v>
      </c>
      <c r="R181" s="298">
        <f t="shared" si="17"/>
        <v>2731.6079999999997</v>
      </c>
      <c r="S181" s="536">
        <f t="shared" si="18"/>
        <v>0.722647619047619</v>
      </c>
      <c r="T181" s="298">
        <f t="shared" si="19"/>
        <v>2276.3399999999997</v>
      </c>
      <c r="U181" s="298">
        <f>(D181+E181)/2*IF(E164&lt;1,E164,E164/100)</f>
        <v>862.25</v>
      </c>
      <c r="V181" s="298">
        <f>((D181+E181)/2)/1000*IF(E166&lt;1,E166,E166/100)*IF(E167&gt;1,E167,E167*100)</f>
        <v>310.40999999999997</v>
      </c>
      <c r="W181" s="298">
        <f>((D181+E181)/2)/1000*E168</f>
        <v>77.6025</v>
      </c>
      <c r="X181" s="536">
        <f t="shared" si="20"/>
        <v>0.9329636243386242</v>
      </c>
      <c r="Y181" s="536">
        <f t="shared" si="21"/>
        <v>1.655611243386243</v>
      </c>
      <c r="Z181" s="299">
        <f t="shared" si="22"/>
        <v>15.151515151515152</v>
      </c>
      <c r="AA181" s="300">
        <f t="shared" si="23"/>
        <v>2731.6079999999997</v>
      </c>
      <c r="AB181" s="300">
        <f t="shared" si="24"/>
        <v>3526.6024999999995</v>
      </c>
      <c r="AC181" s="300">
        <f t="shared" si="25"/>
        <v>6258.210499999999</v>
      </c>
      <c r="AD181" s="213"/>
      <c r="AE181" s="213"/>
      <c r="AF181" s="178"/>
      <c r="AG181" s="139"/>
      <c r="AH181" s="139"/>
      <c r="AI181" s="139"/>
      <c r="AJ181" s="139"/>
    </row>
    <row r="182" spans="1:36" ht="15">
      <c r="A182" s="139"/>
      <c r="B182" s="464">
        <f t="shared" si="9"/>
        <v>0</v>
      </c>
      <c r="C182" s="229"/>
      <c r="D182" s="74"/>
      <c r="E182" s="70"/>
      <c r="F182" s="14"/>
      <c r="G182" s="193">
        <f t="shared" si="10"/>
        <v>0</v>
      </c>
      <c r="H182" s="193">
        <f t="shared" si="11"/>
        <v>0</v>
      </c>
      <c r="I182" s="193">
        <f t="shared" si="12"/>
        <v>0</v>
      </c>
      <c r="J182" s="193">
        <f t="shared" si="13"/>
        <v>0</v>
      </c>
      <c r="K182" s="193">
        <f t="shared" si="14"/>
        <v>0</v>
      </c>
      <c r="L182" s="193">
        <f t="shared" si="15"/>
        <v>0</v>
      </c>
      <c r="M182" s="297"/>
      <c r="N182" s="297"/>
      <c r="O182" s="61">
        <v>0</v>
      </c>
      <c r="P182" s="298">
        <f>L182*M182*N182*IF(M182&lt;0.05,E169,IF(M182&gt;0.07,E171,E170))</f>
        <v>0</v>
      </c>
      <c r="Q182" s="298">
        <f t="shared" si="16"/>
        <v>0</v>
      </c>
      <c r="R182" s="298">
        <f t="shared" si="17"/>
        <v>0</v>
      </c>
      <c r="S182" s="536">
        <f t="shared" si="18"/>
        <v>0</v>
      </c>
      <c r="T182" s="298">
        <f t="shared" si="19"/>
        <v>0</v>
      </c>
      <c r="U182" s="298">
        <f>(D182+E182)/2*IF(E164&lt;1,E164,E164/100)</f>
        <v>0</v>
      </c>
      <c r="V182" s="298">
        <f>((D182+E182)/2)/1000*IF(E166&lt;1,E166,E166/100)*IF(E167&gt;1,E167,E167*100)</f>
        <v>0</v>
      </c>
      <c r="W182" s="298">
        <f>((D182+E182)/2)/1000*E168</f>
        <v>0</v>
      </c>
      <c r="X182" s="536">
        <f t="shared" si="20"/>
        <v>0</v>
      </c>
      <c r="Y182" s="536">
        <f t="shared" si="21"/>
        <v>0</v>
      </c>
      <c r="Z182" s="299">
        <f t="shared" si="22"/>
        <v>0</v>
      </c>
      <c r="AA182" s="300">
        <f t="shared" si="23"/>
        <v>0</v>
      </c>
      <c r="AB182" s="300">
        <f t="shared" si="24"/>
        <v>0</v>
      </c>
      <c r="AC182" s="300">
        <f t="shared" si="25"/>
        <v>0</v>
      </c>
      <c r="AD182" s="213"/>
      <c r="AE182" s="213"/>
      <c r="AF182" s="178"/>
      <c r="AG182" s="139"/>
      <c r="AH182" s="139"/>
      <c r="AI182" s="139"/>
      <c r="AJ182" s="139"/>
    </row>
    <row r="183" spans="1:36" ht="15">
      <c r="A183" s="139"/>
      <c r="B183" s="464">
        <f t="shared" si="9"/>
        <v>0</v>
      </c>
      <c r="C183" s="229"/>
      <c r="D183" s="74"/>
      <c r="E183" s="70"/>
      <c r="F183" s="14"/>
      <c r="G183" s="193">
        <f t="shared" si="10"/>
        <v>0</v>
      </c>
      <c r="H183" s="193">
        <f t="shared" si="11"/>
        <v>0</v>
      </c>
      <c r="I183" s="193">
        <f t="shared" si="12"/>
        <v>0</v>
      </c>
      <c r="J183" s="193">
        <f t="shared" si="13"/>
        <v>0</v>
      </c>
      <c r="K183" s="193">
        <f t="shared" si="14"/>
        <v>0</v>
      </c>
      <c r="L183" s="193">
        <f t="shared" si="15"/>
        <v>0</v>
      </c>
      <c r="M183" s="297"/>
      <c r="N183" s="297"/>
      <c r="O183" s="61">
        <v>0</v>
      </c>
      <c r="P183" s="298">
        <f>L183*M183*N183*IF(M183&lt;0.05,E169,IF(M183&gt;0.07,E171,E170))</f>
        <v>0</v>
      </c>
      <c r="Q183" s="298">
        <f t="shared" si="16"/>
        <v>0</v>
      </c>
      <c r="R183" s="298">
        <f t="shared" si="17"/>
        <v>0</v>
      </c>
      <c r="S183" s="536">
        <f t="shared" si="18"/>
        <v>0</v>
      </c>
      <c r="T183" s="298">
        <f t="shared" si="19"/>
        <v>0</v>
      </c>
      <c r="U183" s="298">
        <f>(D183+E183)/2*IF(E164&lt;1,E164,E164/100)</f>
        <v>0</v>
      </c>
      <c r="V183" s="298">
        <f>((D183+E183)/2)/1000*IF(E166&lt;1,E166,E166/100)*IF(E167&gt;1,E167,E167*100)</f>
        <v>0</v>
      </c>
      <c r="W183" s="298">
        <f>((D183+E183)/2)/1000*E168</f>
        <v>0</v>
      </c>
      <c r="X183" s="536">
        <f t="shared" si="20"/>
        <v>0</v>
      </c>
      <c r="Y183" s="536">
        <f t="shared" si="21"/>
        <v>0</v>
      </c>
      <c r="Z183" s="299">
        <f t="shared" si="22"/>
        <v>0</v>
      </c>
      <c r="AA183" s="300">
        <f t="shared" si="23"/>
        <v>0</v>
      </c>
      <c r="AB183" s="300">
        <f t="shared" si="24"/>
        <v>0</v>
      </c>
      <c r="AC183" s="300">
        <f t="shared" si="25"/>
        <v>0</v>
      </c>
      <c r="AD183" s="213"/>
      <c r="AE183" s="213"/>
      <c r="AF183" s="178"/>
      <c r="AG183" s="139"/>
      <c r="AH183" s="139"/>
      <c r="AI183" s="139"/>
      <c r="AJ183" s="139"/>
    </row>
    <row r="184" spans="1:36" ht="15">
      <c r="A184" s="139"/>
      <c r="B184" s="464">
        <f t="shared" si="9"/>
        <v>0</v>
      </c>
      <c r="C184" s="229"/>
      <c r="D184" s="74"/>
      <c r="E184" s="70"/>
      <c r="F184" s="14"/>
      <c r="G184" s="193">
        <f t="shared" si="10"/>
        <v>0</v>
      </c>
      <c r="H184" s="193">
        <f t="shared" si="11"/>
        <v>0</v>
      </c>
      <c r="I184" s="193">
        <f t="shared" si="12"/>
        <v>0</v>
      </c>
      <c r="J184" s="193">
        <f t="shared" si="13"/>
        <v>0</v>
      </c>
      <c r="K184" s="193">
        <f t="shared" si="14"/>
        <v>0</v>
      </c>
      <c r="L184" s="193">
        <f t="shared" si="15"/>
        <v>0</v>
      </c>
      <c r="M184" s="297"/>
      <c r="N184" s="297"/>
      <c r="O184" s="61">
        <v>0</v>
      </c>
      <c r="P184" s="298">
        <f>L184*M184*N184*IF(M184&lt;0.05,E169,IF(M184&gt;0.07,E171,E170))</f>
        <v>0</v>
      </c>
      <c r="Q184" s="298">
        <f t="shared" si="16"/>
        <v>0</v>
      </c>
      <c r="R184" s="298">
        <f t="shared" si="17"/>
        <v>0</v>
      </c>
      <c r="S184" s="536">
        <f t="shared" si="18"/>
        <v>0</v>
      </c>
      <c r="T184" s="298">
        <f t="shared" si="19"/>
        <v>0</v>
      </c>
      <c r="U184" s="298">
        <f>(D184+E184)/2*IF(E164&lt;1,E164,E164/100)</f>
        <v>0</v>
      </c>
      <c r="V184" s="298">
        <f>((D184+E184)/2)/1000*IF(E166&lt;1,E166,E166/100)*IF(E167&gt;1,E167,E167*100)</f>
        <v>0</v>
      </c>
      <c r="W184" s="298">
        <f>((D184+E184)/2)/1000*E168</f>
        <v>0</v>
      </c>
      <c r="X184" s="536">
        <f t="shared" si="20"/>
        <v>0</v>
      </c>
      <c r="Y184" s="536">
        <f t="shared" si="21"/>
        <v>0</v>
      </c>
      <c r="Z184" s="299">
        <f t="shared" si="22"/>
        <v>0</v>
      </c>
      <c r="AA184" s="300">
        <f t="shared" si="23"/>
        <v>0</v>
      </c>
      <c r="AB184" s="300">
        <f t="shared" si="24"/>
        <v>0</v>
      </c>
      <c r="AC184" s="300">
        <f t="shared" si="25"/>
        <v>0</v>
      </c>
      <c r="AD184" s="213"/>
      <c r="AE184" s="213"/>
      <c r="AF184" s="178"/>
      <c r="AG184" s="139"/>
      <c r="AH184" s="139"/>
      <c r="AI184" s="139"/>
      <c r="AJ184" s="139"/>
    </row>
    <row r="185" spans="1:36" ht="15">
      <c r="A185" s="139"/>
      <c r="B185" s="464">
        <f t="shared" si="9"/>
        <v>0</v>
      </c>
      <c r="C185" s="229"/>
      <c r="D185" s="74"/>
      <c r="E185" s="70"/>
      <c r="F185" s="14"/>
      <c r="G185" s="193">
        <f t="shared" si="10"/>
        <v>0</v>
      </c>
      <c r="H185" s="193">
        <f t="shared" si="11"/>
        <v>0</v>
      </c>
      <c r="I185" s="193">
        <f t="shared" si="12"/>
        <v>0</v>
      </c>
      <c r="J185" s="193">
        <f t="shared" si="13"/>
        <v>0</v>
      </c>
      <c r="K185" s="193">
        <f t="shared" si="14"/>
        <v>0</v>
      </c>
      <c r="L185" s="193">
        <f t="shared" si="15"/>
        <v>0</v>
      </c>
      <c r="M185" s="297"/>
      <c r="N185" s="297"/>
      <c r="O185" s="61">
        <v>0</v>
      </c>
      <c r="P185" s="298">
        <f>L185*M185*N185*IF(M185&lt;0.05,E169,IF(M185&gt;0.07,E171,E170))</f>
        <v>0</v>
      </c>
      <c r="Q185" s="298">
        <f t="shared" si="16"/>
        <v>0</v>
      </c>
      <c r="R185" s="298">
        <f t="shared" si="17"/>
        <v>0</v>
      </c>
      <c r="S185" s="536">
        <f t="shared" si="18"/>
        <v>0</v>
      </c>
      <c r="T185" s="298">
        <f t="shared" si="19"/>
        <v>0</v>
      </c>
      <c r="U185" s="298">
        <f>(D185+E185)/2*IF(E164&lt;1,E164,E164/100)</f>
        <v>0</v>
      </c>
      <c r="V185" s="298">
        <f>((D185+E185)/2)/1000*IF(E166&lt;1,E166,E166/100)*IF(E167&gt;1,E167,E167*100)</f>
        <v>0</v>
      </c>
      <c r="W185" s="298">
        <f>((D185+E185)/2)/1000*E168</f>
        <v>0</v>
      </c>
      <c r="X185" s="536">
        <f t="shared" si="20"/>
        <v>0</v>
      </c>
      <c r="Y185" s="536">
        <f t="shared" si="21"/>
        <v>0</v>
      </c>
      <c r="Z185" s="299">
        <f t="shared" si="22"/>
        <v>0</v>
      </c>
      <c r="AA185" s="300">
        <f t="shared" si="23"/>
        <v>0</v>
      </c>
      <c r="AB185" s="300">
        <f t="shared" si="24"/>
        <v>0</v>
      </c>
      <c r="AC185" s="300">
        <f t="shared" si="25"/>
        <v>0</v>
      </c>
      <c r="AD185" s="213"/>
      <c r="AE185" s="213"/>
      <c r="AF185" s="178"/>
      <c r="AG185" s="139"/>
      <c r="AH185" s="139"/>
      <c r="AI185" s="139"/>
      <c r="AJ185" s="139"/>
    </row>
    <row r="186" spans="1:35" ht="15">
      <c r="A186" s="139"/>
      <c r="B186" s="464">
        <f t="shared" si="9"/>
        <v>0</v>
      </c>
      <c r="C186" s="229"/>
      <c r="D186" s="74"/>
      <c r="E186" s="70"/>
      <c r="F186" s="14"/>
      <c r="G186" s="193">
        <f t="shared" si="10"/>
        <v>0</v>
      </c>
      <c r="H186" s="193">
        <f t="shared" si="11"/>
        <v>0</v>
      </c>
      <c r="I186" s="193">
        <f t="shared" si="12"/>
        <v>0</v>
      </c>
      <c r="J186" s="193">
        <f t="shared" si="13"/>
        <v>0</v>
      </c>
      <c r="K186" s="193">
        <f t="shared" si="14"/>
        <v>0</v>
      </c>
      <c r="L186" s="193">
        <f t="shared" si="15"/>
        <v>0</v>
      </c>
      <c r="M186" s="297"/>
      <c r="N186" s="297"/>
      <c r="O186" s="61">
        <v>0</v>
      </c>
      <c r="P186" s="298">
        <f>L186*M186*N186*IF(M186&lt;0.05,E169,IF(M186&gt;0.07,E171,E170))</f>
        <v>0</v>
      </c>
      <c r="Q186" s="298">
        <f t="shared" si="16"/>
        <v>0</v>
      </c>
      <c r="R186" s="298">
        <f t="shared" si="17"/>
        <v>0</v>
      </c>
      <c r="S186" s="536">
        <f t="shared" si="18"/>
        <v>0</v>
      </c>
      <c r="T186" s="298">
        <f t="shared" si="19"/>
        <v>0</v>
      </c>
      <c r="U186" s="298">
        <f>(D186+E186)/2*IF(E164&lt;1,E164,E164/100)</f>
        <v>0</v>
      </c>
      <c r="V186" s="298">
        <f>((D186+E186)/2)/1000*IF(E166&lt;1,E166,E166/100)*IF(E167&gt;1,E167,E167*100)</f>
        <v>0</v>
      </c>
      <c r="W186" s="298">
        <f>((D186+E186)/2)/1000*E168</f>
        <v>0</v>
      </c>
      <c r="X186" s="536">
        <f t="shared" si="20"/>
        <v>0</v>
      </c>
      <c r="Y186" s="536">
        <f t="shared" si="21"/>
        <v>0</v>
      </c>
      <c r="Z186" s="299">
        <f t="shared" si="22"/>
        <v>0</v>
      </c>
      <c r="AA186" s="300">
        <f t="shared" si="23"/>
        <v>0</v>
      </c>
      <c r="AB186" s="300">
        <f t="shared" si="24"/>
        <v>0</v>
      </c>
      <c r="AC186" s="300">
        <f t="shared" si="25"/>
        <v>0</v>
      </c>
      <c r="AD186" s="213"/>
      <c r="AE186" s="213"/>
      <c r="AF186" s="178"/>
      <c r="AG186" s="139"/>
      <c r="AH186" s="139"/>
      <c r="AI186" s="139"/>
    </row>
    <row r="187" spans="1:35" ht="15">
      <c r="A187" s="139"/>
      <c r="B187" s="464">
        <f t="shared" si="9"/>
        <v>0</v>
      </c>
      <c r="C187" s="229"/>
      <c r="D187" s="74"/>
      <c r="E187" s="70"/>
      <c r="F187" s="14"/>
      <c r="G187" s="193">
        <f t="shared" si="10"/>
        <v>0</v>
      </c>
      <c r="H187" s="193">
        <f t="shared" si="11"/>
        <v>0</v>
      </c>
      <c r="I187" s="193">
        <f t="shared" si="12"/>
        <v>0</v>
      </c>
      <c r="J187" s="193">
        <f t="shared" si="13"/>
        <v>0</v>
      </c>
      <c r="K187" s="193">
        <f t="shared" si="14"/>
        <v>0</v>
      </c>
      <c r="L187" s="193">
        <f t="shared" si="15"/>
        <v>0</v>
      </c>
      <c r="M187" s="297"/>
      <c r="N187" s="297"/>
      <c r="O187" s="61">
        <v>0</v>
      </c>
      <c r="P187" s="298">
        <f>L187*M187*N187*IF(M187&lt;0.05,E169,IF(M187&gt;0.07,E171,E170))</f>
        <v>0</v>
      </c>
      <c r="Q187" s="298">
        <f t="shared" si="16"/>
        <v>0</v>
      </c>
      <c r="R187" s="298">
        <f t="shared" si="17"/>
        <v>0</v>
      </c>
      <c r="S187" s="536">
        <f t="shared" si="18"/>
        <v>0</v>
      </c>
      <c r="T187" s="298">
        <f t="shared" si="19"/>
        <v>0</v>
      </c>
      <c r="U187" s="298">
        <f>(D187+E187)/2*IF(E164&lt;1,E164,E164/100)</f>
        <v>0</v>
      </c>
      <c r="V187" s="298">
        <f>((D187+E187)/2)/1000*IF(E166&lt;1,E166,E166/100)*IF(E167&gt;1,E167,E167*100)</f>
        <v>0</v>
      </c>
      <c r="W187" s="298">
        <f>((D187+E187)/2)/1000*E168</f>
        <v>0</v>
      </c>
      <c r="X187" s="536">
        <f t="shared" si="20"/>
        <v>0</v>
      </c>
      <c r="Y187" s="536">
        <f t="shared" si="21"/>
        <v>0</v>
      </c>
      <c r="Z187" s="299">
        <f t="shared" si="22"/>
        <v>0</v>
      </c>
      <c r="AA187" s="300">
        <f t="shared" si="23"/>
        <v>0</v>
      </c>
      <c r="AB187" s="300">
        <f t="shared" si="24"/>
        <v>0</v>
      </c>
      <c r="AC187" s="300">
        <f t="shared" si="25"/>
        <v>0</v>
      </c>
      <c r="AD187" s="213"/>
      <c r="AE187" s="213"/>
      <c r="AF187" s="178"/>
      <c r="AG187" s="139"/>
      <c r="AH187" s="139"/>
      <c r="AI187" s="139"/>
    </row>
    <row r="188" spans="1:35" ht="15">
      <c r="A188" s="139"/>
      <c r="B188" s="464">
        <f t="shared" si="9"/>
        <v>0</v>
      </c>
      <c r="C188" s="229"/>
      <c r="D188" s="74"/>
      <c r="E188" s="70"/>
      <c r="F188" s="14"/>
      <c r="G188" s="193">
        <f t="shared" si="10"/>
        <v>0</v>
      </c>
      <c r="H188" s="193">
        <f t="shared" si="11"/>
        <v>0</v>
      </c>
      <c r="I188" s="193">
        <f t="shared" si="12"/>
        <v>0</v>
      </c>
      <c r="J188" s="193">
        <f t="shared" si="13"/>
        <v>0</v>
      </c>
      <c r="K188" s="193">
        <f t="shared" si="14"/>
        <v>0</v>
      </c>
      <c r="L188" s="193">
        <f t="shared" si="15"/>
        <v>0</v>
      </c>
      <c r="M188" s="297"/>
      <c r="N188" s="297"/>
      <c r="O188" s="61">
        <v>0</v>
      </c>
      <c r="P188" s="298">
        <f>L188*M188*N188*IF(M188&lt;0.05,E169,IF(M188&gt;0.07,E171,E170))</f>
        <v>0</v>
      </c>
      <c r="Q188" s="298">
        <f t="shared" si="16"/>
        <v>0</v>
      </c>
      <c r="R188" s="298">
        <f t="shared" si="17"/>
        <v>0</v>
      </c>
      <c r="S188" s="536">
        <f t="shared" si="18"/>
        <v>0</v>
      </c>
      <c r="T188" s="298">
        <f t="shared" si="19"/>
        <v>0</v>
      </c>
      <c r="U188" s="298">
        <f>(D188+E188)/2*IF(E164&lt;1,E164,E164/100)</f>
        <v>0</v>
      </c>
      <c r="V188" s="298">
        <f>((D188+E188)/2)/1000*IF(E166&lt;1,E166,E166/100)*IF(E167&gt;1,E167,E167*100)</f>
        <v>0</v>
      </c>
      <c r="W188" s="298">
        <f>((D188+E188)/2)/1000*E168</f>
        <v>0</v>
      </c>
      <c r="X188" s="536">
        <f t="shared" si="20"/>
        <v>0</v>
      </c>
      <c r="Y188" s="536">
        <f t="shared" si="21"/>
        <v>0</v>
      </c>
      <c r="Z188" s="299">
        <f t="shared" si="22"/>
        <v>0</v>
      </c>
      <c r="AA188" s="300">
        <f t="shared" si="23"/>
        <v>0</v>
      </c>
      <c r="AB188" s="300">
        <f t="shared" si="24"/>
        <v>0</v>
      </c>
      <c r="AC188" s="300">
        <f t="shared" si="25"/>
        <v>0</v>
      </c>
      <c r="AD188" s="213"/>
      <c r="AE188" s="213"/>
      <c r="AF188" s="178"/>
      <c r="AG188" s="139"/>
      <c r="AH188" s="139"/>
      <c r="AI188" s="139"/>
    </row>
    <row r="189" spans="1:35" ht="15">
      <c r="A189" s="139"/>
      <c r="B189" s="464">
        <f t="shared" si="9"/>
        <v>0</v>
      </c>
      <c r="C189" s="229"/>
      <c r="D189" s="74"/>
      <c r="E189" s="70"/>
      <c r="F189" s="14"/>
      <c r="G189" s="193">
        <f t="shared" si="10"/>
        <v>0</v>
      </c>
      <c r="H189" s="193">
        <f t="shared" si="11"/>
        <v>0</v>
      </c>
      <c r="I189" s="193">
        <f t="shared" si="12"/>
        <v>0</v>
      </c>
      <c r="J189" s="193">
        <f t="shared" si="13"/>
        <v>0</v>
      </c>
      <c r="K189" s="193">
        <f t="shared" si="14"/>
        <v>0</v>
      </c>
      <c r="L189" s="193">
        <f t="shared" si="15"/>
        <v>0</v>
      </c>
      <c r="M189" s="297"/>
      <c r="N189" s="297"/>
      <c r="O189" s="61">
        <v>0</v>
      </c>
      <c r="P189" s="298">
        <f>L189*M189*N189*IF(M189&lt;0.05,E169,IF(M189&gt;0.07,E171,E170))</f>
        <v>0</v>
      </c>
      <c r="Q189" s="298">
        <f t="shared" si="16"/>
        <v>0</v>
      </c>
      <c r="R189" s="298">
        <f t="shared" si="17"/>
        <v>0</v>
      </c>
      <c r="S189" s="536">
        <f t="shared" si="18"/>
        <v>0</v>
      </c>
      <c r="T189" s="298">
        <f t="shared" si="19"/>
        <v>0</v>
      </c>
      <c r="U189" s="298">
        <f>(D189+E189)/2*IF(E164&lt;1,E164,E164/100)</f>
        <v>0</v>
      </c>
      <c r="V189" s="298">
        <f>((D189+E189)/2)/1000*IF(E166&lt;1,E166,E166/100)*IF(E167&gt;1,E167,E167*100)</f>
        <v>0</v>
      </c>
      <c r="W189" s="298">
        <f>((D189+E189)/2)/1000*E168</f>
        <v>0</v>
      </c>
      <c r="X189" s="536">
        <f t="shared" si="20"/>
        <v>0</v>
      </c>
      <c r="Y189" s="536">
        <f t="shared" si="21"/>
        <v>0</v>
      </c>
      <c r="Z189" s="299">
        <f t="shared" si="22"/>
        <v>0</v>
      </c>
      <c r="AA189" s="300">
        <f t="shared" si="23"/>
        <v>0</v>
      </c>
      <c r="AB189" s="300">
        <f t="shared" si="24"/>
        <v>0</v>
      </c>
      <c r="AC189" s="300">
        <f t="shared" si="25"/>
        <v>0</v>
      </c>
      <c r="AD189" s="213"/>
      <c r="AE189" s="213"/>
      <c r="AF189" s="178"/>
      <c r="AG189" s="139"/>
      <c r="AH189" s="139"/>
      <c r="AI189" s="139"/>
    </row>
    <row r="190" spans="1:34" ht="15">
      <c r="A190" s="139"/>
      <c r="B190" s="464">
        <f t="shared" si="9"/>
        <v>0</v>
      </c>
      <c r="C190" s="229"/>
      <c r="D190" s="74"/>
      <c r="E190" s="70"/>
      <c r="F190" s="14"/>
      <c r="G190" s="193">
        <f t="shared" si="10"/>
        <v>0</v>
      </c>
      <c r="H190" s="193">
        <f t="shared" si="11"/>
        <v>0</v>
      </c>
      <c r="I190" s="193">
        <f t="shared" si="12"/>
        <v>0</v>
      </c>
      <c r="J190" s="193">
        <f t="shared" si="13"/>
        <v>0</v>
      </c>
      <c r="K190" s="193">
        <f t="shared" si="14"/>
        <v>0</v>
      </c>
      <c r="L190" s="193">
        <f t="shared" si="15"/>
        <v>0</v>
      </c>
      <c r="M190" s="297"/>
      <c r="N190" s="297"/>
      <c r="O190" s="61">
        <v>0</v>
      </c>
      <c r="P190" s="298">
        <f>L190*M190*N190*IF(M190&lt;0.05,E169,IF(M190&gt;0.07,E171,E170))</f>
        <v>0</v>
      </c>
      <c r="Q190" s="298">
        <f t="shared" si="16"/>
        <v>0</v>
      </c>
      <c r="R190" s="298">
        <f t="shared" si="17"/>
        <v>0</v>
      </c>
      <c r="S190" s="536">
        <f t="shared" si="18"/>
        <v>0</v>
      </c>
      <c r="T190" s="298">
        <f t="shared" si="19"/>
        <v>0</v>
      </c>
      <c r="U190" s="298">
        <f>(D190+E190)/2*IF(E164&lt;1,E164,E164/100)</f>
        <v>0</v>
      </c>
      <c r="V190" s="298">
        <f>((D190+E190)/2)/1000*IF(E166&lt;1,E166,E166/100)*IF(E167&gt;1,E167,E167*100)</f>
        <v>0</v>
      </c>
      <c r="W190" s="298">
        <f>((D190+E190)/2)/1000*E168</f>
        <v>0</v>
      </c>
      <c r="X190" s="536">
        <f t="shared" si="20"/>
        <v>0</v>
      </c>
      <c r="Y190" s="536">
        <f t="shared" si="21"/>
        <v>0</v>
      </c>
      <c r="Z190" s="299">
        <f t="shared" si="22"/>
        <v>0</v>
      </c>
      <c r="AA190" s="300">
        <f t="shared" si="23"/>
        <v>0</v>
      </c>
      <c r="AB190" s="300">
        <f t="shared" si="24"/>
        <v>0</v>
      </c>
      <c r="AC190" s="300">
        <f t="shared" si="25"/>
        <v>0</v>
      </c>
      <c r="AD190" s="213"/>
      <c r="AE190" s="213"/>
      <c r="AF190" s="178"/>
      <c r="AG190" s="139"/>
      <c r="AH190" s="139"/>
    </row>
    <row r="191" spans="1:36" ht="15">
      <c r="A191" s="139"/>
      <c r="B191" s="464">
        <f t="shared" si="9"/>
        <v>0</v>
      </c>
      <c r="C191" s="229"/>
      <c r="D191" s="74"/>
      <c r="E191" s="70"/>
      <c r="F191" s="14"/>
      <c r="G191" s="193">
        <f t="shared" si="10"/>
        <v>0</v>
      </c>
      <c r="H191" s="193">
        <f t="shared" si="11"/>
        <v>0</v>
      </c>
      <c r="I191" s="193">
        <f t="shared" si="12"/>
        <v>0</v>
      </c>
      <c r="J191" s="193">
        <f t="shared" si="13"/>
        <v>0</v>
      </c>
      <c r="K191" s="193">
        <f t="shared" si="14"/>
        <v>0</v>
      </c>
      <c r="L191" s="193">
        <f t="shared" si="15"/>
        <v>0</v>
      </c>
      <c r="M191" s="297"/>
      <c r="N191" s="297"/>
      <c r="O191" s="61">
        <v>0</v>
      </c>
      <c r="P191" s="298">
        <f>L191*M191*N191*IF(M191&lt;0.05,E169,IF(M191&gt;0.07,E171,E170))</f>
        <v>0</v>
      </c>
      <c r="Q191" s="298">
        <f t="shared" si="16"/>
        <v>0</v>
      </c>
      <c r="R191" s="298">
        <f t="shared" si="17"/>
        <v>0</v>
      </c>
      <c r="S191" s="536">
        <f t="shared" si="18"/>
        <v>0</v>
      </c>
      <c r="T191" s="298">
        <f t="shared" si="19"/>
        <v>0</v>
      </c>
      <c r="U191" s="298">
        <f>(D191+E191)/2*IF(E164&lt;1,E164,E164/100)</f>
        <v>0</v>
      </c>
      <c r="V191" s="298">
        <f>((D191+E191)/2)/1000*IF(E166&lt;1,E166,E166/100)*IF(E167&gt;1,E167,E167*100)</f>
        <v>0</v>
      </c>
      <c r="W191" s="298">
        <f>((D191+E191)/2)/1000*E168</f>
        <v>0</v>
      </c>
      <c r="X191" s="536">
        <f t="shared" si="20"/>
        <v>0</v>
      </c>
      <c r="Y191" s="536">
        <f t="shared" si="21"/>
        <v>0</v>
      </c>
      <c r="Z191" s="299">
        <f t="shared" si="22"/>
        <v>0</v>
      </c>
      <c r="AA191" s="300">
        <f t="shared" si="23"/>
        <v>0</v>
      </c>
      <c r="AB191" s="300">
        <f t="shared" si="24"/>
        <v>0</v>
      </c>
      <c r="AC191" s="300">
        <f t="shared" si="25"/>
        <v>0</v>
      </c>
      <c r="AD191" s="213"/>
      <c r="AE191" s="213"/>
      <c r="AF191" s="213"/>
      <c r="AG191" s="442" t="s">
        <v>551</v>
      </c>
      <c r="AH191" s="442" t="s">
        <v>265</v>
      </c>
      <c r="AI191" s="442" t="s">
        <v>265</v>
      </c>
      <c r="AJ191" s="442" t="s">
        <v>265</v>
      </c>
    </row>
    <row r="192" spans="1:36" ht="15" customHeight="1">
      <c r="A192" s="139"/>
      <c r="B192" s="228" t="str">
        <f>B64</f>
        <v>MUImp. #1 USE#1</v>
      </c>
      <c r="C192" s="301" t="s">
        <v>40</v>
      </c>
      <c r="D192" s="74"/>
      <c r="E192" s="70"/>
      <c r="F192" s="14"/>
      <c r="G192" s="521" t="s">
        <v>573</v>
      </c>
      <c r="H192" s="522"/>
      <c r="I192" s="523"/>
      <c r="J192" s="193">
        <f>G67</f>
        <v>0</v>
      </c>
      <c r="K192" s="193">
        <f>Z67</f>
        <v>0</v>
      </c>
      <c r="L192" s="193">
        <f>AA67</f>
        <v>0</v>
      </c>
      <c r="M192" s="297"/>
      <c r="N192" s="297"/>
      <c r="O192" s="61">
        <v>0</v>
      </c>
      <c r="P192" s="298">
        <f>L192*M192*N192*IF(M192&lt;0.05,E169,IF(M192&gt;0.07,E171,E170))</f>
        <v>0</v>
      </c>
      <c r="Q192" s="298">
        <f t="shared" si="16"/>
        <v>0</v>
      </c>
      <c r="R192" s="298">
        <f t="shared" si="17"/>
        <v>0</v>
      </c>
      <c r="S192" s="536">
        <f t="shared" si="18"/>
        <v>0</v>
      </c>
      <c r="T192" s="298">
        <f t="shared" si="19"/>
        <v>0</v>
      </c>
      <c r="U192" s="298">
        <f>(D192+E192)/2*IF(E164&lt;1,E164,E164/100)</f>
        <v>0</v>
      </c>
      <c r="V192" s="298">
        <f>((D192+E192)/2)/1000*IF(E166&lt;1,E166,E166/100)*IF(E167&gt;1,E167,E167*100)</f>
        <v>0</v>
      </c>
      <c r="W192" s="298">
        <f>((D192+E192)/2)/1000*E168</f>
        <v>0</v>
      </c>
      <c r="X192" s="536">
        <f t="shared" si="20"/>
        <v>0</v>
      </c>
      <c r="Y192" s="536">
        <f t="shared" si="21"/>
        <v>0</v>
      </c>
      <c r="Z192" s="299">
        <f t="shared" si="22"/>
        <v>0</v>
      </c>
      <c r="AA192" s="300">
        <f t="shared" si="23"/>
        <v>0</v>
      </c>
      <c r="AB192" s="300">
        <f t="shared" si="24"/>
        <v>0</v>
      </c>
      <c r="AC192" s="300">
        <f t="shared" si="25"/>
        <v>0</v>
      </c>
      <c r="AD192" s="213"/>
      <c r="AE192" s="213"/>
      <c r="AF192" s="213"/>
      <c r="AG192" s="442" t="s">
        <v>552</v>
      </c>
      <c r="AH192" s="442" t="s">
        <v>553</v>
      </c>
      <c r="AI192" s="442" t="s">
        <v>242</v>
      </c>
      <c r="AJ192" s="442" t="s">
        <v>245</v>
      </c>
    </row>
    <row r="193" spans="1:36" ht="15.75" customHeight="1" thickBot="1">
      <c r="A193" s="139"/>
      <c r="B193" s="230" t="str">
        <f>B68</f>
        <v>MUImp. #2 USE#1</v>
      </c>
      <c r="C193" s="302" t="s">
        <v>41</v>
      </c>
      <c r="D193" s="76"/>
      <c r="E193" s="77"/>
      <c r="F193" s="28"/>
      <c r="G193" s="424" t="s">
        <v>574</v>
      </c>
      <c r="H193" s="425"/>
      <c r="I193" s="524"/>
      <c r="J193" s="193">
        <f>G71</f>
        <v>0</v>
      </c>
      <c r="K193" s="193">
        <f>Z71</f>
        <v>0</v>
      </c>
      <c r="L193" s="193">
        <f>AA71</f>
        <v>0</v>
      </c>
      <c r="M193" s="297"/>
      <c r="N193" s="297"/>
      <c r="O193" s="62">
        <v>0</v>
      </c>
      <c r="P193" s="298">
        <f>L193*M193*N193*IF(M193&lt;0.05,E169,IF(M193&gt;0.07,E171,E170))</f>
        <v>0</v>
      </c>
      <c r="Q193" s="298">
        <f t="shared" si="16"/>
        <v>0</v>
      </c>
      <c r="R193" s="298">
        <f t="shared" si="17"/>
        <v>0</v>
      </c>
      <c r="S193" s="536">
        <f t="shared" si="18"/>
        <v>0</v>
      </c>
      <c r="T193" s="298">
        <f t="shared" si="19"/>
        <v>0</v>
      </c>
      <c r="U193" s="298">
        <f>(D193+E193)/2*IF(E164&lt;1,E164,E164/100)</f>
        <v>0</v>
      </c>
      <c r="V193" s="298">
        <f>((D193+E193)/2)/1000*IF(E166&lt;1,E166,E166/100)*IF(E167&gt;1,E167,E167*100)</f>
        <v>0</v>
      </c>
      <c r="W193" s="298">
        <f>((D193+E193)/2)/1000*E168</f>
        <v>0</v>
      </c>
      <c r="X193" s="536">
        <f t="shared" si="20"/>
        <v>0</v>
      </c>
      <c r="Y193" s="536">
        <f t="shared" si="21"/>
        <v>0</v>
      </c>
      <c r="Z193" s="299">
        <f t="shared" si="22"/>
        <v>0</v>
      </c>
      <c r="AA193" s="300">
        <f t="shared" si="23"/>
        <v>0</v>
      </c>
      <c r="AB193" s="300">
        <f t="shared" si="24"/>
        <v>0</v>
      </c>
      <c r="AC193" s="300">
        <f t="shared" si="25"/>
        <v>0</v>
      </c>
      <c r="AD193" s="213"/>
      <c r="AE193" s="213"/>
      <c r="AF193" s="213"/>
      <c r="AG193" s="442" t="s">
        <v>554</v>
      </c>
      <c r="AH193" s="442" t="s">
        <v>240</v>
      </c>
      <c r="AI193" s="442" t="s">
        <v>61</v>
      </c>
      <c r="AJ193" s="442" t="s">
        <v>61</v>
      </c>
    </row>
    <row r="194" spans="1:36" ht="16.5" thickBot="1" thickTop="1">
      <c r="A194" s="139"/>
      <c r="B194" s="203" t="s">
        <v>316</v>
      </c>
      <c r="C194" s="178"/>
      <c r="D194" s="303" t="s">
        <v>267</v>
      </c>
      <c r="E194" s="303" t="s">
        <v>231</v>
      </c>
      <c r="F194" s="303" t="s">
        <v>268</v>
      </c>
      <c r="G194" s="303" t="s">
        <v>234</v>
      </c>
      <c r="H194" s="303" t="s">
        <v>235</v>
      </c>
      <c r="I194" s="303" t="s">
        <v>107</v>
      </c>
      <c r="J194" s="303" t="s">
        <v>269</v>
      </c>
      <c r="K194" s="303" t="s">
        <v>270</v>
      </c>
      <c r="L194" s="303" t="s">
        <v>271</v>
      </c>
      <c r="M194" s="303" t="s">
        <v>243</v>
      </c>
      <c r="N194" s="303" t="s">
        <v>272</v>
      </c>
      <c r="O194" s="303" t="s">
        <v>266</v>
      </c>
      <c r="P194" s="527" t="s">
        <v>242</v>
      </c>
      <c r="Q194" s="527" t="s">
        <v>245</v>
      </c>
      <c r="R194" s="527" t="s">
        <v>246</v>
      </c>
      <c r="S194" s="537" t="s">
        <v>318</v>
      </c>
      <c r="T194" s="527" t="s">
        <v>250</v>
      </c>
      <c r="U194" s="527" t="s">
        <v>218</v>
      </c>
      <c r="V194" s="527" t="s">
        <v>252</v>
      </c>
      <c r="W194" s="527" t="s">
        <v>253</v>
      </c>
      <c r="X194" s="537" t="s">
        <v>319</v>
      </c>
      <c r="Y194" s="537" t="s">
        <v>219</v>
      </c>
      <c r="Z194" s="529" t="s">
        <v>220</v>
      </c>
      <c r="AA194" s="534" t="s">
        <v>221</v>
      </c>
      <c r="AB194" s="534" t="s">
        <v>222</v>
      </c>
      <c r="AC194" s="534" t="s">
        <v>223</v>
      </c>
      <c r="AD194" s="213"/>
      <c r="AE194" s="461" t="str">
        <f>$B$194</f>
        <v>Self Propelled Machinery </v>
      </c>
      <c r="AF194" s="462"/>
      <c r="AG194" s="462"/>
      <c r="AH194" s="462"/>
      <c r="AI194" s="462"/>
      <c r="AJ194" s="463"/>
    </row>
    <row r="195" spans="1:36" ht="15.75" thickTop="1">
      <c r="A195" s="139"/>
      <c r="B195" s="226" t="str">
        <f aca="true" t="shared" si="26" ref="B195:B200">B73</f>
        <v>Combine #1</v>
      </c>
      <c r="C195" s="227"/>
      <c r="D195" s="78">
        <v>155100</v>
      </c>
      <c r="E195" s="79">
        <v>0</v>
      </c>
      <c r="F195" s="132">
        <v>2000</v>
      </c>
      <c r="G195" s="193">
        <f aca="true" t="shared" si="27" ref="G195:J200">D73</f>
        <v>3</v>
      </c>
      <c r="H195" s="193">
        <f t="shared" si="27"/>
        <v>30</v>
      </c>
      <c r="I195" s="193">
        <f t="shared" si="27"/>
        <v>75</v>
      </c>
      <c r="J195" s="193">
        <f t="shared" si="27"/>
        <v>8.181818181818182</v>
      </c>
      <c r="K195" s="193">
        <f aca="true" t="shared" si="28" ref="K195:L200">Z73</f>
        <v>1740</v>
      </c>
      <c r="L195" s="193">
        <f t="shared" si="28"/>
        <v>212.66666666666666</v>
      </c>
      <c r="M195" s="63">
        <v>0.044</v>
      </c>
      <c r="N195" s="64">
        <v>220</v>
      </c>
      <c r="O195" s="65">
        <v>0.6</v>
      </c>
      <c r="P195" s="298">
        <f>L195*M195*N195*IF(M195&lt;0.05,E169,IF(M195&gt;0.07,E171,E170))</f>
        <v>3705.504</v>
      </c>
      <c r="Q195" s="298">
        <f aca="true" t="shared" si="29" ref="Q195:Q202">0.15*P195</f>
        <v>555.8256</v>
      </c>
      <c r="R195" s="298">
        <f aca="true" t="shared" si="30" ref="R195:R202">IF(O195&gt;3,O195/100,O195)*D195/IF(F195&lt;5,1,F195)*L195</f>
        <v>9895.38</v>
      </c>
      <c r="S195" s="536">
        <f aca="true" t="shared" si="31" ref="S195:S202">SUM(P195:R195)/IF(K195&lt;1,1,K195)</f>
        <v>8.13604</v>
      </c>
      <c r="T195" s="298">
        <f aca="true" t="shared" si="32" ref="T195:T202">(D195-E195)/IF(F195&lt;5,1,F195)*L195</f>
        <v>16492.3</v>
      </c>
      <c r="U195" s="298">
        <f>(D195+E195)/2*IF(E164&lt;1,E164,E164/100)</f>
        <v>3877.5</v>
      </c>
      <c r="V195" s="298">
        <f>((D195+E195)/2)/1000*IF(E166&lt;1,E166,E166/100)*IF(E167&gt;1,E167,E167*100)</f>
        <v>1395.8999999999999</v>
      </c>
      <c r="W195" s="298">
        <f>((D195+E195)/2)/1000*E168</f>
        <v>348.97499999999997</v>
      </c>
      <c r="X195" s="536">
        <f aca="true" t="shared" si="33" ref="X195:X202">SUM(T195:W195)/IF(K195&lt;1,1,K195)</f>
        <v>12.709583333333333</v>
      </c>
      <c r="Y195" s="536">
        <f aca="true" t="shared" si="34" ref="Y195:Y202">S195+X195</f>
        <v>20.845623333333332</v>
      </c>
      <c r="Z195" s="299">
        <f aca="true" t="shared" si="35" ref="Z195:Z202">F195/IF(L195&lt;1,1,L195)</f>
        <v>9.404388714733543</v>
      </c>
      <c r="AA195" s="300">
        <f aca="true" t="shared" si="36" ref="AA195:AA202">K195*S195</f>
        <v>14156.709599999998</v>
      </c>
      <c r="AB195" s="300">
        <f aca="true" t="shared" si="37" ref="AB195:AB202">K195*X195</f>
        <v>22114.675</v>
      </c>
      <c r="AC195" s="300">
        <f aca="true" t="shared" si="38" ref="AC195:AC202">AA195+AB195</f>
        <v>36271.3846</v>
      </c>
      <c r="AD195" s="213"/>
      <c r="AE195" s="456" t="str">
        <f aca="true" t="shared" si="39" ref="AE195:AE221">B195</f>
        <v>Combine #1</v>
      </c>
      <c r="AF195" s="456"/>
      <c r="AG195" s="443">
        <f>M195*N195</f>
        <v>9.68</v>
      </c>
      <c r="AH195" s="444">
        <f>L195</f>
        <v>212.66666666666666</v>
      </c>
      <c r="AI195" s="445">
        <f>IF(M195=0.044,$E$169,IF(M195=0.06,$E$170,$E$171))*AG195*AH195</f>
        <v>3705.504</v>
      </c>
      <c r="AJ195" s="445">
        <f>0.15*AI195</f>
        <v>555.8256</v>
      </c>
    </row>
    <row r="196" spans="1:36" ht="15">
      <c r="A196" s="139"/>
      <c r="B196" s="464">
        <f t="shared" si="26"/>
        <v>0</v>
      </c>
      <c r="C196" s="229"/>
      <c r="D196" s="74"/>
      <c r="E196" s="70"/>
      <c r="F196" s="14"/>
      <c r="G196" s="193">
        <f t="shared" si="27"/>
        <v>0</v>
      </c>
      <c r="H196" s="193">
        <f t="shared" si="27"/>
        <v>0</v>
      </c>
      <c r="I196" s="193">
        <f t="shared" si="27"/>
        <v>0</v>
      </c>
      <c r="J196" s="193">
        <f t="shared" si="27"/>
        <v>0</v>
      </c>
      <c r="K196" s="193">
        <f t="shared" si="28"/>
        <v>0</v>
      </c>
      <c r="L196" s="193">
        <f t="shared" si="28"/>
        <v>0</v>
      </c>
      <c r="M196" s="54"/>
      <c r="N196" s="48"/>
      <c r="O196" s="55"/>
      <c r="P196" s="298">
        <f>L196*M196*N196*IF(M196&lt;0.05,E169,IF(M196&gt;0.07,E171,E170))</f>
        <v>0</v>
      </c>
      <c r="Q196" s="298">
        <f t="shared" si="29"/>
        <v>0</v>
      </c>
      <c r="R196" s="298">
        <f t="shared" si="30"/>
        <v>0</v>
      </c>
      <c r="S196" s="536">
        <f t="shared" si="31"/>
        <v>0</v>
      </c>
      <c r="T196" s="298">
        <f t="shared" si="32"/>
        <v>0</v>
      </c>
      <c r="U196" s="298">
        <f>(D196+E196)/2*IF(E164&lt;1,E164,E164/100)</f>
        <v>0</v>
      </c>
      <c r="V196" s="298">
        <f>((D196+E196)/2)/1000*IF(E166&lt;1,E166,E166/100)*IF(E167&gt;1,E167,E167*100)</f>
        <v>0</v>
      </c>
      <c r="W196" s="298">
        <f>((D196+E196)/2)/1000*E168</f>
        <v>0</v>
      </c>
      <c r="X196" s="536">
        <f t="shared" si="33"/>
        <v>0</v>
      </c>
      <c r="Y196" s="536">
        <f t="shared" si="34"/>
        <v>0</v>
      </c>
      <c r="Z196" s="299">
        <f t="shared" si="35"/>
        <v>0</v>
      </c>
      <c r="AA196" s="300">
        <f t="shared" si="36"/>
        <v>0</v>
      </c>
      <c r="AB196" s="300">
        <f t="shared" si="37"/>
        <v>0</v>
      </c>
      <c r="AC196" s="300">
        <f t="shared" si="38"/>
        <v>0</v>
      </c>
      <c r="AD196" s="213"/>
      <c r="AE196" s="456">
        <f t="shared" si="39"/>
        <v>0</v>
      </c>
      <c r="AF196" s="456"/>
      <c r="AG196" s="443">
        <f aca="true" t="shared" si="40" ref="AG196:AG221">M196*N196</f>
        <v>0</v>
      </c>
      <c r="AH196" s="444">
        <f aca="true" t="shared" si="41" ref="AH196:AH221">L196</f>
        <v>0</v>
      </c>
      <c r="AI196" s="445">
        <f>IF(M196=0.044,$E$169,IF(M196=0.06,$E$170,$E$171))*AG196*AH196</f>
        <v>0</v>
      </c>
      <c r="AJ196" s="445">
        <f aca="true" t="shared" si="42" ref="AJ196:AJ221">0.15*AI196</f>
        <v>0</v>
      </c>
    </row>
    <row r="197" spans="1:36" ht="15">
      <c r="A197" s="139"/>
      <c r="B197" s="464">
        <f t="shared" si="26"/>
        <v>0</v>
      </c>
      <c r="C197" s="229"/>
      <c r="D197" s="74"/>
      <c r="E197" s="70"/>
      <c r="F197" s="14"/>
      <c r="G197" s="193">
        <f t="shared" si="27"/>
        <v>0</v>
      </c>
      <c r="H197" s="193">
        <f t="shared" si="27"/>
        <v>0</v>
      </c>
      <c r="I197" s="193">
        <f t="shared" si="27"/>
        <v>0</v>
      </c>
      <c r="J197" s="193">
        <f t="shared" si="27"/>
        <v>0</v>
      </c>
      <c r="K197" s="193">
        <f t="shared" si="28"/>
        <v>0</v>
      </c>
      <c r="L197" s="193">
        <f t="shared" si="28"/>
        <v>0</v>
      </c>
      <c r="M197" s="54">
        <v>0</v>
      </c>
      <c r="N197" s="48">
        <v>0</v>
      </c>
      <c r="O197" s="55">
        <v>0</v>
      </c>
      <c r="P197" s="298">
        <f>L197*M197*N197*IF(M197&lt;0.05,E169,IF(M197&gt;0.07,E171,E170))</f>
        <v>0</v>
      </c>
      <c r="Q197" s="298">
        <f t="shared" si="29"/>
        <v>0</v>
      </c>
      <c r="R197" s="298">
        <f t="shared" si="30"/>
        <v>0</v>
      </c>
      <c r="S197" s="536">
        <f t="shared" si="31"/>
        <v>0</v>
      </c>
      <c r="T197" s="298">
        <f t="shared" si="32"/>
        <v>0</v>
      </c>
      <c r="U197" s="298">
        <f>(D197+E197)/2*IF(E164&lt;1,E164,E164/100)</f>
        <v>0</v>
      </c>
      <c r="V197" s="298">
        <f>((D197+E197)/2)/1000*IF(E166&lt;1,E166,E166/100)*IF(E167&gt;1,E167,E167*100)</f>
        <v>0</v>
      </c>
      <c r="W197" s="298">
        <f>((D197+E197)/2)/1000*E168</f>
        <v>0</v>
      </c>
      <c r="X197" s="536">
        <f t="shared" si="33"/>
        <v>0</v>
      </c>
      <c r="Y197" s="536">
        <f t="shared" si="34"/>
        <v>0</v>
      </c>
      <c r="Z197" s="299">
        <f t="shared" si="35"/>
        <v>0</v>
      </c>
      <c r="AA197" s="300">
        <f t="shared" si="36"/>
        <v>0</v>
      </c>
      <c r="AB197" s="300">
        <f t="shared" si="37"/>
        <v>0</v>
      </c>
      <c r="AC197" s="300">
        <f t="shared" si="38"/>
        <v>0</v>
      </c>
      <c r="AD197" s="213"/>
      <c r="AE197" s="456">
        <f t="shared" si="39"/>
        <v>0</v>
      </c>
      <c r="AF197" s="456"/>
      <c r="AG197" s="443">
        <f t="shared" si="40"/>
        <v>0</v>
      </c>
      <c r="AH197" s="444">
        <f t="shared" si="41"/>
        <v>0</v>
      </c>
      <c r="AI197" s="445">
        <f>IF(M197=0.044,$E$169,IF(M197=0.06,$E$170,$E$171))*AG197*AH197</f>
        <v>0</v>
      </c>
      <c r="AJ197" s="445">
        <f t="shared" si="42"/>
        <v>0</v>
      </c>
    </row>
    <row r="198" spans="1:36" ht="15">
      <c r="A198" s="139"/>
      <c r="B198" s="464">
        <f t="shared" si="26"/>
        <v>0</v>
      </c>
      <c r="C198" s="229"/>
      <c r="D198" s="74"/>
      <c r="E198" s="70"/>
      <c r="F198" s="14"/>
      <c r="G198" s="193">
        <f t="shared" si="27"/>
        <v>0</v>
      </c>
      <c r="H198" s="193">
        <f t="shared" si="27"/>
        <v>0</v>
      </c>
      <c r="I198" s="193">
        <f t="shared" si="27"/>
        <v>0</v>
      </c>
      <c r="J198" s="193">
        <f t="shared" si="27"/>
        <v>0</v>
      </c>
      <c r="K198" s="193">
        <f t="shared" si="28"/>
        <v>0</v>
      </c>
      <c r="L198" s="193">
        <f t="shared" si="28"/>
        <v>0</v>
      </c>
      <c r="M198" s="54">
        <v>0</v>
      </c>
      <c r="N198" s="48">
        <v>0</v>
      </c>
      <c r="O198" s="55">
        <v>0</v>
      </c>
      <c r="P198" s="298">
        <f>L198*M198*N198*IF(M198&lt;0.05,E169,IF(M198&gt;0.07,E171,E170))</f>
        <v>0</v>
      </c>
      <c r="Q198" s="298">
        <f t="shared" si="29"/>
        <v>0</v>
      </c>
      <c r="R198" s="298">
        <f t="shared" si="30"/>
        <v>0</v>
      </c>
      <c r="S198" s="536">
        <f t="shared" si="31"/>
        <v>0</v>
      </c>
      <c r="T198" s="298">
        <f t="shared" si="32"/>
        <v>0</v>
      </c>
      <c r="U198" s="298">
        <f>(D198+E198)/2*IF(E164&lt;1,E164,E164/100)</f>
        <v>0</v>
      </c>
      <c r="V198" s="298">
        <f>((D198+E198)/2)/1000*IF(E166&lt;1,E166,E166/100)*IF(E167&gt;1,E167,E167*100)</f>
        <v>0</v>
      </c>
      <c r="W198" s="298">
        <f>((D198+E198)/2)/1000*E168</f>
        <v>0</v>
      </c>
      <c r="X198" s="536">
        <f t="shared" si="33"/>
        <v>0</v>
      </c>
      <c r="Y198" s="536">
        <f t="shared" si="34"/>
        <v>0</v>
      </c>
      <c r="Z198" s="299">
        <f t="shared" si="35"/>
        <v>0</v>
      </c>
      <c r="AA198" s="300">
        <f t="shared" si="36"/>
        <v>0</v>
      </c>
      <c r="AB198" s="300">
        <f t="shared" si="37"/>
        <v>0</v>
      </c>
      <c r="AC198" s="300">
        <f t="shared" si="38"/>
        <v>0</v>
      </c>
      <c r="AD198" s="213"/>
      <c r="AE198" s="456">
        <f t="shared" si="39"/>
        <v>0</v>
      </c>
      <c r="AF198" s="456"/>
      <c r="AG198" s="443">
        <f t="shared" si="40"/>
        <v>0</v>
      </c>
      <c r="AH198" s="444">
        <f t="shared" si="41"/>
        <v>0</v>
      </c>
      <c r="AI198" s="445">
        <f>IF(M198=0.044,$E$169,IF(M198=0.06,$E$170,$E$171))*AG198*AH198</f>
        <v>0</v>
      </c>
      <c r="AJ198" s="445">
        <f t="shared" si="42"/>
        <v>0</v>
      </c>
    </row>
    <row r="199" spans="1:36" ht="15">
      <c r="A199" s="139"/>
      <c r="B199" s="464">
        <f t="shared" si="26"/>
        <v>0</v>
      </c>
      <c r="C199" s="229"/>
      <c r="D199" s="74"/>
      <c r="E199" s="70"/>
      <c r="F199" s="14"/>
      <c r="G199" s="193">
        <f t="shared" si="27"/>
        <v>0</v>
      </c>
      <c r="H199" s="193">
        <f t="shared" si="27"/>
        <v>0</v>
      </c>
      <c r="I199" s="193">
        <f t="shared" si="27"/>
        <v>0</v>
      </c>
      <c r="J199" s="193">
        <f t="shared" si="27"/>
        <v>0</v>
      </c>
      <c r="K199" s="193">
        <f t="shared" si="28"/>
        <v>0</v>
      </c>
      <c r="L199" s="193">
        <f t="shared" si="28"/>
        <v>0</v>
      </c>
      <c r="M199" s="54">
        <v>0</v>
      </c>
      <c r="N199" s="48">
        <v>0</v>
      </c>
      <c r="O199" s="55">
        <v>0</v>
      </c>
      <c r="P199" s="298">
        <f>L199*M199*N199*IF(M199&lt;0.05,E169,IF(M199&gt;0.07,E171,E170))</f>
        <v>0</v>
      </c>
      <c r="Q199" s="298">
        <f t="shared" si="29"/>
        <v>0</v>
      </c>
      <c r="R199" s="298">
        <f t="shared" si="30"/>
        <v>0</v>
      </c>
      <c r="S199" s="536">
        <f t="shared" si="31"/>
        <v>0</v>
      </c>
      <c r="T199" s="298">
        <f t="shared" si="32"/>
        <v>0</v>
      </c>
      <c r="U199" s="298">
        <f>(D199+E199)/2*IF(E164&lt;1,E164,E164/100)</f>
        <v>0</v>
      </c>
      <c r="V199" s="298">
        <f>((D199+E199)/2)/1000*IF(E166&lt;1,E166,E166/100)*IF(E167&gt;1,E167,E167*100)</f>
        <v>0</v>
      </c>
      <c r="W199" s="298">
        <f>((D199+E199)/2)/1000*E168</f>
        <v>0</v>
      </c>
      <c r="X199" s="536">
        <f t="shared" si="33"/>
        <v>0</v>
      </c>
      <c r="Y199" s="536">
        <f t="shared" si="34"/>
        <v>0</v>
      </c>
      <c r="Z199" s="299">
        <f t="shared" si="35"/>
        <v>0</v>
      </c>
      <c r="AA199" s="300">
        <f t="shared" si="36"/>
        <v>0</v>
      </c>
      <c r="AB199" s="300">
        <f t="shared" si="37"/>
        <v>0</v>
      </c>
      <c r="AC199" s="300">
        <f t="shared" si="38"/>
        <v>0</v>
      </c>
      <c r="AD199" s="213"/>
      <c r="AE199" s="456">
        <f t="shared" si="39"/>
        <v>0</v>
      </c>
      <c r="AF199" s="456"/>
      <c r="AG199" s="443">
        <f t="shared" si="40"/>
        <v>0</v>
      </c>
      <c r="AH199" s="444">
        <f t="shared" si="41"/>
        <v>0</v>
      </c>
      <c r="AI199" s="445">
        <f>IF(M199=0.044,$E$169,IF(M199=0.06,$E$170,$E$171))*AG199*AH199</f>
        <v>0</v>
      </c>
      <c r="AJ199" s="445">
        <f t="shared" si="42"/>
        <v>0</v>
      </c>
    </row>
    <row r="200" spans="1:37" ht="15">
      <c r="A200" s="139"/>
      <c r="B200" s="464">
        <f t="shared" si="26"/>
        <v>0</v>
      </c>
      <c r="C200" s="229"/>
      <c r="D200" s="74"/>
      <c r="E200" s="70"/>
      <c r="F200" s="14"/>
      <c r="G200" s="193">
        <f t="shared" si="27"/>
        <v>0</v>
      </c>
      <c r="H200" s="193">
        <f t="shared" si="27"/>
        <v>0</v>
      </c>
      <c r="I200" s="193">
        <f t="shared" si="27"/>
        <v>0</v>
      </c>
      <c r="J200" s="193">
        <f t="shared" si="27"/>
        <v>0</v>
      </c>
      <c r="K200" s="193">
        <f t="shared" si="28"/>
        <v>0</v>
      </c>
      <c r="L200" s="193">
        <f t="shared" si="28"/>
        <v>0</v>
      </c>
      <c r="M200" s="54">
        <v>0</v>
      </c>
      <c r="N200" s="48">
        <v>0</v>
      </c>
      <c r="O200" s="55">
        <v>0</v>
      </c>
      <c r="P200" s="298">
        <f>L200*M200*N200*IF(M200&lt;0.05,E169,IF(M200&gt;0.07,E171,E170))</f>
        <v>0</v>
      </c>
      <c r="Q200" s="298">
        <f t="shared" si="29"/>
        <v>0</v>
      </c>
      <c r="R200" s="298">
        <f t="shared" si="30"/>
        <v>0</v>
      </c>
      <c r="S200" s="536">
        <f t="shared" si="31"/>
        <v>0</v>
      </c>
      <c r="T200" s="298">
        <f t="shared" si="32"/>
        <v>0</v>
      </c>
      <c r="U200" s="298">
        <f>(D200+E200)/2*IF(E164&lt;1,E164,E164/100)</f>
        <v>0</v>
      </c>
      <c r="V200" s="298">
        <f>((D200+E200)/2)/1000*IF(E166&lt;1,E166,E166/100)*IF(E167&gt;1,E167,E167*100)</f>
        <v>0</v>
      </c>
      <c r="W200" s="298">
        <f>((D200+E200)/2)/1000*E168</f>
        <v>0</v>
      </c>
      <c r="X200" s="536">
        <f t="shared" si="33"/>
        <v>0</v>
      </c>
      <c r="Y200" s="536">
        <f t="shared" si="34"/>
        <v>0</v>
      </c>
      <c r="Z200" s="299">
        <f t="shared" si="35"/>
        <v>0</v>
      </c>
      <c r="AA200" s="300">
        <f t="shared" si="36"/>
        <v>0</v>
      </c>
      <c r="AB200" s="300">
        <f t="shared" si="37"/>
        <v>0</v>
      </c>
      <c r="AC200" s="300">
        <f t="shared" si="38"/>
        <v>0</v>
      </c>
      <c r="AD200" s="213"/>
      <c r="AE200" s="456">
        <f t="shared" si="39"/>
        <v>0</v>
      </c>
      <c r="AF200" s="456"/>
      <c r="AG200" s="443">
        <f t="shared" si="40"/>
        <v>0</v>
      </c>
      <c r="AH200" s="444">
        <f t="shared" si="41"/>
        <v>0</v>
      </c>
      <c r="AI200" s="445">
        <f>IF(M200=0.044,$E$169,IF(M200=0.06,$E$170,$E$171))*AG200*AH200</f>
        <v>0</v>
      </c>
      <c r="AJ200" s="445">
        <f t="shared" si="42"/>
        <v>0</v>
      </c>
      <c r="AK200" s="448"/>
    </row>
    <row r="201" spans="1:37" ht="15" customHeight="1">
      <c r="A201" s="139"/>
      <c r="B201" s="228" t="str">
        <f>B80</f>
        <v>MUSelf Prop. #1 USE#1</v>
      </c>
      <c r="C201" s="301" t="s">
        <v>42</v>
      </c>
      <c r="D201" s="74"/>
      <c r="E201" s="70"/>
      <c r="F201" s="14"/>
      <c r="G201" s="517" t="s">
        <v>571</v>
      </c>
      <c r="H201" s="518"/>
      <c r="I201" s="519"/>
      <c r="J201" s="193">
        <f>G83</f>
        <v>0</v>
      </c>
      <c r="K201" s="193">
        <f>Z83</f>
        <v>0</v>
      </c>
      <c r="L201" s="193">
        <f>AA83</f>
        <v>0</v>
      </c>
      <c r="M201" s="58">
        <v>0</v>
      </c>
      <c r="N201" s="48">
        <v>0</v>
      </c>
      <c r="O201" s="49">
        <v>0</v>
      </c>
      <c r="P201" s="298">
        <f>L201*M201*N201*IF(M201&lt;0.05,E169,IF(M201&gt;0.07,E171,E170))</f>
        <v>0</v>
      </c>
      <c r="Q201" s="298">
        <f t="shared" si="29"/>
        <v>0</v>
      </c>
      <c r="R201" s="298">
        <f t="shared" si="30"/>
        <v>0</v>
      </c>
      <c r="S201" s="536">
        <f t="shared" si="31"/>
        <v>0</v>
      </c>
      <c r="T201" s="298">
        <f t="shared" si="32"/>
        <v>0</v>
      </c>
      <c r="U201" s="298">
        <f>(D201+E201)/2*IF(E164&lt;1,E164,E164/100)</f>
        <v>0</v>
      </c>
      <c r="V201" s="298">
        <f>((D201+E201)/2)/1000*IF(E166&lt;1,E166,E166/100)*IF(E167&gt;1,E167,E167*100)</f>
        <v>0</v>
      </c>
      <c r="W201" s="298">
        <f>((D201+E201)/2)/1000*E168</f>
        <v>0</v>
      </c>
      <c r="X201" s="536">
        <f t="shared" si="33"/>
        <v>0</v>
      </c>
      <c r="Y201" s="536">
        <f t="shared" si="34"/>
        <v>0</v>
      </c>
      <c r="Z201" s="299">
        <f t="shared" si="35"/>
        <v>0</v>
      </c>
      <c r="AA201" s="300">
        <f t="shared" si="36"/>
        <v>0</v>
      </c>
      <c r="AB201" s="300">
        <f t="shared" si="37"/>
        <v>0</v>
      </c>
      <c r="AC201" s="300">
        <f t="shared" si="38"/>
        <v>0</v>
      </c>
      <c r="AD201" s="213"/>
      <c r="AE201" s="455" t="str">
        <f t="shared" si="39"/>
        <v>MUSelf Prop. #1 USE#1</v>
      </c>
      <c r="AF201" s="455"/>
      <c r="AG201" s="443">
        <f t="shared" si="40"/>
        <v>0</v>
      </c>
      <c r="AH201" s="444">
        <f t="shared" si="41"/>
        <v>0</v>
      </c>
      <c r="AI201" s="445">
        <f>IF(M201=0.044,$E$169,IF(M201=0.06,$E$170,$E$171))*AG201*AH201</f>
        <v>0</v>
      </c>
      <c r="AJ201" s="445">
        <f t="shared" si="42"/>
        <v>0</v>
      </c>
      <c r="AK201" s="448"/>
    </row>
    <row r="202" spans="1:37" ht="15.75" thickBot="1">
      <c r="A202" s="139"/>
      <c r="B202" s="230" t="str">
        <f>B84</f>
        <v>MUSelf Prop. #2 USE#1</v>
      </c>
      <c r="C202" s="302" t="s">
        <v>43</v>
      </c>
      <c r="D202" s="71"/>
      <c r="E202" s="75"/>
      <c r="F202" s="17"/>
      <c r="G202" s="515" t="s">
        <v>572</v>
      </c>
      <c r="H202" s="516"/>
      <c r="I202" s="520"/>
      <c r="J202" s="193">
        <f>G87</f>
        <v>0</v>
      </c>
      <c r="K202" s="193">
        <f>Z87</f>
        <v>0</v>
      </c>
      <c r="L202" s="193">
        <f>AA87</f>
        <v>0</v>
      </c>
      <c r="M202" s="59">
        <v>0</v>
      </c>
      <c r="N202" s="50">
        <v>0</v>
      </c>
      <c r="O202" s="51">
        <v>0</v>
      </c>
      <c r="P202" s="298">
        <f>L202*M202*N202*IF(M202&lt;0.05,E169,IF(M202&gt;0.07,E171,E170))</f>
        <v>0</v>
      </c>
      <c r="Q202" s="298">
        <f t="shared" si="29"/>
        <v>0</v>
      </c>
      <c r="R202" s="298">
        <f t="shared" si="30"/>
        <v>0</v>
      </c>
      <c r="S202" s="536">
        <f t="shared" si="31"/>
        <v>0</v>
      </c>
      <c r="T202" s="298">
        <f t="shared" si="32"/>
        <v>0</v>
      </c>
      <c r="U202" s="298">
        <f>(D202+E202)/2*IF(E164&lt;1,E164,E164/100)</f>
        <v>0</v>
      </c>
      <c r="V202" s="298">
        <f>((D202+E202)/2)/1000*IF(E166&lt;1,E166,E166/100)*IF(E167&gt;1,E167,E167*100)</f>
        <v>0</v>
      </c>
      <c r="W202" s="298">
        <f>((D202+E202)/2)/1000*E168</f>
        <v>0</v>
      </c>
      <c r="X202" s="536">
        <f t="shared" si="33"/>
        <v>0</v>
      </c>
      <c r="Y202" s="536">
        <f t="shared" si="34"/>
        <v>0</v>
      </c>
      <c r="Z202" s="299">
        <f t="shared" si="35"/>
        <v>0</v>
      </c>
      <c r="AA202" s="300">
        <f t="shared" si="36"/>
        <v>0</v>
      </c>
      <c r="AB202" s="300">
        <f t="shared" si="37"/>
        <v>0</v>
      </c>
      <c r="AC202" s="300">
        <f t="shared" si="38"/>
        <v>0</v>
      </c>
      <c r="AD202" s="213"/>
      <c r="AE202" s="455" t="str">
        <f t="shared" si="39"/>
        <v>MUSelf Prop. #2 USE#1</v>
      </c>
      <c r="AF202" s="455"/>
      <c r="AG202" s="443">
        <f t="shared" si="40"/>
        <v>0</v>
      </c>
      <c r="AH202" s="444">
        <f t="shared" si="41"/>
        <v>0</v>
      </c>
      <c r="AI202" s="445">
        <f>IF(M202=0.044,$E$169,IF(M202=0.06,$E$170,$E$171))*AG202*AH202</f>
        <v>0</v>
      </c>
      <c r="AJ202" s="445">
        <f t="shared" si="42"/>
        <v>0</v>
      </c>
      <c r="AK202" s="448"/>
    </row>
    <row r="203" spans="1:37" ht="16.5" thickBot="1" thickTop="1">
      <c r="A203" s="139"/>
      <c r="B203" s="203" t="s">
        <v>312</v>
      </c>
      <c r="C203" s="178"/>
      <c r="D203" s="303" t="s">
        <v>267</v>
      </c>
      <c r="E203" s="303" t="s">
        <v>231</v>
      </c>
      <c r="F203" s="304" t="s">
        <v>268</v>
      </c>
      <c r="G203" s="305"/>
      <c r="H203" s="305"/>
      <c r="I203" s="305"/>
      <c r="J203" s="305"/>
      <c r="K203" s="306" t="s">
        <v>270</v>
      </c>
      <c r="L203" s="303" t="s">
        <v>271</v>
      </c>
      <c r="M203" s="303" t="s">
        <v>243</v>
      </c>
      <c r="N203" s="303" t="s">
        <v>272</v>
      </c>
      <c r="O203" s="303" t="s">
        <v>266</v>
      </c>
      <c r="P203" s="527" t="s">
        <v>242</v>
      </c>
      <c r="Q203" s="527" t="s">
        <v>245</v>
      </c>
      <c r="R203" s="527" t="s">
        <v>246</v>
      </c>
      <c r="S203" s="537" t="s">
        <v>318</v>
      </c>
      <c r="T203" s="527" t="s">
        <v>250</v>
      </c>
      <c r="U203" s="527" t="s">
        <v>218</v>
      </c>
      <c r="V203" s="527" t="s">
        <v>252</v>
      </c>
      <c r="W203" s="527" t="s">
        <v>253</v>
      </c>
      <c r="X203" s="537" t="s">
        <v>319</v>
      </c>
      <c r="Y203" s="537" t="s">
        <v>219</v>
      </c>
      <c r="Z203" s="529" t="s">
        <v>220</v>
      </c>
      <c r="AA203" s="534" t="s">
        <v>221</v>
      </c>
      <c r="AB203" s="534" t="s">
        <v>222</v>
      </c>
      <c r="AC203" s="534" t="s">
        <v>223</v>
      </c>
      <c r="AD203" s="213"/>
      <c r="AE203" s="461" t="str">
        <f t="shared" si="39"/>
        <v>Power Units (Tractors)</v>
      </c>
      <c r="AF203" s="462"/>
      <c r="AG203" s="462"/>
      <c r="AH203" s="462"/>
      <c r="AI203" s="462"/>
      <c r="AJ203" s="463"/>
      <c r="AK203" s="448"/>
    </row>
    <row r="204" spans="1:37" ht="15.75" thickTop="1">
      <c r="A204" s="139"/>
      <c r="B204" s="226" t="str">
        <f aca="true" t="shared" si="43" ref="B204:B209">B106</f>
        <v>3/4 ton Chevy Pickup</v>
      </c>
      <c r="C204" s="227"/>
      <c r="D204" s="73">
        <v>22500</v>
      </c>
      <c r="E204" s="68">
        <v>0</v>
      </c>
      <c r="F204" s="20">
        <v>2000</v>
      </c>
      <c r="G204" s="305"/>
      <c r="H204" s="305"/>
      <c r="I204" s="305"/>
      <c r="J204" s="305"/>
      <c r="K204" s="298">
        <f aca="true" t="shared" si="44" ref="K204:K209">Z106</f>
        <v>4740</v>
      </c>
      <c r="L204" s="298">
        <f aca="true" t="shared" si="45" ref="L204:L209">AA106+D150</f>
        <v>200.53846153846155</v>
      </c>
      <c r="M204" s="52">
        <v>0.06</v>
      </c>
      <c r="N204" s="46">
        <v>165</v>
      </c>
      <c r="O204" s="53">
        <v>0.6</v>
      </c>
      <c r="P204" s="298">
        <f>L204*M204*N204*IF(M204&lt;0.05,E169,IF(M204&gt;0.07,E171,E170))</f>
        <v>3474.3288461538464</v>
      </c>
      <c r="Q204" s="298">
        <f aca="true" t="shared" si="46" ref="Q204:Q209">0.15*P204</f>
        <v>521.149326923077</v>
      </c>
      <c r="R204" s="298">
        <f aca="true" t="shared" si="47" ref="R204:R209">IF(O204&gt;3,O204/100,O204)*D204/IF(F204&lt;5,1,F204)*L204</f>
        <v>1353.6346153846155</v>
      </c>
      <c r="S204" s="536">
        <f aca="true" t="shared" si="48" ref="S204:S209">SUM(P204:R204)/IF(K204&lt;1,1,K204)</f>
        <v>1.1285048076923079</v>
      </c>
      <c r="T204" s="298">
        <f aca="true" t="shared" si="49" ref="T204:T209">(D204-E204)/IF(F204&lt;5,1,F204)*L204</f>
        <v>2256.0576923076924</v>
      </c>
      <c r="U204" s="298">
        <f>(D204+E204)/2*IF(E164&lt;1,E164,E164/100)</f>
        <v>562.5</v>
      </c>
      <c r="V204" s="298">
        <f>((D204+E204)/2)/1000*IF(E166&lt;1,E166,E166/100)*IF(E167&gt;1,E167,E167*100)</f>
        <v>202.49999999999997</v>
      </c>
      <c r="W204" s="298">
        <f>((D204+E204)/2)/1000*E168</f>
        <v>50.625</v>
      </c>
      <c r="X204" s="536">
        <f aca="true" t="shared" si="50" ref="X204:X209">SUM(T204:W204)/IF(K204&lt;1,1,K204)</f>
        <v>0.6480343232716651</v>
      </c>
      <c r="Y204" s="536">
        <f aca="true" t="shared" si="51" ref="Y204:Y209">S204+X204</f>
        <v>1.776539130963973</v>
      </c>
      <c r="Z204" s="299">
        <f aca="true" t="shared" si="52" ref="Z204:Z209">F204/IF(L204&lt;1,1,L204)</f>
        <v>9.973149213655542</v>
      </c>
      <c r="AA204" s="300">
        <f aca="true" t="shared" si="53" ref="AA204:AA209">K204*S204</f>
        <v>5349.112788461539</v>
      </c>
      <c r="AB204" s="300">
        <f aca="true" t="shared" si="54" ref="AB204:AB209">K204*X204</f>
        <v>3071.6826923076924</v>
      </c>
      <c r="AC204" s="300">
        <f aca="true" t="shared" si="55" ref="AC204:AC209">AA204+AB204</f>
        <v>8420.795480769231</v>
      </c>
      <c r="AD204" s="213"/>
      <c r="AE204" s="455" t="str">
        <f t="shared" si="39"/>
        <v>3/4 ton Chevy Pickup</v>
      </c>
      <c r="AF204" s="455"/>
      <c r="AG204" s="443">
        <f t="shared" si="40"/>
        <v>9.9</v>
      </c>
      <c r="AH204" s="444">
        <f t="shared" si="41"/>
        <v>200.53846153846155</v>
      </c>
      <c r="AI204" s="445">
        <f>IF(M204=0.044,$E$169,IF(M204=0.06,$E$170,$E$171))*AG204*AH204</f>
        <v>3474.3288461538464</v>
      </c>
      <c r="AJ204" s="445">
        <f t="shared" si="42"/>
        <v>521.149326923077</v>
      </c>
      <c r="AK204" s="448"/>
    </row>
    <row r="205" spans="1:37" ht="15">
      <c r="A205" s="139"/>
      <c r="B205" s="228" t="str">
        <f t="shared" si="43"/>
        <v>260 hp 4wd #11</v>
      </c>
      <c r="C205" s="229"/>
      <c r="D205" s="74">
        <v>115400</v>
      </c>
      <c r="E205" s="70">
        <v>0</v>
      </c>
      <c r="F205" s="14">
        <v>12000</v>
      </c>
      <c r="G205" s="305"/>
      <c r="H205" s="305"/>
      <c r="I205" s="305"/>
      <c r="J205" s="305"/>
      <c r="K205" s="298">
        <f t="shared" si="44"/>
        <v>5520</v>
      </c>
      <c r="L205" s="298">
        <f t="shared" si="45"/>
        <v>266.26984126984127</v>
      </c>
      <c r="M205" s="54">
        <v>0.044</v>
      </c>
      <c r="N205" s="48">
        <v>260</v>
      </c>
      <c r="O205" s="55">
        <v>1</v>
      </c>
      <c r="P205" s="298">
        <f>L205*M205*N205*IF(M205&lt;0.05,E169,IF(M205&gt;0.07,E171,E170))</f>
        <v>5483.028571428572</v>
      </c>
      <c r="Q205" s="298">
        <f t="shared" si="46"/>
        <v>822.4542857142858</v>
      </c>
      <c r="R205" s="298">
        <f t="shared" si="47"/>
        <v>2560.628306878307</v>
      </c>
      <c r="S205" s="536">
        <f t="shared" si="48"/>
        <v>1.6061795586994863</v>
      </c>
      <c r="T205" s="298">
        <f t="shared" si="49"/>
        <v>2560.628306878307</v>
      </c>
      <c r="U205" s="298">
        <f>(D205+E205)/2*IF(E164&lt;1,E164,E164/100)</f>
        <v>2885</v>
      </c>
      <c r="V205" s="298">
        <f>((D205+E205)/2)/1000*IF(E166&lt;1,E166,E166/100)*IF(E167&gt;1,E167,E167*100)</f>
        <v>1038.6000000000001</v>
      </c>
      <c r="W205" s="298">
        <f>((D205+E205)/2)/1000*E168</f>
        <v>259.65000000000003</v>
      </c>
      <c r="X205" s="536">
        <f t="shared" si="50"/>
        <v>1.2217170845794034</v>
      </c>
      <c r="Y205" s="536">
        <f t="shared" si="51"/>
        <v>2.8278966432788897</v>
      </c>
      <c r="Z205" s="299">
        <f t="shared" si="52"/>
        <v>45.067064083457524</v>
      </c>
      <c r="AA205" s="300">
        <f t="shared" si="53"/>
        <v>8866.111164021164</v>
      </c>
      <c r="AB205" s="300">
        <f t="shared" si="54"/>
        <v>6743.878306878307</v>
      </c>
      <c r="AC205" s="300">
        <f t="shared" si="55"/>
        <v>15609.98947089947</v>
      </c>
      <c r="AD205" s="213"/>
      <c r="AE205" s="455" t="str">
        <f t="shared" si="39"/>
        <v>260 hp 4wd #11</v>
      </c>
      <c r="AF205" s="455"/>
      <c r="AG205" s="443">
        <f t="shared" si="40"/>
        <v>11.44</v>
      </c>
      <c r="AH205" s="444">
        <f t="shared" si="41"/>
        <v>266.26984126984127</v>
      </c>
      <c r="AI205" s="445">
        <f>IF(M205=0.044,$E$169,IF(M205=0.06,$E$170,$E$171))*AG205*AH205</f>
        <v>5483.028571428571</v>
      </c>
      <c r="AJ205" s="445">
        <f t="shared" si="42"/>
        <v>822.4542857142857</v>
      </c>
      <c r="AK205" s="448"/>
    </row>
    <row r="206" spans="1:37" ht="15">
      <c r="A206" s="139"/>
      <c r="B206" s="228" t="str">
        <f t="shared" si="43"/>
        <v>80 hp 2wd #5</v>
      </c>
      <c r="C206" s="229"/>
      <c r="D206" s="74">
        <v>49700</v>
      </c>
      <c r="E206" s="70">
        <v>0</v>
      </c>
      <c r="F206" s="14">
        <v>12000</v>
      </c>
      <c r="G206" s="305"/>
      <c r="H206" s="305"/>
      <c r="I206" s="305"/>
      <c r="J206" s="305"/>
      <c r="K206" s="298">
        <f t="shared" si="44"/>
        <v>600</v>
      </c>
      <c r="L206" s="298">
        <f t="shared" si="45"/>
        <v>28.285714285714285</v>
      </c>
      <c r="M206" s="54">
        <v>0.044</v>
      </c>
      <c r="N206" s="48">
        <v>80</v>
      </c>
      <c r="O206" s="55">
        <v>1.2</v>
      </c>
      <c r="P206" s="298">
        <f>L206*M206*N206*IF(M206&lt;0.05,E169,IF(M206&gt;0.07,E171,E170))</f>
        <v>179.2182857142857</v>
      </c>
      <c r="Q206" s="298">
        <f t="shared" si="46"/>
        <v>26.882742857142855</v>
      </c>
      <c r="R206" s="298">
        <f t="shared" si="47"/>
        <v>140.57999999999998</v>
      </c>
      <c r="S206" s="536">
        <f t="shared" si="48"/>
        <v>0.5778017142857143</v>
      </c>
      <c r="T206" s="298">
        <f t="shared" si="49"/>
        <v>117.14999999999999</v>
      </c>
      <c r="U206" s="298">
        <f>(D206+E206)/2*IF(E164&lt;1,E164,E164/100)</f>
        <v>1242.5</v>
      </c>
      <c r="V206" s="298">
        <f>((D206+E206)/2)/1000*IF(E166&lt;1,E166,E166/100)*IF(E167&gt;1,E167,E167*100)</f>
        <v>447.3</v>
      </c>
      <c r="W206" s="298">
        <f>((D206+E206)/2)/1000*E168</f>
        <v>111.825</v>
      </c>
      <c r="X206" s="536">
        <f t="shared" si="50"/>
        <v>3.1979583333333337</v>
      </c>
      <c r="Y206" s="536">
        <f t="shared" si="51"/>
        <v>3.775760047619048</v>
      </c>
      <c r="Z206" s="299">
        <f t="shared" si="52"/>
        <v>424.24242424242425</v>
      </c>
      <c r="AA206" s="300">
        <f t="shared" si="53"/>
        <v>346.68102857142856</v>
      </c>
      <c r="AB206" s="300">
        <f t="shared" si="54"/>
        <v>1918.7750000000003</v>
      </c>
      <c r="AC206" s="300">
        <f t="shared" si="55"/>
        <v>2265.4560285714288</v>
      </c>
      <c r="AD206" s="213"/>
      <c r="AE206" s="455" t="str">
        <f t="shared" si="39"/>
        <v>80 hp 2wd #5</v>
      </c>
      <c r="AF206" s="455"/>
      <c r="AG206" s="443">
        <f t="shared" si="40"/>
        <v>3.5199999999999996</v>
      </c>
      <c r="AH206" s="444">
        <f t="shared" si="41"/>
        <v>28.285714285714285</v>
      </c>
      <c r="AI206" s="445">
        <f>IF(M206=0.044,$E$169,IF(M206=0.06,$E$170,$E$171))*AG206*AH206</f>
        <v>179.21828571428568</v>
      </c>
      <c r="AJ206" s="445">
        <f t="shared" si="42"/>
        <v>26.88274285714285</v>
      </c>
      <c r="AK206" s="448"/>
    </row>
    <row r="207" spans="1:37" ht="15">
      <c r="A207" s="139"/>
      <c r="B207" s="228" t="str">
        <f t="shared" si="43"/>
        <v>#4 tractor not used</v>
      </c>
      <c r="C207" s="229"/>
      <c r="D207" s="74"/>
      <c r="E207" s="70"/>
      <c r="F207" s="14"/>
      <c r="G207" s="305"/>
      <c r="H207" s="305"/>
      <c r="I207" s="305"/>
      <c r="J207" s="305"/>
      <c r="K207" s="298">
        <f t="shared" si="44"/>
        <v>0</v>
      </c>
      <c r="L207" s="298">
        <f t="shared" si="45"/>
        <v>0</v>
      </c>
      <c r="M207" s="54"/>
      <c r="N207" s="48"/>
      <c r="O207" s="55"/>
      <c r="P207" s="298">
        <f>L207*M207*N207*IF(M207&lt;0.05,E169,IF(M207&gt;0.07,E171,E170))</f>
        <v>0</v>
      </c>
      <c r="Q207" s="298">
        <f t="shared" si="46"/>
        <v>0</v>
      </c>
      <c r="R207" s="298">
        <f t="shared" si="47"/>
        <v>0</v>
      </c>
      <c r="S207" s="536">
        <f t="shared" si="48"/>
        <v>0</v>
      </c>
      <c r="T207" s="298">
        <f t="shared" si="49"/>
        <v>0</v>
      </c>
      <c r="U207" s="298">
        <f>(D207+E207)/2*IF(E164&lt;1,E164,E164/100)</f>
        <v>0</v>
      </c>
      <c r="V207" s="298">
        <f>((D207+E207)/2)/1000*IF(E166&lt;1,E166,E166/100)*IF(E167&gt;1,E167,E167*100)</f>
        <v>0</v>
      </c>
      <c r="W207" s="298">
        <f>((D207+E207)/2)/1000*E168</f>
        <v>0</v>
      </c>
      <c r="X207" s="536">
        <f t="shared" si="50"/>
        <v>0</v>
      </c>
      <c r="Y207" s="536">
        <f t="shared" si="51"/>
        <v>0</v>
      </c>
      <c r="Z207" s="299">
        <f t="shared" si="52"/>
        <v>0</v>
      </c>
      <c r="AA207" s="300">
        <f t="shared" si="53"/>
        <v>0</v>
      </c>
      <c r="AB207" s="300">
        <f t="shared" si="54"/>
        <v>0</v>
      </c>
      <c r="AC207" s="300">
        <f t="shared" si="55"/>
        <v>0</v>
      </c>
      <c r="AD207" s="213"/>
      <c r="AE207" s="455" t="str">
        <f t="shared" si="39"/>
        <v>#4 tractor not used</v>
      </c>
      <c r="AF207" s="455"/>
      <c r="AG207" s="443">
        <f t="shared" si="40"/>
        <v>0</v>
      </c>
      <c r="AH207" s="444">
        <f t="shared" si="41"/>
        <v>0</v>
      </c>
      <c r="AI207" s="445">
        <f>IF(M207=0.044,$E$169,IF(M207=0.06,$E$170,$E$171))*AG207*AH207</f>
        <v>0</v>
      </c>
      <c r="AJ207" s="445">
        <f t="shared" si="42"/>
        <v>0</v>
      </c>
      <c r="AK207" s="448"/>
    </row>
    <row r="208" spans="1:37" ht="15">
      <c r="A208" s="139"/>
      <c r="B208" s="228" t="str">
        <f t="shared" si="43"/>
        <v>#5 tractor not used</v>
      </c>
      <c r="C208" s="229"/>
      <c r="D208" s="74"/>
      <c r="E208" s="70"/>
      <c r="F208" s="14"/>
      <c r="G208" s="305"/>
      <c r="H208" s="305"/>
      <c r="I208" s="305"/>
      <c r="J208" s="305"/>
      <c r="K208" s="298">
        <f t="shared" si="44"/>
        <v>0</v>
      </c>
      <c r="L208" s="298">
        <f t="shared" si="45"/>
        <v>0</v>
      </c>
      <c r="M208" s="54"/>
      <c r="N208" s="48"/>
      <c r="O208" s="55"/>
      <c r="P208" s="298">
        <f>L208*M208*N208*IF(M208&lt;0.05,E169,IF(M208&gt;0.07,E171,E170))</f>
        <v>0</v>
      </c>
      <c r="Q208" s="298">
        <f t="shared" si="46"/>
        <v>0</v>
      </c>
      <c r="R208" s="298">
        <f t="shared" si="47"/>
        <v>0</v>
      </c>
      <c r="S208" s="536">
        <f t="shared" si="48"/>
        <v>0</v>
      </c>
      <c r="T208" s="298">
        <f t="shared" si="49"/>
        <v>0</v>
      </c>
      <c r="U208" s="298">
        <f>(D208+E208)/2*IF(E164&lt;1,E164,E164/100)</f>
        <v>0</v>
      </c>
      <c r="V208" s="298">
        <f>((D208+E208)/2)/1000*IF(E166&lt;1,E166,E166/100)*IF(E167&gt;1,E167,E167*100)</f>
        <v>0</v>
      </c>
      <c r="W208" s="298">
        <f>((D208+E208)/2)/1000*E168</f>
        <v>0</v>
      </c>
      <c r="X208" s="536">
        <f t="shared" si="50"/>
        <v>0</v>
      </c>
      <c r="Y208" s="536">
        <f t="shared" si="51"/>
        <v>0</v>
      </c>
      <c r="Z208" s="299">
        <f t="shared" si="52"/>
        <v>0</v>
      </c>
      <c r="AA208" s="300">
        <f t="shared" si="53"/>
        <v>0</v>
      </c>
      <c r="AB208" s="300">
        <f t="shared" si="54"/>
        <v>0</v>
      </c>
      <c r="AC208" s="300">
        <f t="shared" si="55"/>
        <v>0</v>
      </c>
      <c r="AD208" s="213"/>
      <c r="AE208" s="455" t="str">
        <f t="shared" si="39"/>
        <v>#5 tractor not used</v>
      </c>
      <c r="AF208" s="455"/>
      <c r="AG208" s="443">
        <f t="shared" si="40"/>
        <v>0</v>
      </c>
      <c r="AH208" s="444">
        <f t="shared" si="41"/>
        <v>0</v>
      </c>
      <c r="AI208" s="445">
        <f>IF(M208=0.044,$E$169,IF(M208=0.06,$E$170,$E$171))*AG208*AH208</f>
        <v>0</v>
      </c>
      <c r="AJ208" s="445">
        <f t="shared" si="42"/>
        <v>0</v>
      </c>
      <c r="AK208" s="448"/>
    </row>
    <row r="209" spans="1:37" ht="15.75" thickBot="1">
      <c r="A209" s="139"/>
      <c r="B209" s="230" t="str">
        <f t="shared" si="43"/>
        <v>#6 tractor not used</v>
      </c>
      <c r="C209" s="231"/>
      <c r="D209" s="71"/>
      <c r="E209" s="75"/>
      <c r="F209" s="17"/>
      <c r="G209" s="305"/>
      <c r="H209" s="305"/>
      <c r="I209" s="305"/>
      <c r="J209" s="305"/>
      <c r="K209" s="298">
        <f t="shared" si="44"/>
        <v>0</v>
      </c>
      <c r="L209" s="298">
        <f t="shared" si="45"/>
        <v>0</v>
      </c>
      <c r="M209" s="56"/>
      <c r="N209" s="50"/>
      <c r="O209" s="57"/>
      <c r="P209" s="298">
        <f>L209*M209*N209*IF(M209&lt;0.05,E169,IF(M209&gt;0.07,E171,E170))</f>
        <v>0</v>
      </c>
      <c r="Q209" s="298">
        <f t="shared" si="46"/>
        <v>0</v>
      </c>
      <c r="R209" s="298">
        <f t="shared" si="47"/>
        <v>0</v>
      </c>
      <c r="S209" s="536">
        <f t="shared" si="48"/>
        <v>0</v>
      </c>
      <c r="T209" s="298">
        <f t="shared" si="49"/>
        <v>0</v>
      </c>
      <c r="U209" s="298">
        <f>(D209+E209)/2*IF(E164&lt;1,E164,E164/100)</f>
        <v>0</v>
      </c>
      <c r="V209" s="298">
        <f>((D209+E209)/2)/1000*IF(E166&lt;1,E166,E166/100)*IF(E167&gt;1,E167,E167*100)</f>
        <v>0</v>
      </c>
      <c r="W209" s="298">
        <f>((D209+E209)/2)/1000*E168</f>
        <v>0</v>
      </c>
      <c r="X209" s="536">
        <f t="shared" si="50"/>
        <v>0</v>
      </c>
      <c r="Y209" s="536">
        <f t="shared" si="51"/>
        <v>0</v>
      </c>
      <c r="Z209" s="299">
        <f t="shared" si="52"/>
        <v>0</v>
      </c>
      <c r="AA209" s="300">
        <f t="shared" si="53"/>
        <v>0</v>
      </c>
      <c r="AB209" s="300">
        <f t="shared" si="54"/>
        <v>0</v>
      </c>
      <c r="AC209" s="300">
        <f t="shared" si="55"/>
        <v>0</v>
      </c>
      <c r="AD209" s="213"/>
      <c r="AE209" s="455" t="str">
        <f t="shared" si="39"/>
        <v>#6 tractor not used</v>
      </c>
      <c r="AF209" s="455"/>
      <c r="AG209" s="443">
        <f t="shared" si="40"/>
        <v>0</v>
      </c>
      <c r="AH209" s="444">
        <f t="shared" si="41"/>
        <v>0</v>
      </c>
      <c r="AI209" s="445">
        <f>IF(M209=0.044,$E$169,IF(M209=0.06,$E$170,$E$171))*AG209*AH209</f>
        <v>0</v>
      </c>
      <c r="AJ209" s="445">
        <f t="shared" si="42"/>
        <v>0</v>
      </c>
      <c r="AK209" s="448"/>
    </row>
    <row r="210" spans="1:37" ht="16.5" thickBot="1" thickTop="1">
      <c r="A210" s="139"/>
      <c r="B210" s="203" t="s">
        <v>313</v>
      </c>
      <c r="C210" s="178"/>
      <c r="D210" s="303" t="s">
        <v>267</v>
      </c>
      <c r="E210" s="303" t="s">
        <v>231</v>
      </c>
      <c r="F210" s="303" t="s">
        <v>268</v>
      </c>
      <c r="G210" s="305"/>
      <c r="H210" s="305"/>
      <c r="I210" s="305"/>
      <c r="J210" s="305"/>
      <c r="K210" s="305"/>
      <c r="L210" s="305"/>
      <c r="M210" s="303" t="s">
        <v>243</v>
      </c>
      <c r="N210" s="303" t="s">
        <v>272</v>
      </c>
      <c r="O210" s="303" t="s">
        <v>266</v>
      </c>
      <c r="P210" s="527" t="s">
        <v>242</v>
      </c>
      <c r="Q210" s="527" t="s">
        <v>245</v>
      </c>
      <c r="R210" s="527" t="s">
        <v>246</v>
      </c>
      <c r="S210" s="537" t="s">
        <v>318</v>
      </c>
      <c r="T210" s="527" t="s">
        <v>250</v>
      </c>
      <c r="U210" s="527" t="s">
        <v>218</v>
      </c>
      <c r="V210" s="527" t="s">
        <v>252</v>
      </c>
      <c r="W210" s="527" t="s">
        <v>253</v>
      </c>
      <c r="X210" s="537" t="s">
        <v>319</v>
      </c>
      <c r="Y210" s="537" t="s">
        <v>219</v>
      </c>
      <c r="Z210" s="529" t="s">
        <v>220</v>
      </c>
      <c r="AA210" s="534" t="s">
        <v>221</v>
      </c>
      <c r="AB210" s="534" t="s">
        <v>222</v>
      </c>
      <c r="AC210" s="534" t="s">
        <v>223</v>
      </c>
      <c r="AD210" s="213"/>
      <c r="AE210" s="457" t="str">
        <f t="shared" si="39"/>
        <v>Utility Category Power Units</v>
      </c>
      <c r="AF210" s="458"/>
      <c r="AG210" s="458"/>
      <c r="AH210" s="458"/>
      <c r="AI210" s="458"/>
      <c r="AJ210" s="459"/>
      <c r="AK210" s="448"/>
    </row>
    <row r="211" spans="1:37" ht="15.75" thickTop="1">
      <c r="A211" s="139"/>
      <c r="B211" s="226" t="str">
        <f>B113</f>
        <v>Utility Tractor # 1</v>
      </c>
      <c r="C211" s="227"/>
      <c r="D211" s="73"/>
      <c r="E211" s="68"/>
      <c r="F211" s="43"/>
      <c r="G211" s="305"/>
      <c r="H211" s="305"/>
      <c r="I211" s="305"/>
      <c r="J211" s="305"/>
      <c r="K211" s="298">
        <f aca="true" t="shared" si="56" ref="K211:L213">Z113</f>
        <v>0</v>
      </c>
      <c r="L211" s="298">
        <f t="shared" si="56"/>
        <v>0</v>
      </c>
      <c r="M211" s="52">
        <v>0</v>
      </c>
      <c r="N211" s="46">
        <v>0</v>
      </c>
      <c r="O211" s="53">
        <v>0</v>
      </c>
      <c r="P211" s="298">
        <f>L211*M211*N211*IF(M211&lt;0.05,E169,IF(M211&gt;0.07,E171,E170))</f>
        <v>0</v>
      </c>
      <c r="Q211" s="298">
        <f>0.15*P211</f>
        <v>0</v>
      </c>
      <c r="R211" s="298">
        <f>IF(O211&gt;3,O211/100,O211)*D211/IF(F211&lt;5,1,F211)*L211</f>
        <v>0</v>
      </c>
      <c r="S211" s="536">
        <f>SUM(P211:R211)/IF(K211&lt;1,1,K211)</f>
        <v>0</v>
      </c>
      <c r="T211" s="298">
        <f>(D211-E211)/IF(F211&lt;5,1,F211)*L211</f>
        <v>0</v>
      </c>
      <c r="U211" s="298">
        <f>(D211+E211)/2*IF(E164&lt;1,E164,E164/100)</f>
        <v>0</v>
      </c>
      <c r="V211" s="298">
        <f>((D211+E211)/2)/1000*IF(E166&lt;1,E166,E166/100)*IF(E167&gt;1,E167,E167*100)</f>
        <v>0</v>
      </c>
      <c r="W211" s="298">
        <f>((D211+E211)/2)/1000*E168</f>
        <v>0</v>
      </c>
      <c r="X211" s="536">
        <f>SUM(T211:W211)/IF(K211&lt;1,1,K211)</f>
        <v>0</v>
      </c>
      <c r="Y211" s="536">
        <f>S211+X211</f>
        <v>0</v>
      </c>
      <c r="Z211" s="299">
        <f>F211/IF(L211&lt;1,1,L211)</f>
        <v>0</v>
      </c>
      <c r="AA211" s="300">
        <f>K211*S211</f>
        <v>0</v>
      </c>
      <c r="AB211" s="300">
        <f>K211*X211</f>
        <v>0</v>
      </c>
      <c r="AC211" s="300">
        <f>AA211+AB211</f>
        <v>0</v>
      </c>
      <c r="AD211" s="213"/>
      <c r="AE211" s="455" t="str">
        <f t="shared" si="39"/>
        <v>Utility Tractor # 1</v>
      </c>
      <c r="AF211" s="455"/>
      <c r="AG211" s="443">
        <f t="shared" si="40"/>
        <v>0</v>
      </c>
      <c r="AH211" s="444">
        <f t="shared" si="41"/>
        <v>0</v>
      </c>
      <c r="AI211" s="445">
        <f>IF(M211=0.044,$E$169,IF(M211=0.06,$E$170,$E$171))*AG211*AH211</f>
        <v>0</v>
      </c>
      <c r="AJ211" s="445">
        <f t="shared" si="42"/>
        <v>0</v>
      </c>
      <c r="AK211" s="448"/>
    </row>
    <row r="212" spans="1:37" ht="15">
      <c r="A212" s="139"/>
      <c r="B212" s="228" t="str">
        <f>B114</f>
        <v>Utility Tractor # 2</v>
      </c>
      <c r="C212" s="229"/>
      <c r="D212" s="74"/>
      <c r="E212" s="70"/>
      <c r="F212" s="44"/>
      <c r="G212" s="305"/>
      <c r="H212" s="305"/>
      <c r="I212" s="305"/>
      <c r="J212" s="305"/>
      <c r="K212" s="298">
        <f t="shared" si="56"/>
        <v>0</v>
      </c>
      <c r="L212" s="298">
        <f t="shared" si="56"/>
        <v>0</v>
      </c>
      <c r="M212" s="54">
        <v>0</v>
      </c>
      <c r="N212" s="48">
        <v>0</v>
      </c>
      <c r="O212" s="55">
        <v>0</v>
      </c>
      <c r="P212" s="298">
        <f>L212*M212*N212*IF(M212&lt;0.05,E169,IF(M212&gt;0.07,E171,E170))</f>
        <v>0</v>
      </c>
      <c r="Q212" s="298">
        <f>0.15*P212</f>
        <v>0</v>
      </c>
      <c r="R212" s="298">
        <f>IF(O212&gt;3,O212/100,O212)*D212/IF(F212&lt;5,1,F212)*L212</f>
        <v>0</v>
      </c>
      <c r="S212" s="536">
        <f>SUM(P212:R212)/IF(K212&lt;1,1,K212)</f>
        <v>0</v>
      </c>
      <c r="T212" s="298">
        <f>(D212-E212)/IF(F212&lt;5,1,F212)*L212</f>
        <v>0</v>
      </c>
      <c r="U212" s="298">
        <f>(D212+E212)/2*IF(E164&lt;1,E164,E164/100)</f>
        <v>0</v>
      </c>
      <c r="V212" s="298">
        <f>((D212+E212)/2)/1000*IF(E166&lt;1,E166,E166/100)*IF(E167&gt;1,E167,E167*100)</f>
        <v>0</v>
      </c>
      <c r="W212" s="298">
        <f>((D212+E212)/2)/1000*E168</f>
        <v>0</v>
      </c>
      <c r="X212" s="536">
        <f>SUM(T212:W212)/IF(K212&lt;1,1,K212)</f>
        <v>0</v>
      </c>
      <c r="Y212" s="536">
        <f>S212+X212</f>
        <v>0</v>
      </c>
      <c r="Z212" s="299">
        <f>F212/IF(L212&lt;1,1,L212)</f>
        <v>0</v>
      </c>
      <c r="AA212" s="300">
        <f>K212*S212</f>
        <v>0</v>
      </c>
      <c r="AB212" s="300">
        <f>K212*X212</f>
        <v>0</v>
      </c>
      <c r="AC212" s="300">
        <f>AA212+AB212</f>
        <v>0</v>
      </c>
      <c r="AD212" s="213"/>
      <c r="AE212" s="455" t="str">
        <f t="shared" si="39"/>
        <v>Utility Tractor # 2</v>
      </c>
      <c r="AF212" s="455"/>
      <c r="AG212" s="443">
        <f t="shared" si="40"/>
        <v>0</v>
      </c>
      <c r="AH212" s="444">
        <f t="shared" si="41"/>
        <v>0</v>
      </c>
      <c r="AI212" s="445">
        <f>IF(M212=0.044,$E$169,IF(M212=0.06,$E$170,$E$171))*AG212*AH212</f>
        <v>0</v>
      </c>
      <c r="AJ212" s="445">
        <f t="shared" si="42"/>
        <v>0</v>
      </c>
      <c r="AK212" s="448"/>
    </row>
    <row r="213" spans="1:37" ht="15.75" thickBot="1">
      <c r="A213" s="139"/>
      <c r="B213" s="230" t="str">
        <f>B115</f>
        <v>Utility Tractor # 3</v>
      </c>
      <c r="C213" s="231"/>
      <c r="D213" s="71"/>
      <c r="E213" s="75"/>
      <c r="F213" s="45"/>
      <c r="G213" s="305"/>
      <c r="H213" s="305"/>
      <c r="I213" s="305"/>
      <c r="J213" s="305"/>
      <c r="K213" s="298">
        <f t="shared" si="56"/>
        <v>0</v>
      </c>
      <c r="L213" s="298">
        <f t="shared" si="56"/>
        <v>0</v>
      </c>
      <c r="M213" s="56">
        <v>0</v>
      </c>
      <c r="N213" s="16">
        <v>0</v>
      </c>
      <c r="O213" s="57">
        <v>0</v>
      </c>
      <c r="P213" s="298">
        <f>L213*M213*N213*IF(M213&lt;0.05,E169,IF(M213&gt;0.07,E171,E170))</f>
        <v>0</v>
      </c>
      <c r="Q213" s="298">
        <f>0.15*P213</f>
        <v>0</v>
      </c>
      <c r="R213" s="298">
        <f>IF(O213&gt;3,O213/100,O213)*D213/IF(F213&lt;5,1,F213)*L213</f>
        <v>0</v>
      </c>
      <c r="S213" s="536">
        <f>SUM(P213:R213)/IF(K213&lt;1,1,K213)</f>
        <v>0</v>
      </c>
      <c r="T213" s="298">
        <f>(D213-E213)/IF(F213&lt;5,1,F213)*L213</f>
        <v>0</v>
      </c>
      <c r="U213" s="298">
        <f>(D213+E213)/2*IF(E164&lt;1,E164,E164/100)</f>
        <v>0</v>
      </c>
      <c r="V213" s="298">
        <f>((D213+E213)/2)/1000*IF(E166&lt;1,E166,E166/100)*IF(E167&gt;1,E167,E167*100)</f>
        <v>0</v>
      </c>
      <c r="W213" s="298">
        <f>((D213+E213)/2)/1000*E168</f>
        <v>0</v>
      </c>
      <c r="X213" s="536">
        <f>SUM(T213:W213)/IF(K213&lt;1,1,K213)</f>
        <v>0</v>
      </c>
      <c r="Y213" s="536">
        <f>S213+X213</f>
        <v>0</v>
      </c>
      <c r="Z213" s="299">
        <f>F213/IF(L213&lt;1,1,L213)</f>
        <v>0</v>
      </c>
      <c r="AA213" s="300">
        <f>K213*S213</f>
        <v>0</v>
      </c>
      <c r="AB213" s="300">
        <f>K213*X213</f>
        <v>0</v>
      </c>
      <c r="AC213" s="300">
        <f>AA213+AB213</f>
        <v>0</v>
      </c>
      <c r="AD213" s="213"/>
      <c r="AE213" s="455" t="str">
        <f t="shared" si="39"/>
        <v>Utility Tractor # 3</v>
      </c>
      <c r="AF213" s="455"/>
      <c r="AG213" s="443">
        <f t="shared" si="40"/>
        <v>0</v>
      </c>
      <c r="AH213" s="444">
        <f t="shared" si="41"/>
        <v>0</v>
      </c>
      <c r="AI213" s="445">
        <f>IF(M213=0.044,$E$169,IF(M213=0.06,$E$170,$E$171))*AG213*AH213</f>
        <v>0</v>
      </c>
      <c r="AJ213" s="445">
        <f t="shared" si="42"/>
        <v>0</v>
      </c>
      <c r="AK213" s="448"/>
    </row>
    <row r="214" spans="1:37" ht="16.5" thickBot="1" thickTop="1">
      <c r="A214" s="139"/>
      <c r="B214" s="203" t="s">
        <v>314</v>
      </c>
      <c r="C214" s="178"/>
      <c r="D214" s="303" t="s">
        <v>267</v>
      </c>
      <c r="E214" s="303" t="s">
        <v>231</v>
      </c>
      <c r="F214" s="304" t="s">
        <v>268</v>
      </c>
      <c r="G214" s="305"/>
      <c r="H214" s="305"/>
      <c r="I214" s="305"/>
      <c r="J214" s="305"/>
      <c r="K214" s="305"/>
      <c r="L214" s="305"/>
      <c r="M214" s="303" t="s">
        <v>243</v>
      </c>
      <c r="N214" s="303" t="s">
        <v>272</v>
      </c>
      <c r="O214" s="303" t="s">
        <v>266</v>
      </c>
      <c r="P214" s="527" t="s">
        <v>242</v>
      </c>
      <c r="Q214" s="527" t="s">
        <v>245</v>
      </c>
      <c r="R214" s="527" t="s">
        <v>246</v>
      </c>
      <c r="S214" s="537" t="s">
        <v>318</v>
      </c>
      <c r="T214" s="527" t="s">
        <v>250</v>
      </c>
      <c r="U214" s="527" t="s">
        <v>218</v>
      </c>
      <c r="V214" s="527" t="s">
        <v>252</v>
      </c>
      <c r="W214" s="527" t="s">
        <v>253</v>
      </c>
      <c r="X214" s="537" t="s">
        <v>319</v>
      </c>
      <c r="Y214" s="537" t="s">
        <v>219</v>
      </c>
      <c r="Z214" s="529" t="s">
        <v>220</v>
      </c>
      <c r="AA214" s="534" t="s">
        <v>221</v>
      </c>
      <c r="AB214" s="534" t="s">
        <v>222</v>
      </c>
      <c r="AC214" s="534" t="s">
        <v>223</v>
      </c>
      <c r="AD214" s="213"/>
      <c r="AE214" s="457" t="str">
        <f t="shared" si="39"/>
        <v>Trucks</v>
      </c>
      <c r="AF214" s="458"/>
      <c r="AG214" s="458"/>
      <c r="AH214" s="458"/>
      <c r="AI214" s="458"/>
      <c r="AJ214" s="459"/>
      <c r="AK214" s="448"/>
    </row>
    <row r="215" spans="1:37" ht="15.75" thickTop="1">
      <c r="A215" s="139"/>
      <c r="B215" s="402" t="str">
        <f>B124</f>
        <v>350 bushel truck #1</v>
      </c>
      <c r="C215" s="403"/>
      <c r="D215" s="73">
        <v>27000</v>
      </c>
      <c r="E215" s="68">
        <v>0</v>
      </c>
      <c r="F215" s="20">
        <v>2500</v>
      </c>
      <c r="G215" s="305"/>
      <c r="H215" s="305"/>
      <c r="I215" s="305"/>
      <c r="J215" s="305"/>
      <c r="K215" s="298">
        <f>O124</f>
        <v>870</v>
      </c>
      <c r="L215" s="298">
        <f>N124+D157</f>
        <v>135</v>
      </c>
      <c r="M215" s="52">
        <v>0.044</v>
      </c>
      <c r="N215" s="46">
        <v>180</v>
      </c>
      <c r="O215" s="53">
        <v>0.8</v>
      </c>
      <c r="P215" s="298">
        <f>L215*M215*N215*IF(M215&lt;0.05,E169,IF(M215&gt;0.07,E171,E170))</f>
        <v>1924.5599999999997</v>
      </c>
      <c r="Q215" s="298">
        <f>0.15*P215</f>
        <v>288.68399999999997</v>
      </c>
      <c r="R215" s="298">
        <f>IF(O215&gt;3,O215/100,O215)*D215/IF(F215&lt;5,1,F215)*L215</f>
        <v>1166.4</v>
      </c>
      <c r="S215" s="536">
        <f>SUM(P215:R215)/IF(K215&lt;1,1,K215)</f>
        <v>3.8846482758620686</v>
      </c>
      <c r="T215" s="298">
        <f>(D215-E215)/IF(F215&lt;5,1,F215)*L215</f>
        <v>1458</v>
      </c>
      <c r="U215" s="298">
        <f>(D215+E215)/2*IF(E164&lt;1,E164,E164/100)</f>
        <v>675</v>
      </c>
      <c r="V215" s="298">
        <f>((D215+E215)/2)/1000*IF(E166&lt;1,E166,E166/100)*IF(E167&gt;1,E167,E167*100)</f>
        <v>242.99999999999997</v>
      </c>
      <c r="W215" s="298">
        <f>((D215+E215)/2)/1000*E168</f>
        <v>60.75</v>
      </c>
      <c r="X215" s="536">
        <f>SUM(T215:W215)/IF(K215&lt;1,1,K215)</f>
        <v>2.8008620689655173</v>
      </c>
      <c r="Y215" s="536">
        <f>S215+X215</f>
        <v>6.685510344827586</v>
      </c>
      <c r="Z215" s="299">
        <f>F215/IF(L215&lt;1,1,L215)</f>
        <v>18.51851851851852</v>
      </c>
      <c r="AA215" s="300">
        <f>K215*S215</f>
        <v>3379.644</v>
      </c>
      <c r="AB215" s="300">
        <f>K215*X215</f>
        <v>2436.75</v>
      </c>
      <c r="AC215" s="300">
        <f>AA215+AB215</f>
        <v>5816.394</v>
      </c>
      <c r="AD215" s="213"/>
      <c r="AE215" s="455" t="str">
        <f t="shared" si="39"/>
        <v>350 bushel truck #1</v>
      </c>
      <c r="AF215" s="455"/>
      <c r="AG215" s="443">
        <f t="shared" si="40"/>
        <v>7.92</v>
      </c>
      <c r="AH215" s="444">
        <f t="shared" si="41"/>
        <v>135</v>
      </c>
      <c r="AI215" s="445">
        <f>IF(M215=0.044,$E$169,IF(M215=0.06,$E$170,$E$171))*AG215*AH215</f>
        <v>1924.56</v>
      </c>
      <c r="AJ215" s="445">
        <f t="shared" si="42"/>
        <v>288.68399999999997</v>
      </c>
      <c r="AK215" s="448"/>
    </row>
    <row r="216" spans="1:37" ht="15">
      <c r="A216" s="139"/>
      <c r="B216" s="396" t="str">
        <f>B125</f>
        <v>350 bushel truck #2</v>
      </c>
      <c r="C216" s="397"/>
      <c r="D216" s="74">
        <v>27000</v>
      </c>
      <c r="E216" s="70">
        <v>0</v>
      </c>
      <c r="F216" s="14">
        <v>2500</v>
      </c>
      <c r="G216" s="305"/>
      <c r="H216" s="305"/>
      <c r="I216" s="305"/>
      <c r="J216" s="305"/>
      <c r="K216" s="298">
        <f>O125</f>
        <v>870</v>
      </c>
      <c r="L216" s="298">
        <f>N125+D158</f>
        <v>135</v>
      </c>
      <c r="M216" s="54">
        <v>0.06</v>
      </c>
      <c r="N216" s="48">
        <v>175</v>
      </c>
      <c r="O216" s="55">
        <v>0.8</v>
      </c>
      <c r="P216" s="298">
        <f>L216*M216*N216*IF(M216&lt;0.05,E169,IF(M216&gt;0.07,E171,E170))</f>
        <v>2480.625</v>
      </c>
      <c r="Q216" s="298">
        <f>0.15*P216</f>
        <v>372.09375</v>
      </c>
      <c r="R216" s="298">
        <f>IF(O216&gt;3,O216/100,O216)*D216/IF(F216&lt;5,1,F216)*L216</f>
        <v>1166.4</v>
      </c>
      <c r="S216" s="536">
        <f>SUM(P216:R216)/IF(K216&lt;1,1,K216)</f>
        <v>4.619676724137931</v>
      </c>
      <c r="T216" s="298">
        <f>(D216-E216)/IF(F216&lt;5,1,F216)*L216</f>
        <v>1458</v>
      </c>
      <c r="U216" s="298">
        <f>(D216+E216)/2*IF(E164&lt;1,E164,E164/100)</f>
        <v>675</v>
      </c>
      <c r="V216" s="298">
        <f>((D216+E216)/2)/1000*IF(E166&lt;1,E166,E166/100)*IF(E167&gt;1,E167,E167*100)</f>
        <v>242.99999999999997</v>
      </c>
      <c r="W216" s="298">
        <f>((D216+E216)/2)/1000*E168</f>
        <v>60.75</v>
      </c>
      <c r="X216" s="536">
        <f>SUM(T216:W216)/IF(K216&lt;1,1,K216)</f>
        <v>2.8008620689655173</v>
      </c>
      <c r="Y216" s="536">
        <f>S216+X216</f>
        <v>7.420538793103448</v>
      </c>
      <c r="Z216" s="299">
        <f>F216/IF(L216&lt;1,1,L216)</f>
        <v>18.51851851851852</v>
      </c>
      <c r="AA216" s="300">
        <f>K216*S216</f>
        <v>4019.11875</v>
      </c>
      <c r="AB216" s="300">
        <f>K216*X216</f>
        <v>2436.75</v>
      </c>
      <c r="AC216" s="300">
        <f>AA216+AB216</f>
        <v>6455.86875</v>
      </c>
      <c r="AD216" s="213"/>
      <c r="AE216" s="455" t="str">
        <f t="shared" si="39"/>
        <v>350 bushel truck #2</v>
      </c>
      <c r="AF216" s="455"/>
      <c r="AG216" s="443">
        <f t="shared" si="40"/>
        <v>10.5</v>
      </c>
      <c r="AH216" s="444">
        <f t="shared" si="41"/>
        <v>135</v>
      </c>
      <c r="AI216" s="445">
        <f>IF(M216=0.044,$E$169,IF(M216=0.06,$E$170,$E$171))*AG216*AH216</f>
        <v>2480.625</v>
      </c>
      <c r="AJ216" s="445">
        <f t="shared" si="42"/>
        <v>372.09375</v>
      </c>
      <c r="AK216" s="448"/>
    </row>
    <row r="217" spans="1:37" ht="15.75" thickBot="1">
      <c r="A217" s="139"/>
      <c r="B217" s="398" t="str">
        <f>B126</f>
        <v># 3 Truck Not Used</v>
      </c>
      <c r="C217" s="399"/>
      <c r="D217" s="71"/>
      <c r="E217" s="75"/>
      <c r="F217" s="17"/>
      <c r="G217" s="305"/>
      <c r="H217" s="305"/>
      <c r="I217" s="305"/>
      <c r="J217" s="305"/>
      <c r="K217" s="298">
        <f>O126</f>
        <v>0</v>
      </c>
      <c r="L217" s="298">
        <f>N126+D159</f>
        <v>0</v>
      </c>
      <c r="M217" s="56"/>
      <c r="N217" s="50"/>
      <c r="O217" s="57"/>
      <c r="P217" s="298">
        <f>L217*M217*N217*IF(M217&lt;0.05,E169,IF(M217&gt;0.07,E171,E170))</f>
        <v>0</v>
      </c>
      <c r="Q217" s="298">
        <f>0.15*P217</f>
        <v>0</v>
      </c>
      <c r="R217" s="298">
        <f>IF(O217&gt;3,O217/100,O217)*D217/IF(F217&lt;5,1,F217)*L217</f>
        <v>0</v>
      </c>
      <c r="S217" s="536">
        <f>SUM(P217:R217)/IF(K217&lt;1,1,K217)</f>
        <v>0</v>
      </c>
      <c r="T217" s="298">
        <f>(D217-E217)/IF(F217&lt;5,1,F217)*L217</f>
        <v>0</v>
      </c>
      <c r="U217" s="298">
        <f>(D217+E217)/2*IF(E164&lt;1,E164,E164/100)</f>
        <v>0</v>
      </c>
      <c r="V217" s="298">
        <f>((D217+E217)/2)/1000*IF(E166&lt;1,E166,E166/100)*IF(E167&gt;1,E167,E167*100)</f>
        <v>0</v>
      </c>
      <c r="W217" s="298">
        <f>((D217+E217)/2)/1000*E168</f>
        <v>0</v>
      </c>
      <c r="X217" s="536">
        <f>SUM(T217:W217)/IF(K217&lt;1,1,K217)</f>
        <v>0</v>
      </c>
      <c r="Y217" s="536">
        <f>S217+X217</f>
        <v>0</v>
      </c>
      <c r="Z217" s="299">
        <f>F217/IF(L217&lt;1,1,L217)</f>
        <v>0</v>
      </c>
      <c r="AA217" s="300">
        <f>K217*S217</f>
        <v>0</v>
      </c>
      <c r="AB217" s="300">
        <f>K217*X217</f>
        <v>0</v>
      </c>
      <c r="AC217" s="300">
        <f>AA217+AB217</f>
        <v>0</v>
      </c>
      <c r="AD217" s="213"/>
      <c r="AE217" s="455" t="str">
        <f t="shared" si="39"/>
        <v># 3 Truck Not Used</v>
      </c>
      <c r="AF217" s="455"/>
      <c r="AG217" s="443">
        <f t="shared" si="40"/>
        <v>0</v>
      </c>
      <c r="AH217" s="444">
        <f t="shared" si="41"/>
        <v>0</v>
      </c>
      <c r="AI217" s="445">
        <f>IF(M217=0.044,$E$169,IF(M217=0.06,$E$170,$E$171))*AG217*AH217</f>
        <v>0</v>
      </c>
      <c r="AJ217" s="445">
        <f t="shared" si="42"/>
        <v>0</v>
      </c>
      <c r="AK217" s="448"/>
    </row>
    <row r="218" spans="1:37" ht="17.25" thickBot="1" thickTop="1">
      <c r="A218" s="170" t="s">
        <v>367</v>
      </c>
      <c r="B218" s="203" t="s">
        <v>315</v>
      </c>
      <c r="C218" s="178"/>
      <c r="D218" s="303" t="s">
        <v>267</v>
      </c>
      <c r="E218" s="303" t="s">
        <v>231</v>
      </c>
      <c r="F218" s="304" t="s">
        <v>268</v>
      </c>
      <c r="G218" s="305"/>
      <c r="H218" s="305"/>
      <c r="I218" s="305"/>
      <c r="J218" s="305"/>
      <c r="K218" s="306" t="s">
        <v>270</v>
      </c>
      <c r="L218" s="303" t="s">
        <v>271</v>
      </c>
      <c r="M218" s="303" t="s">
        <v>243</v>
      </c>
      <c r="N218" s="303" t="s">
        <v>272</v>
      </c>
      <c r="O218" s="303" t="s">
        <v>266</v>
      </c>
      <c r="P218" s="527" t="s">
        <v>242</v>
      </c>
      <c r="Q218" s="527" t="s">
        <v>245</v>
      </c>
      <c r="R218" s="527" t="s">
        <v>246</v>
      </c>
      <c r="S218" s="537" t="s">
        <v>318</v>
      </c>
      <c r="T218" s="527" t="s">
        <v>250</v>
      </c>
      <c r="U218" s="527" t="s">
        <v>218</v>
      </c>
      <c r="V218" s="527" t="s">
        <v>252</v>
      </c>
      <c r="W218" s="527" t="s">
        <v>253</v>
      </c>
      <c r="X218" s="537" t="s">
        <v>319</v>
      </c>
      <c r="Y218" s="537" t="s">
        <v>219</v>
      </c>
      <c r="Z218" s="529" t="s">
        <v>220</v>
      </c>
      <c r="AA218" s="534" t="s">
        <v>221</v>
      </c>
      <c r="AB218" s="534" t="s">
        <v>222</v>
      </c>
      <c r="AC218" s="534" t="s">
        <v>223</v>
      </c>
      <c r="AD218" s="213"/>
      <c r="AE218" s="457" t="str">
        <f t="shared" si="39"/>
        <v>Pickups</v>
      </c>
      <c r="AF218" s="458"/>
      <c r="AG218" s="458"/>
      <c r="AH218" s="458"/>
      <c r="AI218" s="458"/>
      <c r="AJ218" s="459"/>
      <c r="AK218" s="448"/>
    </row>
    <row r="219" spans="1:37" ht="15" customHeight="1" thickTop="1">
      <c r="A219" s="139"/>
      <c r="B219" s="402" t="str">
        <f>B143</f>
        <v>Chevy pickup #1</v>
      </c>
      <c r="C219" s="403"/>
      <c r="D219" s="67">
        <v>25000</v>
      </c>
      <c r="E219" s="68">
        <v>0</v>
      </c>
      <c r="F219" s="20">
        <v>2500</v>
      </c>
      <c r="G219" s="305"/>
      <c r="H219" s="305"/>
      <c r="I219" s="305"/>
      <c r="J219" s="305"/>
      <c r="K219" s="298">
        <f>R143</f>
        <v>8500</v>
      </c>
      <c r="L219" s="298">
        <f>G134</f>
        <v>700</v>
      </c>
      <c r="M219" s="93">
        <v>0.044</v>
      </c>
      <c r="N219" s="46">
        <v>250</v>
      </c>
      <c r="O219" s="47">
        <v>0.8</v>
      </c>
      <c r="P219" s="298">
        <f>L219*M219*N219*IF(M219&lt;0.05,E169,IF(M219&gt;0.07,E171,E170))</f>
        <v>13859.999999999998</v>
      </c>
      <c r="Q219" s="298">
        <f>0.15*P219</f>
        <v>2078.9999999999995</v>
      </c>
      <c r="R219" s="298">
        <f>IF(O219&gt;3,O219/100,O219)*D219/IF(F219&lt;5,1,F219)*L219</f>
        <v>5600</v>
      </c>
      <c r="S219" s="536">
        <f>SUM(P219:R219)/IF(K219&lt;1,1,K219)</f>
        <v>2.534</v>
      </c>
      <c r="T219" s="298">
        <f>(D219-E219)/IF(F219&lt;5,1,F219)*L219</f>
        <v>7000</v>
      </c>
      <c r="U219" s="298">
        <f>(D219+E219)/2*IF(E164&lt;1,E164,E164/100)</f>
        <v>625</v>
      </c>
      <c r="V219" s="298">
        <f>((D219+E219)/2)/1000*IF(E166&lt;1,E166,E166/100)*IF(E167&gt;1,E167,E167*100)</f>
        <v>225</v>
      </c>
      <c r="W219" s="298">
        <f>((D219+E219)/2)/1000*E168</f>
        <v>56.25</v>
      </c>
      <c r="X219" s="536">
        <f>SUM(T219:W219)/IF(K219&lt;1,1,K219)</f>
        <v>0.9301470588235294</v>
      </c>
      <c r="Y219" s="536">
        <f>S219+X219</f>
        <v>3.4641470588235292</v>
      </c>
      <c r="Z219" s="299">
        <f>F219/IF(L219&lt;1,1,L219)</f>
        <v>3.5714285714285716</v>
      </c>
      <c r="AA219" s="300">
        <f>K219*S219</f>
        <v>21539</v>
      </c>
      <c r="AB219" s="300">
        <f>K219*X219</f>
        <v>7906.25</v>
      </c>
      <c r="AC219" s="300">
        <f>AA219+AB219</f>
        <v>29445.25</v>
      </c>
      <c r="AD219" s="213"/>
      <c r="AE219" s="455" t="str">
        <f t="shared" si="39"/>
        <v>Chevy pickup #1</v>
      </c>
      <c r="AF219" s="455"/>
      <c r="AG219" s="443">
        <f t="shared" si="40"/>
        <v>11</v>
      </c>
      <c r="AH219" s="444">
        <f t="shared" si="41"/>
        <v>700</v>
      </c>
      <c r="AI219" s="445">
        <f>IF(M219=0.044,$E$169,IF(M219=0.06,$E$170,$E$171))*AG219*AH219</f>
        <v>13860</v>
      </c>
      <c r="AJ219" s="445">
        <f t="shared" si="42"/>
        <v>2079</v>
      </c>
      <c r="AK219" s="448"/>
    </row>
    <row r="220" spans="1:37" ht="15" customHeight="1">
      <c r="A220" s="139"/>
      <c r="B220" s="396" t="str">
        <f>B144</f>
        <v>Ford pickup #2</v>
      </c>
      <c r="C220" s="397"/>
      <c r="D220" s="69">
        <v>10000</v>
      </c>
      <c r="E220" s="70">
        <v>0</v>
      </c>
      <c r="F220" s="14">
        <v>1500</v>
      </c>
      <c r="G220" s="305"/>
      <c r="H220" s="305"/>
      <c r="I220" s="305"/>
      <c r="J220" s="305"/>
      <c r="K220" s="298">
        <f>R144</f>
        <v>5920</v>
      </c>
      <c r="L220" s="298">
        <f>G135</f>
        <v>500</v>
      </c>
      <c r="M220" s="94">
        <v>0.044</v>
      </c>
      <c r="N220" s="48">
        <v>200</v>
      </c>
      <c r="O220" s="49">
        <v>1</v>
      </c>
      <c r="P220" s="298">
        <f>L220*M220*N220*IF(M220&lt;0.05,E169,IF(M220&gt;0.07,E171,E170))</f>
        <v>7920</v>
      </c>
      <c r="Q220" s="298">
        <f>0.15*P220</f>
        <v>1188</v>
      </c>
      <c r="R220" s="298">
        <f>IF(O220&gt;3,O220/100,O220)*D220/IF(F220&lt;5,1,F220)*L220</f>
        <v>3333.3333333333335</v>
      </c>
      <c r="S220" s="536">
        <f>SUM(P220:R220)/IF(K220&lt;1,1,K220)</f>
        <v>2.101576576576577</v>
      </c>
      <c r="T220" s="298">
        <f>(D220-E220)/IF(F220&lt;5,1,F220)*L220</f>
        <v>3333.3333333333335</v>
      </c>
      <c r="U220" s="298">
        <f>(D220+E220)/2*IF(E164&lt;1,E164,E164/100)</f>
        <v>250</v>
      </c>
      <c r="V220" s="298">
        <f>((D220+E220)/2)/1000*IF(E166&lt;1,E166,E166/100)*IF(E167&gt;1,E167,E167*100)</f>
        <v>90</v>
      </c>
      <c r="W220" s="298">
        <f>((D220+E220)/2)/1000*E168</f>
        <v>22.5</v>
      </c>
      <c r="X220" s="536">
        <f>SUM(T220:W220)/IF(K220&lt;1,1,K220)</f>
        <v>0.6242961711711712</v>
      </c>
      <c r="Y220" s="536">
        <f>S220+X220</f>
        <v>2.725872747747748</v>
      </c>
      <c r="Z220" s="299">
        <f>F220/IF(L220&lt;1,1,L220)</f>
        <v>3</v>
      </c>
      <c r="AA220" s="300">
        <f>K220*S220</f>
        <v>12441.333333333334</v>
      </c>
      <c r="AB220" s="300">
        <f>K220*X220</f>
        <v>3695.8333333333335</v>
      </c>
      <c r="AC220" s="300">
        <f>AA220+AB220</f>
        <v>16137.166666666668</v>
      </c>
      <c r="AD220" s="213"/>
      <c r="AE220" s="455" t="str">
        <f t="shared" si="39"/>
        <v>Ford pickup #2</v>
      </c>
      <c r="AF220" s="455"/>
      <c r="AG220" s="443">
        <f t="shared" si="40"/>
        <v>8.799999999999999</v>
      </c>
      <c r="AH220" s="444">
        <f t="shared" si="41"/>
        <v>500</v>
      </c>
      <c r="AI220" s="445">
        <f>IF(M220=0.044,$E$169,IF(M220=0.06,$E$170,$E$171))*AG220*AH220</f>
        <v>7919.999999999999</v>
      </c>
      <c r="AJ220" s="445">
        <f t="shared" si="42"/>
        <v>1187.9999999999998</v>
      </c>
      <c r="AK220" s="448"/>
    </row>
    <row r="221" spans="1:37" ht="15" customHeight="1" thickBot="1">
      <c r="A221" s="139"/>
      <c r="B221" s="398" t="str">
        <f>B145</f>
        <v>Pickup not used</v>
      </c>
      <c r="C221" s="399"/>
      <c r="D221" s="69"/>
      <c r="E221" s="70"/>
      <c r="F221" s="17"/>
      <c r="G221" s="305"/>
      <c r="H221" s="305"/>
      <c r="I221" s="305"/>
      <c r="J221" s="305"/>
      <c r="K221" s="298">
        <f>R145</f>
        <v>0</v>
      </c>
      <c r="L221" s="298">
        <f>G136</f>
        <v>0</v>
      </c>
      <c r="M221" s="95"/>
      <c r="N221" s="50"/>
      <c r="O221" s="51"/>
      <c r="P221" s="298">
        <f>L221*M221*N221*IF(M221&lt;0.05,E169,IF(M221&gt;0.07,E171,E170))</f>
        <v>0</v>
      </c>
      <c r="Q221" s="298">
        <f>0.15*P221</f>
        <v>0</v>
      </c>
      <c r="R221" s="298">
        <f>IF(O221&gt;3,O221/100,O221)*D221/IF(F221&lt;5,1,F221)*L221</f>
        <v>0</v>
      </c>
      <c r="S221" s="536">
        <f>SUM(P221:R221)/IF(K221&lt;1,1,K221)</f>
        <v>0</v>
      </c>
      <c r="T221" s="298">
        <f>(D221-E221)/IF(F221&lt;5,1,F221)*L221</f>
        <v>0</v>
      </c>
      <c r="U221" s="298">
        <f>(D221+E221)/2*IF(E164&lt;1,E164,E164/100)</f>
        <v>0</v>
      </c>
      <c r="V221" s="298">
        <f>((D221+E221)/2)/1000*IF(E166&lt;1,E166,E166/100)*IF(E167&gt;1,E167,E167*100)</f>
        <v>0</v>
      </c>
      <c r="W221" s="298">
        <f>((D221+E221)/2)/1000*E168</f>
        <v>0</v>
      </c>
      <c r="X221" s="536">
        <f>SUM(T221:W221)/IF(K221&lt;1,1,K221)</f>
        <v>0</v>
      </c>
      <c r="Y221" s="536">
        <f>S221+X221</f>
        <v>0</v>
      </c>
      <c r="Z221" s="299">
        <f>F221/IF(L221&lt;1,1,L221)</f>
        <v>0</v>
      </c>
      <c r="AA221" s="300">
        <f>K221*S221</f>
        <v>0</v>
      </c>
      <c r="AB221" s="300">
        <f>K221*X221</f>
        <v>0</v>
      </c>
      <c r="AC221" s="300">
        <f>AA221+AB221</f>
        <v>0</v>
      </c>
      <c r="AD221" s="213"/>
      <c r="AE221" s="455" t="str">
        <f t="shared" si="39"/>
        <v>Pickup not used</v>
      </c>
      <c r="AF221" s="455"/>
      <c r="AG221" s="443">
        <f t="shared" si="40"/>
        <v>0</v>
      </c>
      <c r="AH221" s="444">
        <f t="shared" si="41"/>
        <v>0</v>
      </c>
      <c r="AI221" s="445">
        <f>IF(M221=0.044,$E$169,IF(M221=0.06,$E$170,$E$171))*AG221*AH221</f>
        <v>0</v>
      </c>
      <c r="AJ221" s="445">
        <f t="shared" si="42"/>
        <v>0</v>
      </c>
      <c r="AK221" s="448"/>
    </row>
    <row r="222" spans="1:37" ht="17.25" thickBot="1" thickTop="1">
      <c r="A222" s="170" t="s">
        <v>367</v>
      </c>
      <c r="B222" s="525" t="s">
        <v>281</v>
      </c>
      <c r="C222" s="526"/>
      <c r="D222" s="71">
        <v>0</v>
      </c>
      <c r="E222" s="72">
        <v>0</v>
      </c>
      <c r="F222" s="195"/>
      <c r="G222" s="195"/>
      <c r="H222" s="195"/>
      <c r="I222" s="195"/>
      <c r="J222" s="195"/>
      <c r="K222" s="195"/>
      <c r="L222" s="195"/>
      <c r="M222" s="195"/>
      <c r="N222" s="195"/>
      <c r="O222" s="195"/>
      <c r="P222" s="530">
        <v>0</v>
      </c>
      <c r="Q222" s="531">
        <v>0</v>
      </c>
      <c r="R222" s="532">
        <v>0</v>
      </c>
      <c r="S222" s="539">
        <f>SUM(P222:R222)/IF(G26=0,1,G26)</f>
        <v>0</v>
      </c>
      <c r="T222" s="528">
        <f>(D222-E222)/10</f>
        <v>0</v>
      </c>
      <c r="U222" s="528">
        <f>(D222+E222)/2*IF(E164&lt;1,E164,E164/100)</f>
        <v>0</v>
      </c>
      <c r="V222" s="528">
        <f>((D222+E222)/2)/1000*IF(E166&lt;1,E166,E166/100)*IF(E167&gt;1,E167,E167*100)</f>
        <v>0</v>
      </c>
      <c r="W222" s="528">
        <f>((D222+E222)/2)/1000*E168</f>
        <v>0</v>
      </c>
      <c r="X222" s="538">
        <f>SUM(T222:W222)/IF(G26=0,1,G26)</f>
        <v>0</v>
      </c>
      <c r="Y222" s="538">
        <f>S222+X222</f>
        <v>0</v>
      </c>
      <c r="Z222" s="533">
        <v>10</v>
      </c>
      <c r="AA222" s="535">
        <f>SUM(P222:R222)</f>
        <v>0</v>
      </c>
      <c r="AB222" s="535">
        <f>SUM(T222:W222)</f>
        <v>0</v>
      </c>
      <c r="AC222" s="535">
        <f>AA222+AB222</f>
        <v>0</v>
      </c>
      <c r="AD222" s="213"/>
      <c r="AE222" s="213"/>
      <c r="AF222" s="213"/>
      <c r="AG222" s="446"/>
      <c r="AK222" s="448"/>
    </row>
    <row r="223" spans="1:37" ht="15">
      <c r="A223" s="139"/>
      <c r="B223" s="178" t="s">
        <v>282</v>
      </c>
      <c r="C223" s="178"/>
      <c r="D223" s="308">
        <f>SUM(D178:D222)</f>
        <v>521790</v>
      </c>
      <c r="E223" s="308">
        <f>SUM(E178:E222)</f>
        <v>0</v>
      </c>
      <c r="F223" s="309"/>
      <c r="G223" s="309"/>
      <c r="H223" s="309"/>
      <c r="I223" s="309"/>
      <c r="J223" s="309"/>
      <c r="K223" s="310" t="s">
        <v>4</v>
      </c>
      <c r="L223" s="310" t="s">
        <v>4</v>
      </c>
      <c r="M223" s="310" t="s">
        <v>4</v>
      </c>
      <c r="N223" s="310" t="s">
        <v>4</v>
      </c>
      <c r="O223" s="310" t="s">
        <v>4</v>
      </c>
      <c r="P223" s="300">
        <f>SUM(P178:P222)</f>
        <v>39027.2647032967</v>
      </c>
      <c r="Q223" s="300">
        <f>SUM(Q178:Q222)</f>
        <v>5854.089705494505</v>
      </c>
      <c r="R223" s="300">
        <f>SUM(R178:R222)</f>
        <v>31334.020116402116</v>
      </c>
      <c r="S223" s="300" t="s">
        <v>4</v>
      </c>
      <c r="T223" s="300">
        <f>SUM(T178:T222)</f>
        <v>40337.8651933252</v>
      </c>
      <c r="U223" s="300">
        <f>SUM(U178:U222)</f>
        <v>13044.75</v>
      </c>
      <c r="V223" s="300">
        <f>SUM(V178:V222)</f>
        <v>4696.110000000001</v>
      </c>
      <c r="W223" s="300">
        <f>SUM(W178:W222)</f>
        <v>1174.0275000000001</v>
      </c>
      <c r="X223" s="300" t="s">
        <v>4</v>
      </c>
      <c r="Y223" s="300" t="s">
        <v>4</v>
      </c>
      <c r="Z223" s="300"/>
      <c r="AA223" s="300">
        <f>SUM(AA178:AA222)</f>
        <v>76215.37452519333</v>
      </c>
      <c r="AB223" s="300">
        <f>SUM(AB178:AB222)</f>
        <v>59252.7526933252</v>
      </c>
      <c r="AC223" s="300">
        <f>SUM(AC178:AC222)</f>
        <v>135468.1272185185</v>
      </c>
      <c r="AD223" s="178"/>
      <c r="AE223" s="446" t="s">
        <v>555</v>
      </c>
      <c r="AF223" s="178"/>
      <c r="AI223" s="447">
        <f>SUM(AI195:AI222)</f>
        <v>39027.2647032967</v>
      </c>
      <c r="AJ223" s="447">
        <f>SUM(AJ195:AJ222)</f>
        <v>5854.089705494505</v>
      </c>
      <c r="AK223" s="448"/>
    </row>
    <row r="224" spans="1:37" ht="15">
      <c r="A224" s="139"/>
      <c r="B224" s="178"/>
      <c r="C224" s="178"/>
      <c r="D224" s="178"/>
      <c r="E224" s="178"/>
      <c r="F224" s="178"/>
      <c r="G224" s="178"/>
      <c r="H224" s="178"/>
      <c r="I224" s="178"/>
      <c r="J224" s="178"/>
      <c r="K224" s="178"/>
      <c r="L224" s="178"/>
      <c r="M224" s="178"/>
      <c r="N224" s="178"/>
      <c r="O224" s="178"/>
      <c r="P224" s="178"/>
      <c r="Q224" s="178"/>
      <c r="R224" s="178"/>
      <c r="S224" s="178"/>
      <c r="T224" s="178"/>
      <c r="U224" s="178"/>
      <c r="V224" s="178"/>
      <c r="W224" s="178"/>
      <c r="X224" s="178"/>
      <c r="Y224" s="178"/>
      <c r="Z224" s="178"/>
      <c r="AA224" s="178"/>
      <c r="AB224" s="178"/>
      <c r="AC224" s="178"/>
      <c r="AD224" s="213"/>
      <c r="AE224" s="213"/>
      <c r="AF224" s="213"/>
      <c r="AG224" s="450"/>
      <c r="AH224" s="451"/>
      <c r="AI224" s="452"/>
      <c r="AJ224" s="452"/>
      <c r="AK224" s="448"/>
    </row>
    <row r="225" spans="1:38" ht="15">
      <c r="A225" s="139"/>
      <c r="B225" s="178"/>
      <c r="C225" s="178"/>
      <c r="D225" s="178"/>
      <c r="E225" s="178"/>
      <c r="F225" s="178"/>
      <c r="G225" s="178"/>
      <c r="H225" s="178"/>
      <c r="I225" s="178"/>
      <c r="J225" s="178"/>
      <c r="K225" s="178"/>
      <c r="L225" s="178"/>
      <c r="M225" s="178"/>
      <c r="N225" s="178"/>
      <c r="O225" s="178"/>
      <c r="P225" s="178"/>
      <c r="Q225" s="178"/>
      <c r="R225" s="178"/>
      <c r="S225" s="178"/>
      <c r="T225" s="178"/>
      <c r="U225" s="178"/>
      <c r="V225" s="178"/>
      <c r="W225" s="178"/>
      <c r="X225" s="178"/>
      <c r="Y225" s="178"/>
      <c r="Z225" s="178"/>
      <c r="AA225" s="178"/>
      <c r="AB225" s="178"/>
      <c r="AC225" s="178"/>
      <c r="AD225" s="213"/>
      <c r="AE225" s="213"/>
      <c r="AF225" s="213"/>
      <c r="AG225" s="450"/>
      <c r="AH225" s="450"/>
      <c r="AI225" s="451"/>
      <c r="AJ225" s="452"/>
      <c r="AK225" s="452"/>
      <c r="AL225" s="448"/>
    </row>
    <row r="226" spans="1:36" ht="15">
      <c r="A226" s="139"/>
      <c r="B226" s="139"/>
      <c r="C226" s="139"/>
      <c r="D226" s="139"/>
      <c r="E226" s="139"/>
      <c r="F226" s="139"/>
      <c r="G226" s="139"/>
      <c r="H226" s="139"/>
      <c r="I226" s="139"/>
      <c r="J226" s="139"/>
      <c r="K226" s="139"/>
      <c r="L226" s="139"/>
      <c r="M226" s="139"/>
      <c r="N226" s="139"/>
      <c r="O226" s="139"/>
      <c r="P226" s="139"/>
      <c r="Q226" s="178"/>
      <c r="R226" s="178"/>
      <c r="S226" s="178"/>
      <c r="T226" s="178"/>
      <c r="U226" s="178"/>
      <c r="V226" s="178"/>
      <c r="W226" s="178"/>
      <c r="X226" s="178"/>
      <c r="Y226" s="178"/>
      <c r="Z226" s="178"/>
      <c r="AA226" s="178"/>
      <c r="AB226" s="178"/>
      <c r="AC226" s="178"/>
      <c r="AD226" s="213"/>
      <c r="AE226" s="178"/>
      <c r="AF226" s="450"/>
      <c r="AG226" s="451"/>
      <c r="AH226" s="452"/>
      <c r="AI226" s="452"/>
      <c r="AJ226" s="448"/>
    </row>
    <row r="227" spans="1:37" ht="15.75">
      <c r="A227" s="139"/>
      <c r="B227" s="311"/>
      <c r="C227" s="311"/>
      <c r="D227" s="311"/>
      <c r="E227" s="311"/>
      <c r="F227" s="312" t="s">
        <v>45</v>
      </c>
      <c r="G227" s="312"/>
      <c r="H227" s="312"/>
      <c r="I227" s="312"/>
      <c r="J227" s="312"/>
      <c r="K227" s="312"/>
      <c r="L227" s="312"/>
      <c r="M227" s="311"/>
      <c r="N227" s="311"/>
      <c r="O227" s="313"/>
      <c r="P227" s="311"/>
      <c r="Q227" s="311"/>
      <c r="R227" s="312" t="s">
        <v>46</v>
      </c>
      <c r="S227" s="312"/>
      <c r="T227" s="314"/>
      <c r="U227" s="314"/>
      <c r="V227" s="314"/>
      <c r="W227" s="314"/>
      <c r="X227" s="315"/>
      <c r="Y227" s="311"/>
      <c r="Z227" s="311"/>
      <c r="AA227" s="178"/>
      <c r="AB227" s="213"/>
      <c r="AC227" s="213"/>
      <c r="AD227" s="178"/>
      <c r="AE227" s="178"/>
      <c r="AF227" s="449"/>
      <c r="AG227" s="449"/>
      <c r="AH227" s="449"/>
      <c r="AI227" s="449"/>
      <c r="AJ227" s="449"/>
      <c r="AK227" s="448"/>
    </row>
    <row r="228" spans="1:37" ht="15">
      <c r="A228" s="139"/>
      <c r="B228" s="178"/>
      <c r="C228" s="178"/>
      <c r="D228" s="178"/>
      <c r="E228" s="178"/>
      <c r="F228" s="178"/>
      <c r="G228" s="178"/>
      <c r="H228" s="178"/>
      <c r="I228" s="178"/>
      <c r="J228" s="178"/>
      <c r="K228" s="178"/>
      <c r="L228" s="178"/>
      <c r="M228" s="178"/>
      <c r="N228" s="178"/>
      <c r="O228" s="178"/>
      <c r="P228" s="178"/>
      <c r="Q228" s="178"/>
      <c r="R228" s="178"/>
      <c r="S228" s="178"/>
      <c r="T228" s="178"/>
      <c r="U228" s="178"/>
      <c r="V228" s="178"/>
      <c r="W228" s="178"/>
      <c r="X228" s="178"/>
      <c r="Y228" s="178"/>
      <c r="Z228" s="178"/>
      <c r="AA228" s="178"/>
      <c r="AB228" s="213"/>
      <c r="AC228" s="213"/>
      <c r="AD228" s="178"/>
      <c r="AE228" s="178"/>
      <c r="AF228" s="450"/>
      <c r="AG228" s="450"/>
      <c r="AH228" s="451"/>
      <c r="AI228" s="452"/>
      <c r="AJ228" s="452"/>
      <c r="AK228" s="448"/>
    </row>
    <row r="229" spans="1:37" ht="15">
      <c r="A229" s="139"/>
      <c r="B229" s="178"/>
      <c r="C229" s="178"/>
      <c r="D229" s="178"/>
      <c r="E229" s="182"/>
      <c r="F229" s="182"/>
      <c r="G229" s="182"/>
      <c r="H229" s="182"/>
      <c r="I229" s="182"/>
      <c r="J229" s="182"/>
      <c r="K229" s="182"/>
      <c r="L229" s="182"/>
      <c r="M229" s="182"/>
      <c r="N229" s="182" t="s">
        <v>226</v>
      </c>
      <c r="O229" s="182"/>
      <c r="P229" s="182"/>
      <c r="Q229" s="182"/>
      <c r="R229" s="182"/>
      <c r="S229" s="182"/>
      <c r="T229" s="182"/>
      <c r="U229" s="182"/>
      <c r="V229" s="182"/>
      <c r="W229" s="182"/>
      <c r="X229" s="182"/>
      <c r="Y229" s="182" t="s">
        <v>226</v>
      </c>
      <c r="Z229" s="182"/>
      <c r="AA229" s="182"/>
      <c r="AB229" s="213"/>
      <c r="AC229" s="213"/>
      <c r="AD229" s="178"/>
      <c r="AE229" s="178"/>
      <c r="AF229" s="450"/>
      <c r="AG229" s="450"/>
      <c r="AH229" s="451"/>
      <c r="AI229" s="452"/>
      <c r="AJ229" s="452"/>
      <c r="AK229" s="448"/>
    </row>
    <row r="230" spans="1:37" ht="15.75" thickBot="1">
      <c r="A230" s="139"/>
      <c r="B230" s="178"/>
      <c r="C230" s="178"/>
      <c r="D230" s="178"/>
      <c r="E230" s="182" t="s">
        <v>4</v>
      </c>
      <c r="F230" s="182" t="s">
        <v>4</v>
      </c>
      <c r="G230" s="182" t="s">
        <v>4</v>
      </c>
      <c r="H230" s="182" t="s">
        <v>4</v>
      </c>
      <c r="I230" s="182" t="s">
        <v>4</v>
      </c>
      <c r="J230" s="182" t="s">
        <v>4</v>
      </c>
      <c r="K230" s="182" t="s">
        <v>4</v>
      </c>
      <c r="L230" s="182" t="s">
        <v>4</v>
      </c>
      <c r="M230" s="182" t="s">
        <v>4</v>
      </c>
      <c r="N230" s="182" t="s">
        <v>103</v>
      </c>
      <c r="O230" s="182"/>
      <c r="P230" s="182" t="s">
        <v>4</v>
      </c>
      <c r="Q230" s="182" t="s">
        <v>4</v>
      </c>
      <c r="R230" s="182" t="s">
        <v>4</v>
      </c>
      <c r="S230" s="182" t="s">
        <v>4</v>
      </c>
      <c r="T230" s="182" t="s">
        <v>4</v>
      </c>
      <c r="U230" s="182" t="s">
        <v>4</v>
      </c>
      <c r="V230" s="182" t="s">
        <v>4</v>
      </c>
      <c r="W230" s="182" t="s">
        <v>4</v>
      </c>
      <c r="X230" s="182" t="s">
        <v>4</v>
      </c>
      <c r="Y230" s="182" t="s">
        <v>103</v>
      </c>
      <c r="Z230" s="182"/>
      <c r="AA230" s="182"/>
      <c r="AB230" s="213"/>
      <c r="AC230" s="213"/>
      <c r="AD230" s="178"/>
      <c r="AE230" s="178"/>
      <c r="AF230" s="450"/>
      <c r="AG230" s="450"/>
      <c r="AH230" s="451"/>
      <c r="AI230" s="452"/>
      <c r="AJ230" s="452"/>
      <c r="AK230" s="448"/>
    </row>
    <row r="231" spans="1:37" ht="16.5" thickTop="1">
      <c r="A231" s="151" t="s">
        <v>328</v>
      </c>
      <c r="B231" s="178"/>
      <c r="C231" s="178"/>
      <c r="D231" s="178"/>
      <c r="E231" s="416" t="str">
        <f aca="true" t="shared" si="57" ref="E231:M231">E117</f>
        <v>WW on Fallow</v>
      </c>
      <c r="F231" s="412" t="str">
        <f t="shared" si="57"/>
        <v>SW on Fallow</v>
      </c>
      <c r="G231" s="412" t="str">
        <f t="shared" si="57"/>
        <v>WW on Recrop</v>
      </c>
      <c r="H231" s="412" t="str">
        <f t="shared" si="57"/>
        <v>Barley on Recrop</v>
      </c>
      <c r="I231" s="412" t="str">
        <f t="shared" si="57"/>
        <v>Summer Fallow</v>
      </c>
      <c r="J231" s="412" t="str">
        <f t="shared" si="57"/>
        <v>Not Used</v>
      </c>
      <c r="K231" s="412" t="str">
        <f t="shared" si="57"/>
        <v>Not Used</v>
      </c>
      <c r="L231" s="412" t="str">
        <f t="shared" si="57"/>
        <v>Not Used</v>
      </c>
      <c r="M231" s="414" t="str">
        <f t="shared" si="57"/>
        <v>Not Used</v>
      </c>
      <c r="N231" s="182" t="s">
        <v>388</v>
      </c>
      <c r="O231" s="182"/>
      <c r="P231" s="416" t="str">
        <f aca="true" t="shared" si="58" ref="P231:X232">E117</f>
        <v>WW on Fallow</v>
      </c>
      <c r="Q231" s="412" t="str">
        <f t="shared" si="58"/>
        <v>SW on Fallow</v>
      </c>
      <c r="R231" s="412" t="str">
        <f t="shared" si="58"/>
        <v>WW on Recrop</v>
      </c>
      <c r="S231" s="412" t="str">
        <f t="shared" si="58"/>
        <v>Barley on Recrop</v>
      </c>
      <c r="T231" s="412" t="str">
        <f t="shared" si="58"/>
        <v>Summer Fallow</v>
      </c>
      <c r="U231" s="412" t="str">
        <f t="shared" si="58"/>
        <v>Not Used</v>
      </c>
      <c r="V231" s="412" t="str">
        <f t="shared" si="58"/>
        <v>Not Used</v>
      </c>
      <c r="W231" s="412" t="str">
        <f t="shared" si="58"/>
        <v>Not Used</v>
      </c>
      <c r="X231" s="414" t="str">
        <f t="shared" si="58"/>
        <v>Not Used</v>
      </c>
      <c r="Y231" s="182" t="s">
        <v>388</v>
      </c>
      <c r="Z231" s="182"/>
      <c r="AA231" s="182"/>
      <c r="AB231" s="213"/>
      <c r="AC231" s="213"/>
      <c r="AD231" s="178"/>
      <c r="AE231" s="178"/>
      <c r="AF231" s="453"/>
      <c r="AG231" s="448"/>
      <c r="AH231" s="448"/>
      <c r="AI231" s="448"/>
      <c r="AJ231" s="448"/>
      <c r="AK231" s="448"/>
    </row>
    <row r="232" spans="1:37" ht="15.75" thickBot="1">
      <c r="A232" s="139"/>
      <c r="B232" s="178"/>
      <c r="C232" s="178"/>
      <c r="D232" s="178"/>
      <c r="E232" s="417">
        <f aca="true" t="shared" si="59" ref="E232:M232">E118</f>
        <v>0</v>
      </c>
      <c r="F232" s="413">
        <f t="shared" si="59"/>
        <v>0</v>
      </c>
      <c r="G232" s="413">
        <f t="shared" si="59"/>
        <v>0</v>
      </c>
      <c r="H232" s="413">
        <f t="shared" si="59"/>
        <v>0</v>
      </c>
      <c r="I232" s="413">
        <f t="shared" si="59"/>
        <v>0</v>
      </c>
      <c r="J232" s="413">
        <f t="shared" si="59"/>
        <v>0</v>
      </c>
      <c r="K232" s="413">
        <f t="shared" si="59"/>
        <v>0</v>
      </c>
      <c r="L232" s="413">
        <f t="shared" si="59"/>
        <v>0</v>
      </c>
      <c r="M232" s="415">
        <f t="shared" si="59"/>
        <v>0</v>
      </c>
      <c r="N232" s="182" t="s">
        <v>228</v>
      </c>
      <c r="O232" s="182"/>
      <c r="P232" s="417">
        <f t="shared" si="58"/>
        <v>0</v>
      </c>
      <c r="Q232" s="413">
        <f t="shared" si="58"/>
        <v>0</v>
      </c>
      <c r="R232" s="413">
        <f t="shared" si="58"/>
        <v>0</v>
      </c>
      <c r="S232" s="413">
        <f t="shared" si="58"/>
        <v>0</v>
      </c>
      <c r="T232" s="413">
        <f t="shared" si="58"/>
        <v>0</v>
      </c>
      <c r="U232" s="413">
        <f t="shared" si="58"/>
        <v>0</v>
      </c>
      <c r="V232" s="413">
        <f t="shared" si="58"/>
        <v>0</v>
      </c>
      <c r="W232" s="413">
        <f t="shared" si="58"/>
        <v>0</v>
      </c>
      <c r="X232" s="415">
        <f t="shared" si="58"/>
        <v>0</v>
      </c>
      <c r="Y232" s="182" t="s">
        <v>228</v>
      </c>
      <c r="Z232" s="182"/>
      <c r="AA232" s="182"/>
      <c r="AB232" s="213"/>
      <c r="AC232" s="213"/>
      <c r="AD232" s="178"/>
      <c r="AE232" s="178"/>
      <c r="AF232" s="453"/>
      <c r="AG232" s="448"/>
      <c r="AH232" s="448"/>
      <c r="AI232" s="454"/>
      <c r="AJ232" s="454"/>
      <c r="AK232" s="448"/>
    </row>
    <row r="233" spans="1:37" ht="15.75" thickTop="1">
      <c r="A233" s="139"/>
      <c r="B233" s="402" t="str">
        <f>IF(B49=0,"-----machine not used-----",B49)</f>
        <v>skid mount sprayer</v>
      </c>
      <c r="C233" s="403"/>
      <c r="D233" s="316"/>
      <c r="E233" s="298">
        <f aca="true" t="shared" si="60" ref="E233:E246">H49*S178</f>
        <v>145.1153846153846</v>
      </c>
      <c r="F233" s="298">
        <f aca="true" t="shared" si="61" ref="F233:F246">J49*S178</f>
        <v>290.2307692307692</v>
      </c>
      <c r="G233" s="298">
        <f aca="true" t="shared" si="62" ref="G233:G246">L49*S178</f>
        <v>62.19230769230769</v>
      </c>
      <c r="H233" s="298">
        <f aca="true" t="shared" si="63" ref="H233:H246">N49*S178</f>
        <v>103.65384615384615</v>
      </c>
      <c r="I233" s="298">
        <f aca="true" t="shared" si="64" ref="I233:I246">P49*S178</f>
        <v>217.6730769230769</v>
      </c>
      <c r="J233" s="298">
        <f aca="true" t="shared" si="65" ref="J233:J246">R49*S178</f>
        <v>0</v>
      </c>
      <c r="K233" s="298">
        <f aca="true" t="shared" si="66" ref="K233:K246">T49*S178</f>
        <v>0</v>
      </c>
      <c r="L233" s="298">
        <f aca="true" t="shared" si="67" ref="L233:L246">V49*S178</f>
        <v>0</v>
      </c>
      <c r="M233" s="298">
        <f aca="true" t="shared" si="68" ref="M233:M246">X49*S178</f>
        <v>0</v>
      </c>
      <c r="N233" s="298"/>
      <c r="O233" s="182"/>
      <c r="P233" s="298">
        <f aca="true" t="shared" si="69" ref="P233:P246">H49*X178</f>
        <v>176.59323271665042</v>
      </c>
      <c r="Q233" s="298">
        <f aca="true" t="shared" si="70" ref="Q233:Q246">J49*X178</f>
        <v>353.18646543330084</v>
      </c>
      <c r="R233" s="298">
        <f aca="true" t="shared" si="71" ref="R233:R246">L49*X178</f>
        <v>75.68281402142162</v>
      </c>
      <c r="S233" s="298">
        <f aca="true" t="shared" si="72" ref="S233:S246">N49*X178</f>
        <v>126.13802336903602</v>
      </c>
      <c r="T233" s="298">
        <f aca="true" t="shared" si="73" ref="T233:T246">P49*X178</f>
        <v>264.88984907497564</v>
      </c>
      <c r="U233" s="298">
        <f aca="true" t="shared" si="74" ref="U233:U246">R49*X178</f>
        <v>0</v>
      </c>
      <c r="V233" s="298">
        <f aca="true" t="shared" si="75" ref="V233:V246">T49*X178</f>
        <v>0</v>
      </c>
      <c r="W233" s="298">
        <f aca="true" t="shared" si="76" ref="W233:W246">V49*X178</f>
        <v>0</v>
      </c>
      <c r="X233" s="298">
        <f aca="true" t="shared" si="77" ref="X233:X246">X49*X178</f>
        <v>0</v>
      </c>
      <c r="Y233" s="218"/>
      <c r="Z233" s="167"/>
      <c r="AA233" s="167"/>
      <c r="AB233" s="190"/>
      <c r="AC233" s="213"/>
      <c r="AD233" s="178"/>
      <c r="AE233" s="178"/>
      <c r="AF233" s="213"/>
      <c r="AG233" s="150"/>
      <c r="AH233" s="150"/>
      <c r="AI233" s="150"/>
      <c r="AJ233" s="150"/>
      <c r="AK233" s="448"/>
    </row>
    <row r="234" spans="1:37" ht="15">
      <c r="A234" s="139"/>
      <c r="B234" s="396" t="str">
        <f>IF(B50=0,"-----machine not used-----",B50)</f>
        <v>air seeder</v>
      </c>
      <c r="C234" s="397"/>
      <c r="D234" s="316"/>
      <c r="E234" s="298">
        <f t="shared" si="60"/>
        <v>619.6666666666666</v>
      </c>
      <c r="F234" s="298">
        <f t="shared" si="61"/>
        <v>1239.3333333333333</v>
      </c>
      <c r="G234" s="298">
        <f t="shared" si="62"/>
        <v>265.57142857142856</v>
      </c>
      <c r="H234" s="298">
        <f t="shared" si="63"/>
        <v>442.6190476190476</v>
      </c>
      <c r="I234" s="298">
        <f t="shared" si="64"/>
        <v>0</v>
      </c>
      <c r="J234" s="298">
        <f t="shared" si="65"/>
        <v>0</v>
      </c>
      <c r="K234" s="298">
        <f t="shared" si="66"/>
        <v>0</v>
      </c>
      <c r="L234" s="298">
        <f t="shared" si="67"/>
        <v>0</v>
      </c>
      <c r="M234" s="298">
        <f t="shared" si="68"/>
        <v>0</v>
      </c>
      <c r="N234" s="298"/>
      <c r="O234" s="182"/>
      <c r="P234" s="298">
        <f t="shared" si="69"/>
        <v>1063.2916666666667</v>
      </c>
      <c r="Q234" s="298">
        <f t="shared" si="70"/>
        <v>2126.5833333333335</v>
      </c>
      <c r="R234" s="298">
        <f t="shared" si="71"/>
        <v>455.69642857142856</v>
      </c>
      <c r="S234" s="298">
        <f t="shared" si="72"/>
        <v>759.4940476190476</v>
      </c>
      <c r="T234" s="298">
        <f t="shared" si="73"/>
        <v>0</v>
      </c>
      <c r="U234" s="298">
        <f t="shared" si="74"/>
        <v>0</v>
      </c>
      <c r="V234" s="298">
        <f t="shared" si="75"/>
        <v>0</v>
      </c>
      <c r="W234" s="298">
        <f t="shared" si="76"/>
        <v>0</v>
      </c>
      <c r="X234" s="298">
        <f t="shared" si="77"/>
        <v>0</v>
      </c>
      <c r="Y234" s="218"/>
      <c r="Z234" s="167"/>
      <c r="AA234" s="167"/>
      <c r="AB234" s="190"/>
      <c r="AC234" s="213"/>
      <c r="AD234" s="178"/>
      <c r="AE234" s="178"/>
      <c r="AF234" s="213"/>
      <c r="AG234" s="150"/>
      <c r="AH234" s="150"/>
      <c r="AI234" s="150"/>
      <c r="AJ234" s="150"/>
      <c r="AK234" s="448"/>
    </row>
    <row r="235" spans="1:37" ht="15">
      <c r="A235" s="139"/>
      <c r="B235" s="396" t="str">
        <f>IF(B51=0,"-----machine not used-----",B51)</f>
        <v>fertilizer spreader - rented from dealer</v>
      </c>
      <c r="C235" s="397"/>
      <c r="D235" s="316"/>
      <c r="E235" s="298">
        <f t="shared" si="60"/>
        <v>0</v>
      </c>
      <c r="F235" s="298">
        <f t="shared" si="61"/>
        <v>0</v>
      </c>
      <c r="G235" s="298">
        <f t="shared" si="62"/>
        <v>0</v>
      </c>
      <c r="H235" s="298">
        <f t="shared" si="63"/>
        <v>0</v>
      </c>
      <c r="I235" s="298">
        <f t="shared" si="64"/>
        <v>0</v>
      </c>
      <c r="J235" s="298">
        <f t="shared" si="65"/>
        <v>0</v>
      </c>
      <c r="K235" s="298">
        <f t="shared" si="66"/>
        <v>0</v>
      </c>
      <c r="L235" s="298">
        <f t="shared" si="67"/>
        <v>0</v>
      </c>
      <c r="M235" s="298">
        <f t="shared" si="68"/>
        <v>0</v>
      </c>
      <c r="N235" s="298"/>
      <c r="O235" s="182"/>
      <c r="P235" s="298">
        <f t="shared" si="69"/>
        <v>0</v>
      </c>
      <c r="Q235" s="298">
        <f t="shared" si="70"/>
        <v>0</v>
      </c>
      <c r="R235" s="298">
        <f t="shared" si="71"/>
        <v>0</v>
      </c>
      <c r="S235" s="298">
        <f t="shared" si="72"/>
        <v>0</v>
      </c>
      <c r="T235" s="298">
        <f t="shared" si="73"/>
        <v>0</v>
      </c>
      <c r="U235" s="298">
        <f t="shared" si="74"/>
        <v>0</v>
      </c>
      <c r="V235" s="298">
        <f t="shared" si="75"/>
        <v>0</v>
      </c>
      <c r="W235" s="298">
        <f t="shared" si="76"/>
        <v>0</v>
      </c>
      <c r="X235" s="298">
        <f t="shared" si="77"/>
        <v>0</v>
      </c>
      <c r="Y235" s="218"/>
      <c r="Z235" s="167"/>
      <c r="AA235" s="167"/>
      <c r="AB235" s="190"/>
      <c r="AC235" s="213"/>
      <c r="AD235" s="178"/>
      <c r="AE235" s="178"/>
      <c r="AF235" s="213"/>
      <c r="AG235" s="150"/>
      <c r="AH235" s="150"/>
      <c r="AI235" s="150"/>
      <c r="AJ235" s="150"/>
      <c r="AK235" s="448"/>
    </row>
    <row r="236" spans="1:36" ht="15">
      <c r="A236" s="139"/>
      <c r="B236" s="396" t="str">
        <f>IF(B52=0,"-----machine not used-----",B52)</f>
        <v>Tool Bar</v>
      </c>
      <c r="C236" s="397"/>
      <c r="D236" s="316"/>
      <c r="E236" s="298">
        <f t="shared" si="60"/>
        <v>0</v>
      </c>
      <c r="F236" s="298">
        <f t="shared" si="61"/>
        <v>0</v>
      </c>
      <c r="G236" s="298">
        <f t="shared" si="62"/>
        <v>0</v>
      </c>
      <c r="H236" s="298">
        <f t="shared" si="63"/>
        <v>0</v>
      </c>
      <c r="I236" s="298">
        <f t="shared" si="64"/>
        <v>2731.6079999999997</v>
      </c>
      <c r="J236" s="298">
        <f t="shared" si="65"/>
        <v>0</v>
      </c>
      <c r="K236" s="298">
        <f t="shared" si="66"/>
        <v>0</v>
      </c>
      <c r="L236" s="298">
        <f t="shared" si="67"/>
        <v>0</v>
      </c>
      <c r="M236" s="298">
        <f t="shared" si="68"/>
        <v>0</v>
      </c>
      <c r="N236" s="298"/>
      <c r="O236" s="182"/>
      <c r="P236" s="298">
        <f t="shared" si="69"/>
        <v>0</v>
      </c>
      <c r="Q236" s="298">
        <f t="shared" si="70"/>
        <v>0</v>
      </c>
      <c r="R236" s="298">
        <f t="shared" si="71"/>
        <v>0</v>
      </c>
      <c r="S236" s="298">
        <f t="shared" si="72"/>
        <v>0</v>
      </c>
      <c r="T236" s="298">
        <f t="shared" si="73"/>
        <v>3526.6024999999995</v>
      </c>
      <c r="U236" s="298">
        <f t="shared" si="74"/>
        <v>0</v>
      </c>
      <c r="V236" s="298">
        <f t="shared" si="75"/>
        <v>0</v>
      </c>
      <c r="W236" s="298">
        <f t="shared" si="76"/>
        <v>0</v>
      </c>
      <c r="X236" s="298">
        <f t="shared" si="77"/>
        <v>0</v>
      </c>
      <c r="Y236" s="218"/>
      <c r="Z236" s="167"/>
      <c r="AA236" s="167"/>
      <c r="AB236" s="190"/>
      <c r="AC236" s="213"/>
      <c r="AD236" s="178"/>
      <c r="AE236" s="178"/>
      <c r="AF236" s="178"/>
      <c r="AG236" s="139"/>
      <c r="AH236" s="139"/>
      <c r="AI236" s="139"/>
      <c r="AJ236" s="139"/>
    </row>
    <row r="237" spans="1:36" ht="15">
      <c r="A237" s="139"/>
      <c r="B237" s="396" t="str">
        <f>IF(B53=0,"-----machine not used-----",B53)</f>
        <v>-----machine not used-----</v>
      </c>
      <c r="C237" s="397"/>
      <c r="D237" s="316"/>
      <c r="E237" s="298">
        <f t="shared" si="60"/>
        <v>0</v>
      </c>
      <c r="F237" s="298">
        <f t="shared" si="61"/>
        <v>0</v>
      </c>
      <c r="G237" s="298">
        <f t="shared" si="62"/>
        <v>0</v>
      </c>
      <c r="H237" s="298">
        <f t="shared" si="63"/>
        <v>0</v>
      </c>
      <c r="I237" s="298">
        <f t="shared" si="64"/>
        <v>0</v>
      </c>
      <c r="J237" s="298">
        <f t="shared" si="65"/>
        <v>0</v>
      </c>
      <c r="K237" s="298">
        <f t="shared" si="66"/>
        <v>0</v>
      </c>
      <c r="L237" s="298">
        <f t="shared" si="67"/>
        <v>0</v>
      </c>
      <c r="M237" s="298">
        <f t="shared" si="68"/>
        <v>0</v>
      </c>
      <c r="N237" s="298"/>
      <c r="O237" s="182"/>
      <c r="P237" s="298">
        <f t="shared" si="69"/>
        <v>0</v>
      </c>
      <c r="Q237" s="298">
        <f t="shared" si="70"/>
        <v>0</v>
      </c>
      <c r="R237" s="298">
        <f t="shared" si="71"/>
        <v>0</v>
      </c>
      <c r="S237" s="298">
        <f t="shared" si="72"/>
        <v>0</v>
      </c>
      <c r="T237" s="298">
        <f t="shared" si="73"/>
        <v>0</v>
      </c>
      <c r="U237" s="298">
        <f t="shared" si="74"/>
        <v>0</v>
      </c>
      <c r="V237" s="298">
        <f t="shared" si="75"/>
        <v>0</v>
      </c>
      <c r="W237" s="298">
        <f t="shared" si="76"/>
        <v>0</v>
      </c>
      <c r="X237" s="298">
        <f t="shared" si="77"/>
        <v>0</v>
      </c>
      <c r="Y237" s="218"/>
      <c r="Z237" s="167"/>
      <c r="AA237" s="167"/>
      <c r="AB237" s="190"/>
      <c r="AC237" s="213"/>
      <c r="AD237" s="178"/>
      <c r="AE237" s="178"/>
      <c r="AF237" s="178"/>
      <c r="AG237" s="139"/>
      <c r="AH237" s="139"/>
      <c r="AI237" s="139"/>
      <c r="AJ237" s="139"/>
    </row>
    <row r="238" spans="1:36" ht="15">
      <c r="A238" s="139"/>
      <c r="B238" s="400" t="str">
        <f aca="true" t="shared" si="78" ref="B238:B246">IF(B54=0,"-----machine not used-----",B54)</f>
        <v>-----machine not used-----</v>
      </c>
      <c r="C238" s="401"/>
      <c r="D238" s="317"/>
      <c r="E238" s="545">
        <f t="shared" si="60"/>
        <v>0</v>
      </c>
      <c r="F238" s="545">
        <f t="shared" si="61"/>
        <v>0</v>
      </c>
      <c r="G238" s="545">
        <f t="shared" si="62"/>
        <v>0</v>
      </c>
      <c r="H238" s="545">
        <f t="shared" si="63"/>
        <v>0</v>
      </c>
      <c r="I238" s="545">
        <f t="shared" si="64"/>
        <v>0</v>
      </c>
      <c r="J238" s="545">
        <f t="shared" si="65"/>
        <v>0</v>
      </c>
      <c r="K238" s="545">
        <f t="shared" si="66"/>
        <v>0</v>
      </c>
      <c r="L238" s="545">
        <f t="shared" si="67"/>
        <v>0</v>
      </c>
      <c r="M238" s="545">
        <f t="shared" si="68"/>
        <v>0</v>
      </c>
      <c r="N238" s="298"/>
      <c r="O238" s="182"/>
      <c r="P238" s="545">
        <f t="shared" si="69"/>
        <v>0</v>
      </c>
      <c r="Q238" s="545">
        <f t="shared" si="70"/>
        <v>0</v>
      </c>
      <c r="R238" s="545">
        <f t="shared" si="71"/>
        <v>0</v>
      </c>
      <c r="S238" s="545">
        <f t="shared" si="72"/>
        <v>0</v>
      </c>
      <c r="T238" s="545">
        <f t="shared" si="73"/>
        <v>0</v>
      </c>
      <c r="U238" s="545">
        <f t="shared" si="74"/>
        <v>0</v>
      </c>
      <c r="V238" s="545">
        <f t="shared" si="75"/>
        <v>0</v>
      </c>
      <c r="W238" s="545">
        <f t="shared" si="76"/>
        <v>0</v>
      </c>
      <c r="X238" s="545">
        <f t="shared" si="77"/>
        <v>0</v>
      </c>
      <c r="Y238" s="218"/>
      <c r="Z238" s="167"/>
      <c r="AA238" s="167"/>
      <c r="AB238" s="190"/>
      <c r="AC238" s="213"/>
      <c r="AD238" s="178"/>
      <c r="AE238" s="178"/>
      <c r="AF238" s="178"/>
      <c r="AG238" s="139"/>
      <c r="AH238" s="139"/>
      <c r="AI238" s="139"/>
      <c r="AJ238" s="139"/>
    </row>
    <row r="239" spans="1:36" ht="15">
      <c r="A239" s="139"/>
      <c r="B239" s="396" t="str">
        <f t="shared" si="78"/>
        <v>-----machine not used-----</v>
      </c>
      <c r="C239" s="397"/>
      <c r="D239" s="316"/>
      <c r="E239" s="298">
        <f t="shared" si="60"/>
        <v>0</v>
      </c>
      <c r="F239" s="298">
        <f t="shared" si="61"/>
        <v>0</v>
      </c>
      <c r="G239" s="298">
        <f t="shared" si="62"/>
        <v>0</v>
      </c>
      <c r="H239" s="298">
        <f t="shared" si="63"/>
        <v>0</v>
      </c>
      <c r="I239" s="298">
        <f t="shared" si="64"/>
        <v>0</v>
      </c>
      <c r="J239" s="298">
        <f t="shared" si="65"/>
        <v>0</v>
      </c>
      <c r="K239" s="298">
        <f t="shared" si="66"/>
        <v>0</v>
      </c>
      <c r="L239" s="298">
        <f t="shared" si="67"/>
        <v>0</v>
      </c>
      <c r="M239" s="298">
        <f t="shared" si="68"/>
        <v>0</v>
      </c>
      <c r="N239" s="298"/>
      <c r="O239" s="182"/>
      <c r="P239" s="298">
        <f t="shared" si="69"/>
        <v>0</v>
      </c>
      <c r="Q239" s="298">
        <f t="shared" si="70"/>
        <v>0</v>
      </c>
      <c r="R239" s="298">
        <f t="shared" si="71"/>
        <v>0</v>
      </c>
      <c r="S239" s="298">
        <f t="shared" si="72"/>
        <v>0</v>
      </c>
      <c r="T239" s="298">
        <f t="shared" si="73"/>
        <v>0</v>
      </c>
      <c r="U239" s="298">
        <f t="shared" si="74"/>
        <v>0</v>
      </c>
      <c r="V239" s="298">
        <f t="shared" si="75"/>
        <v>0</v>
      </c>
      <c r="W239" s="298">
        <f t="shared" si="76"/>
        <v>0</v>
      </c>
      <c r="X239" s="298">
        <f t="shared" si="77"/>
        <v>0</v>
      </c>
      <c r="Y239" s="218"/>
      <c r="Z239" s="167"/>
      <c r="AA239" s="167"/>
      <c r="AB239" s="190"/>
      <c r="AC239" s="213"/>
      <c r="AD239" s="178"/>
      <c r="AE239" s="178"/>
      <c r="AF239" s="178"/>
      <c r="AG239" s="139"/>
      <c r="AH239" s="139"/>
      <c r="AI239" s="139"/>
      <c r="AJ239" s="139"/>
    </row>
    <row r="240" spans="1:36" ht="15">
      <c r="A240" s="139"/>
      <c r="B240" s="396" t="str">
        <f t="shared" si="78"/>
        <v>-----machine not used-----</v>
      </c>
      <c r="C240" s="397"/>
      <c r="D240" s="316"/>
      <c r="E240" s="298">
        <f t="shared" si="60"/>
        <v>0</v>
      </c>
      <c r="F240" s="298">
        <f t="shared" si="61"/>
        <v>0</v>
      </c>
      <c r="G240" s="298">
        <f t="shared" si="62"/>
        <v>0</v>
      </c>
      <c r="H240" s="298">
        <f t="shared" si="63"/>
        <v>0</v>
      </c>
      <c r="I240" s="298">
        <f t="shared" si="64"/>
        <v>0</v>
      </c>
      <c r="J240" s="298">
        <f t="shared" si="65"/>
        <v>0</v>
      </c>
      <c r="K240" s="298">
        <f t="shared" si="66"/>
        <v>0</v>
      </c>
      <c r="L240" s="298">
        <f t="shared" si="67"/>
        <v>0</v>
      </c>
      <c r="M240" s="298">
        <f t="shared" si="68"/>
        <v>0</v>
      </c>
      <c r="N240" s="298"/>
      <c r="O240" s="182"/>
      <c r="P240" s="298">
        <f t="shared" si="69"/>
        <v>0</v>
      </c>
      <c r="Q240" s="298">
        <f t="shared" si="70"/>
        <v>0</v>
      </c>
      <c r="R240" s="298">
        <f t="shared" si="71"/>
        <v>0</v>
      </c>
      <c r="S240" s="298">
        <f t="shared" si="72"/>
        <v>0</v>
      </c>
      <c r="T240" s="298">
        <f t="shared" si="73"/>
        <v>0</v>
      </c>
      <c r="U240" s="298">
        <f t="shared" si="74"/>
        <v>0</v>
      </c>
      <c r="V240" s="298">
        <f t="shared" si="75"/>
        <v>0</v>
      </c>
      <c r="W240" s="298">
        <f t="shared" si="76"/>
        <v>0</v>
      </c>
      <c r="X240" s="298">
        <f t="shared" si="77"/>
        <v>0</v>
      </c>
      <c r="Y240" s="218"/>
      <c r="Z240" s="167"/>
      <c r="AA240" s="167"/>
      <c r="AB240" s="190"/>
      <c r="AC240" s="213"/>
      <c r="AD240" s="178"/>
      <c r="AE240" s="178"/>
      <c r="AF240" s="178"/>
      <c r="AG240" s="139"/>
      <c r="AH240" s="139"/>
      <c r="AI240" s="139"/>
      <c r="AJ240" s="139"/>
    </row>
    <row r="241" spans="1:36" ht="15">
      <c r="A241" s="139"/>
      <c r="B241" s="396" t="str">
        <f t="shared" si="78"/>
        <v>-----machine not used-----</v>
      </c>
      <c r="C241" s="397"/>
      <c r="D241" s="316"/>
      <c r="E241" s="298">
        <f t="shared" si="60"/>
        <v>0</v>
      </c>
      <c r="F241" s="298">
        <f t="shared" si="61"/>
        <v>0</v>
      </c>
      <c r="G241" s="298">
        <f t="shared" si="62"/>
        <v>0</v>
      </c>
      <c r="H241" s="298">
        <f t="shared" si="63"/>
        <v>0</v>
      </c>
      <c r="I241" s="298">
        <f t="shared" si="64"/>
        <v>0</v>
      </c>
      <c r="J241" s="298">
        <f t="shared" si="65"/>
        <v>0</v>
      </c>
      <c r="K241" s="298">
        <f t="shared" si="66"/>
        <v>0</v>
      </c>
      <c r="L241" s="298">
        <f t="shared" si="67"/>
        <v>0</v>
      </c>
      <c r="M241" s="298">
        <f t="shared" si="68"/>
        <v>0</v>
      </c>
      <c r="N241" s="298"/>
      <c r="O241" s="182"/>
      <c r="P241" s="298">
        <f t="shared" si="69"/>
        <v>0</v>
      </c>
      <c r="Q241" s="298">
        <f t="shared" si="70"/>
        <v>0</v>
      </c>
      <c r="R241" s="298">
        <f t="shared" si="71"/>
        <v>0</v>
      </c>
      <c r="S241" s="298">
        <f t="shared" si="72"/>
        <v>0</v>
      </c>
      <c r="T241" s="298">
        <f t="shared" si="73"/>
        <v>0</v>
      </c>
      <c r="U241" s="298">
        <f t="shared" si="74"/>
        <v>0</v>
      </c>
      <c r="V241" s="298">
        <f t="shared" si="75"/>
        <v>0</v>
      </c>
      <c r="W241" s="298">
        <f t="shared" si="76"/>
        <v>0</v>
      </c>
      <c r="X241" s="298">
        <f t="shared" si="77"/>
        <v>0</v>
      </c>
      <c r="Y241" s="218"/>
      <c r="Z241" s="167"/>
      <c r="AA241" s="167"/>
      <c r="AB241" s="190"/>
      <c r="AC241" s="213"/>
      <c r="AD241" s="178"/>
      <c r="AE241" s="178"/>
      <c r="AF241" s="178"/>
      <c r="AG241" s="139"/>
      <c r="AH241" s="139"/>
      <c r="AI241" s="139"/>
      <c r="AJ241" s="139"/>
    </row>
    <row r="242" spans="1:36" ht="15">
      <c r="A242" s="139"/>
      <c r="B242" s="400" t="str">
        <f t="shared" si="78"/>
        <v>-----machine not used-----</v>
      </c>
      <c r="C242" s="401"/>
      <c r="D242" s="317"/>
      <c r="E242" s="545">
        <f t="shared" si="60"/>
        <v>0</v>
      </c>
      <c r="F242" s="545">
        <f t="shared" si="61"/>
        <v>0</v>
      </c>
      <c r="G242" s="545">
        <f t="shared" si="62"/>
        <v>0</v>
      </c>
      <c r="H242" s="545">
        <f t="shared" si="63"/>
        <v>0</v>
      </c>
      <c r="I242" s="545">
        <f t="shared" si="64"/>
        <v>0</v>
      </c>
      <c r="J242" s="545">
        <f t="shared" si="65"/>
        <v>0</v>
      </c>
      <c r="K242" s="545">
        <f t="shared" si="66"/>
        <v>0</v>
      </c>
      <c r="L242" s="545">
        <f t="shared" si="67"/>
        <v>0</v>
      </c>
      <c r="M242" s="545">
        <f t="shared" si="68"/>
        <v>0</v>
      </c>
      <c r="N242" s="298"/>
      <c r="O242" s="182"/>
      <c r="P242" s="545">
        <f t="shared" si="69"/>
        <v>0</v>
      </c>
      <c r="Q242" s="545">
        <f t="shared" si="70"/>
        <v>0</v>
      </c>
      <c r="R242" s="545">
        <f t="shared" si="71"/>
        <v>0</v>
      </c>
      <c r="S242" s="545">
        <f t="shared" si="72"/>
        <v>0</v>
      </c>
      <c r="T242" s="545">
        <f t="shared" si="73"/>
        <v>0</v>
      </c>
      <c r="U242" s="545">
        <f t="shared" si="74"/>
        <v>0</v>
      </c>
      <c r="V242" s="545">
        <f t="shared" si="75"/>
        <v>0</v>
      </c>
      <c r="W242" s="545">
        <f t="shared" si="76"/>
        <v>0</v>
      </c>
      <c r="X242" s="545">
        <f t="shared" si="77"/>
        <v>0</v>
      </c>
      <c r="Y242" s="218"/>
      <c r="Z242" s="167"/>
      <c r="AA242" s="167"/>
      <c r="AB242" s="190"/>
      <c r="AC242" s="213"/>
      <c r="AD242" s="178"/>
      <c r="AE242" s="178"/>
      <c r="AF242" s="178"/>
      <c r="AG242" s="139"/>
      <c r="AH242" s="139"/>
      <c r="AI242" s="139"/>
      <c r="AJ242" s="139"/>
    </row>
    <row r="243" spans="1:36" ht="15">
      <c r="A243" s="139"/>
      <c r="B243" s="396" t="str">
        <f t="shared" si="78"/>
        <v>-----machine not used-----</v>
      </c>
      <c r="C243" s="397"/>
      <c r="D243" s="316"/>
      <c r="E243" s="298">
        <f t="shared" si="60"/>
        <v>0</v>
      </c>
      <c r="F243" s="298">
        <f t="shared" si="61"/>
        <v>0</v>
      </c>
      <c r="G243" s="298">
        <f t="shared" si="62"/>
        <v>0</v>
      </c>
      <c r="H243" s="298">
        <f t="shared" si="63"/>
        <v>0</v>
      </c>
      <c r="I243" s="298">
        <f t="shared" si="64"/>
        <v>0</v>
      </c>
      <c r="J243" s="298">
        <f t="shared" si="65"/>
        <v>0</v>
      </c>
      <c r="K243" s="298">
        <f t="shared" si="66"/>
        <v>0</v>
      </c>
      <c r="L243" s="298">
        <f t="shared" si="67"/>
        <v>0</v>
      </c>
      <c r="M243" s="298">
        <f t="shared" si="68"/>
        <v>0</v>
      </c>
      <c r="N243" s="298"/>
      <c r="O243" s="182"/>
      <c r="P243" s="298">
        <f t="shared" si="69"/>
        <v>0</v>
      </c>
      <c r="Q243" s="298">
        <f t="shared" si="70"/>
        <v>0</v>
      </c>
      <c r="R243" s="298">
        <f t="shared" si="71"/>
        <v>0</v>
      </c>
      <c r="S243" s="298">
        <f t="shared" si="72"/>
        <v>0</v>
      </c>
      <c r="T243" s="298">
        <f t="shared" si="73"/>
        <v>0</v>
      </c>
      <c r="U243" s="298">
        <f t="shared" si="74"/>
        <v>0</v>
      </c>
      <c r="V243" s="298">
        <f t="shared" si="75"/>
        <v>0</v>
      </c>
      <c r="W243" s="298">
        <f t="shared" si="76"/>
        <v>0</v>
      </c>
      <c r="X243" s="298">
        <f t="shared" si="77"/>
        <v>0</v>
      </c>
      <c r="Y243" s="218"/>
      <c r="Z243" s="167"/>
      <c r="AA243" s="167"/>
      <c r="AB243" s="190"/>
      <c r="AC243" s="213"/>
      <c r="AD243" s="178"/>
      <c r="AE243" s="178"/>
      <c r="AF243" s="178"/>
      <c r="AG243" s="139"/>
      <c r="AH243" s="139"/>
      <c r="AI243" s="139"/>
      <c r="AJ243" s="139"/>
    </row>
    <row r="244" spans="1:36" ht="15">
      <c r="A244" s="139"/>
      <c r="B244" s="396" t="str">
        <f t="shared" si="78"/>
        <v>-----machine not used-----</v>
      </c>
      <c r="C244" s="397"/>
      <c r="D244" s="316"/>
      <c r="E244" s="298">
        <f t="shared" si="60"/>
        <v>0</v>
      </c>
      <c r="F244" s="298">
        <f t="shared" si="61"/>
        <v>0</v>
      </c>
      <c r="G244" s="298">
        <f t="shared" si="62"/>
        <v>0</v>
      </c>
      <c r="H244" s="298">
        <f t="shared" si="63"/>
        <v>0</v>
      </c>
      <c r="I244" s="298">
        <f t="shared" si="64"/>
        <v>0</v>
      </c>
      <c r="J244" s="298">
        <f t="shared" si="65"/>
        <v>0</v>
      </c>
      <c r="K244" s="298">
        <f t="shared" si="66"/>
        <v>0</v>
      </c>
      <c r="L244" s="298">
        <f t="shared" si="67"/>
        <v>0</v>
      </c>
      <c r="M244" s="298">
        <f t="shared" si="68"/>
        <v>0</v>
      </c>
      <c r="N244" s="298"/>
      <c r="O244" s="182"/>
      <c r="P244" s="298">
        <f t="shared" si="69"/>
        <v>0</v>
      </c>
      <c r="Q244" s="298">
        <f t="shared" si="70"/>
        <v>0</v>
      </c>
      <c r="R244" s="298">
        <f t="shared" si="71"/>
        <v>0</v>
      </c>
      <c r="S244" s="298">
        <f t="shared" si="72"/>
        <v>0</v>
      </c>
      <c r="T244" s="298">
        <f t="shared" si="73"/>
        <v>0</v>
      </c>
      <c r="U244" s="298">
        <f t="shared" si="74"/>
        <v>0</v>
      </c>
      <c r="V244" s="298">
        <f t="shared" si="75"/>
        <v>0</v>
      </c>
      <c r="W244" s="298">
        <f t="shared" si="76"/>
        <v>0</v>
      </c>
      <c r="X244" s="298">
        <f t="shared" si="77"/>
        <v>0</v>
      </c>
      <c r="Y244" s="218"/>
      <c r="Z244" s="167"/>
      <c r="AA244" s="167"/>
      <c r="AB244" s="190"/>
      <c r="AC244" s="213"/>
      <c r="AD244" s="178"/>
      <c r="AE244" s="178"/>
      <c r="AF244" s="178"/>
      <c r="AG244" s="139"/>
      <c r="AH244" s="139"/>
      <c r="AI244" s="139"/>
      <c r="AJ244" s="139"/>
    </row>
    <row r="245" spans="1:36" ht="15">
      <c r="A245" s="139"/>
      <c r="B245" s="396" t="str">
        <f t="shared" si="78"/>
        <v>-----machine not used-----</v>
      </c>
      <c r="C245" s="397"/>
      <c r="D245" s="316"/>
      <c r="E245" s="298">
        <f t="shared" si="60"/>
        <v>0</v>
      </c>
      <c r="F245" s="298">
        <f t="shared" si="61"/>
        <v>0</v>
      </c>
      <c r="G245" s="298">
        <f t="shared" si="62"/>
        <v>0</v>
      </c>
      <c r="H245" s="298">
        <f t="shared" si="63"/>
        <v>0</v>
      </c>
      <c r="I245" s="298">
        <f t="shared" si="64"/>
        <v>0</v>
      </c>
      <c r="J245" s="298">
        <f t="shared" si="65"/>
        <v>0</v>
      </c>
      <c r="K245" s="298">
        <f t="shared" si="66"/>
        <v>0</v>
      </c>
      <c r="L245" s="298">
        <f t="shared" si="67"/>
        <v>0</v>
      </c>
      <c r="M245" s="298">
        <f t="shared" si="68"/>
        <v>0</v>
      </c>
      <c r="N245" s="298"/>
      <c r="O245" s="182"/>
      <c r="P245" s="298">
        <f t="shared" si="69"/>
        <v>0</v>
      </c>
      <c r="Q245" s="298">
        <f t="shared" si="70"/>
        <v>0</v>
      </c>
      <c r="R245" s="298">
        <f t="shared" si="71"/>
        <v>0</v>
      </c>
      <c r="S245" s="298">
        <f t="shared" si="72"/>
        <v>0</v>
      </c>
      <c r="T245" s="298">
        <f t="shared" si="73"/>
        <v>0</v>
      </c>
      <c r="U245" s="298">
        <f t="shared" si="74"/>
        <v>0</v>
      </c>
      <c r="V245" s="298">
        <f t="shared" si="75"/>
        <v>0</v>
      </c>
      <c r="W245" s="298">
        <f t="shared" si="76"/>
        <v>0</v>
      </c>
      <c r="X245" s="298">
        <f t="shared" si="77"/>
        <v>0</v>
      </c>
      <c r="Y245" s="218"/>
      <c r="Z245" s="167"/>
      <c r="AA245" s="167"/>
      <c r="AB245" s="190"/>
      <c r="AC245" s="213"/>
      <c r="AD245" s="178"/>
      <c r="AE245" s="178"/>
      <c r="AF245" s="178"/>
      <c r="AG245" s="139"/>
      <c r="AH245" s="139"/>
      <c r="AI245" s="139"/>
      <c r="AJ245" s="139"/>
    </row>
    <row r="246" spans="1:36" ht="15">
      <c r="A246" s="139"/>
      <c r="B246" s="400" t="str">
        <f t="shared" si="78"/>
        <v>-----machine not used-----</v>
      </c>
      <c r="C246" s="401"/>
      <c r="D246" s="317"/>
      <c r="E246" s="545">
        <f t="shared" si="60"/>
        <v>0</v>
      </c>
      <c r="F246" s="545">
        <f t="shared" si="61"/>
        <v>0</v>
      </c>
      <c r="G246" s="545">
        <f t="shared" si="62"/>
        <v>0</v>
      </c>
      <c r="H246" s="545">
        <f t="shared" si="63"/>
        <v>0</v>
      </c>
      <c r="I246" s="545">
        <f t="shared" si="64"/>
        <v>0</v>
      </c>
      <c r="J246" s="545">
        <f t="shared" si="65"/>
        <v>0</v>
      </c>
      <c r="K246" s="545">
        <f t="shared" si="66"/>
        <v>0</v>
      </c>
      <c r="L246" s="545">
        <f t="shared" si="67"/>
        <v>0</v>
      </c>
      <c r="M246" s="545">
        <f t="shared" si="68"/>
        <v>0</v>
      </c>
      <c r="N246" s="298"/>
      <c r="O246" s="182"/>
      <c r="P246" s="545">
        <f t="shared" si="69"/>
        <v>0</v>
      </c>
      <c r="Q246" s="545">
        <f t="shared" si="70"/>
        <v>0</v>
      </c>
      <c r="R246" s="545">
        <f t="shared" si="71"/>
        <v>0</v>
      </c>
      <c r="S246" s="545">
        <f t="shared" si="72"/>
        <v>0</v>
      </c>
      <c r="T246" s="545">
        <f t="shared" si="73"/>
        <v>0</v>
      </c>
      <c r="U246" s="545">
        <f t="shared" si="74"/>
        <v>0</v>
      </c>
      <c r="V246" s="545">
        <f t="shared" si="75"/>
        <v>0</v>
      </c>
      <c r="W246" s="545">
        <f t="shared" si="76"/>
        <v>0</v>
      </c>
      <c r="X246" s="545">
        <f t="shared" si="77"/>
        <v>0</v>
      </c>
      <c r="Y246" s="218"/>
      <c r="Z246" s="167"/>
      <c r="AA246" s="167"/>
      <c r="AB246" s="190"/>
      <c r="AC246" s="213"/>
      <c r="AD246" s="178"/>
      <c r="AE246" s="178"/>
      <c r="AF246" s="178"/>
      <c r="AG246" s="139"/>
      <c r="AH246" s="139"/>
      <c r="AI246" s="139"/>
      <c r="AJ246" s="139"/>
    </row>
    <row r="247" spans="1:36" ht="15">
      <c r="A247" s="139"/>
      <c r="B247" s="228" t="str">
        <f>B64</f>
        <v>MUImp. #1 USE#1</v>
      </c>
      <c r="C247" s="301" t="s">
        <v>40</v>
      </c>
      <c r="D247" s="316"/>
      <c r="E247" s="298">
        <f>H67*S192</f>
        <v>0</v>
      </c>
      <c r="F247" s="298">
        <f>J67*S192</f>
        <v>0</v>
      </c>
      <c r="G247" s="298">
        <f>L67*S192</f>
        <v>0</v>
      </c>
      <c r="H247" s="298">
        <f>N67*S192</f>
        <v>0</v>
      </c>
      <c r="I247" s="298">
        <f>P67*S192</f>
        <v>0</v>
      </c>
      <c r="J247" s="298">
        <f>R67*S192</f>
        <v>0</v>
      </c>
      <c r="K247" s="298">
        <f>T67*S192</f>
        <v>0</v>
      </c>
      <c r="L247" s="298">
        <f>V67*S192</f>
        <v>0</v>
      </c>
      <c r="M247" s="298">
        <f>X67*S192</f>
        <v>0</v>
      </c>
      <c r="N247" s="298"/>
      <c r="O247" s="182"/>
      <c r="P247" s="298">
        <f>H67*X192</f>
        <v>0</v>
      </c>
      <c r="Q247" s="298">
        <f>J67*X192</f>
        <v>0</v>
      </c>
      <c r="R247" s="298">
        <f>L67*X192</f>
        <v>0</v>
      </c>
      <c r="S247" s="298">
        <f>N67*X192</f>
        <v>0</v>
      </c>
      <c r="T247" s="298">
        <f>P67*X192</f>
        <v>0</v>
      </c>
      <c r="U247" s="298">
        <f>R67*X192</f>
        <v>0</v>
      </c>
      <c r="V247" s="298">
        <f>T67*X192</f>
        <v>0</v>
      </c>
      <c r="W247" s="298">
        <f>V67*X192</f>
        <v>0</v>
      </c>
      <c r="X247" s="298">
        <f>X67*X192</f>
        <v>0</v>
      </c>
      <c r="Y247" s="218"/>
      <c r="Z247" s="167"/>
      <c r="AA247" s="167"/>
      <c r="AB247" s="190"/>
      <c r="AC247" s="213"/>
      <c r="AD247" s="178"/>
      <c r="AE247" s="178"/>
      <c r="AF247" s="178"/>
      <c r="AG247" s="139"/>
      <c r="AH247" s="139"/>
      <c r="AI247" s="139"/>
      <c r="AJ247" s="139"/>
    </row>
    <row r="248" spans="1:36" ht="15">
      <c r="A248" s="139"/>
      <c r="B248" s="228" t="str">
        <f>B68</f>
        <v>MUImp. #2 USE#1</v>
      </c>
      <c r="C248" s="301" t="s">
        <v>41</v>
      </c>
      <c r="D248" s="316"/>
      <c r="E248" s="298">
        <f>H71*S193</f>
        <v>0</v>
      </c>
      <c r="F248" s="298">
        <f>J71*S193</f>
        <v>0</v>
      </c>
      <c r="G248" s="298">
        <f>L71*S193</f>
        <v>0</v>
      </c>
      <c r="H248" s="298">
        <f>N71*S193</f>
        <v>0</v>
      </c>
      <c r="I248" s="298">
        <f>P71*S193</f>
        <v>0</v>
      </c>
      <c r="J248" s="298">
        <f>R71*S193</f>
        <v>0</v>
      </c>
      <c r="K248" s="298">
        <f>T71*S193</f>
        <v>0</v>
      </c>
      <c r="L248" s="298">
        <f>V71*S193</f>
        <v>0</v>
      </c>
      <c r="M248" s="298">
        <f>X71*S193</f>
        <v>0</v>
      </c>
      <c r="N248" s="298"/>
      <c r="O248" s="182"/>
      <c r="P248" s="298">
        <f>H71*X193</f>
        <v>0</v>
      </c>
      <c r="Q248" s="298">
        <f>J71*X193</f>
        <v>0</v>
      </c>
      <c r="R248" s="298">
        <f>L71*X193</f>
        <v>0</v>
      </c>
      <c r="S248" s="298">
        <f>N71*X193</f>
        <v>0</v>
      </c>
      <c r="T248" s="298">
        <f>P71*X193</f>
        <v>0</v>
      </c>
      <c r="U248" s="298">
        <f>R71*X193</f>
        <v>0</v>
      </c>
      <c r="V248" s="298">
        <f>T71*X193</f>
        <v>0</v>
      </c>
      <c r="W248" s="298">
        <f>V71*X193</f>
        <v>0</v>
      </c>
      <c r="X248" s="298">
        <f>X71*X193</f>
        <v>0</v>
      </c>
      <c r="Y248" s="218"/>
      <c r="Z248" s="167"/>
      <c r="AA248" s="167"/>
      <c r="AB248" s="190"/>
      <c r="AC248" s="213"/>
      <c r="AD248" s="178"/>
      <c r="AE248" s="178"/>
      <c r="AF248" s="178"/>
      <c r="AG248" s="139"/>
      <c r="AH248" s="139"/>
      <c r="AI248" s="139"/>
      <c r="AJ248" s="139"/>
    </row>
    <row r="249" spans="1:36" ht="15">
      <c r="A249" s="174"/>
      <c r="B249" s="396" t="str">
        <f aca="true" t="shared" si="79" ref="B249:B254">IF(B73=0,"-----machine not used-----",B73)</f>
        <v>Combine #1</v>
      </c>
      <c r="C249" s="397"/>
      <c r="D249" s="316"/>
      <c r="E249" s="298">
        <f aca="true" t="shared" si="80" ref="E249:E254">H73*S195</f>
        <v>3417.1367999999998</v>
      </c>
      <c r="F249" s="298">
        <f aca="true" t="shared" si="81" ref="F249:F254">J73*S195</f>
        <v>6834.2735999999995</v>
      </c>
      <c r="G249" s="298">
        <f aca="true" t="shared" si="82" ref="G249:G254">L73*S195</f>
        <v>1464.4871999999998</v>
      </c>
      <c r="H249" s="298">
        <f aca="true" t="shared" si="83" ref="H249:H254">N73*S195</f>
        <v>2440.812</v>
      </c>
      <c r="I249" s="298">
        <f aca="true" t="shared" si="84" ref="I249:I254">P73*S195</f>
        <v>0</v>
      </c>
      <c r="J249" s="298">
        <f aca="true" t="shared" si="85" ref="J249:J254">R73*S195</f>
        <v>0</v>
      </c>
      <c r="K249" s="298">
        <f aca="true" t="shared" si="86" ref="K249:K254">T73*S195</f>
        <v>0</v>
      </c>
      <c r="L249" s="298">
        <f aca="true" t="shared" si="87" ref="L249:L254">V73*S195</f>
        <v>0</v>
      </c>
      <c r="M249" s="298">
        <f aca="true" t="shared" si="88" ref="M249:M254">X73*S195</f>
        <v>0</v>
      </c>
      <c r="N249" s="298"/>
      <c r="O249" s="182"/>
      <c r="P249" s="298">
        <f aca="true" t="shared" si="89" ref="P249:P254">H73*X195</f>
        <v>5338.025</v>
      </c>
      <c r="Q249" s="298">
        <f aca="true" t="shared" si="90" ref="Q249:Q254">J73*X195</f>
        <v>10676.05</v>
      </c>
      <c r="R249" s="298">
        <f aca="true" t="shared" si="91" ref="R249:R254">L73*X195</f>
        <v>2287.725</v>
      </c>
      <c r="S249" s="298">
        <f aca="true" t="shared" si="92" ref="S249:S254">N73*X195</f>
        <v>3812.875</v>
      </c>
      <c r="T249" s="298">
        <f aca="true" t="shared" si="93" ref="T249:T254">P73*X195</f>
        <v>0</v>
      </c>
      <c r="U249" s="298">
        <f aca="true" t="shared" si="94" ref="U249:U254">R73*X195</f>
        <v>0</v>
      </c>
      <c r="V249" s="298">
        <f aca="true" t="shared" si="95" ref="V249:V254">T73*X195</f>
        <v>0</v>
      </c>
      <c r="W249" s="298">
        <f aca="true" t="shared" si="96" ref="W249:W254">V73*X195</f>
        <v>0</v>
      </c>
      <c r="X249" s="298">
        <f aca="true" t="shared" si="97" ref="X249:X254">X73*X195</f>
        <v>0</v>
      </c>
      <c r="Y249" s="218"/>
      <c r="Z249" s="167"/>
      <c r="AA249" s="167"/>
      <c r="AB249" s="190"/>
      <c r="AC249" s="213"/>
      <c r="AD249" s="178"/>
      <c r="AE249" s="178"/>
      <c r="AF249" s="178"/>
      <c r="AG249" s="139"/>
      <c r="AH249" s="139"/>
      <c r="AI249" s="139"/>
      <c r="AJ249" s="139"/>
    </row>
    <row r="250" spans="1:36" ht="15">
      <c r="A250" s="139"/>
      <c r="B250" s="400" t="str">
        <f t="shared" si="79"/>
        <v>-----machine not used-----</v>
      </c>
      <c r="C250" s="401"/>
      <c r="D250" s="317"/>
      <c r="E250" s="545">
        <f t="shared" si="80"/>
        <v>0</v>
      </c>
      <c r="F250" s="545">
        <f t="shared" si="81"/>
        <v>0</v>
      </c>
      <c r="G250" s="545">
        <f t="shared" si="82"/>
        <v>0</v>
      </c>
      <c r="H250" s="545">
        <f t="shared" si="83"/>
        <v>0</v>
      </c>
      <c r="I250" s="545">
        <f t="shared" si="84"/>
        <v>0</v>
      </c>
      <c r="J250" s="545">
        <f t="shared" si="85"/>
        <v>0</v>
      </c>
      <c r="K250" s="545">
        <f t="shared" si="86"/>
        <v>0</v>
      </c>
      <c r="L250" s="545">
        <f t="shared" si="87"/>
        <v>0</v>
      </c>
      <c r="M250" s="545">
        <f t="shared" si="88"/>
        <v>0</v>
      </c>
      <c r="N250" s="298"/>
      <c r="O250" s="182"/>
      <c r="P250" s="545">
        <f t="shared" si="89"/>
        <v>0</v>
      </c>
      <c r="Q250" s="545">
        <f t="shared" si="90"/>
        <v>0</v>
      </c>
      <c r="R250" s="545">
        <f t="shared" si="91"/>
        <v>0</v>
      </c>
      <c r="S250" s="545">
        <f t="shared" si="92"/>
        <v>0</v>
      </c>
      <c r="T250" s="545">
        <f t="shared" si="93"/>
        <v>0</v>
      </c>
      <c r="U250" s="545">
        <f t="shared" si="94"/>
        <v>0</v>
      </c>
      <c r="V250" s="545">
        <f t="shared" si="95"/>
        <v>0</v>
      </c>
      <c r="W250" s="545">
        <f t="shared" si="96"/>
        <v>0</v>
      </c>
      <c r="X250" s="545">
        <f t="shared" si="97"/>
        <v>0</v>
      </c>
      <c r="Y250" s="218"/>
      <c r="Z250" s="167"/>
      <c r="AA250" s="167"/>
      <c r="AB250" s="190"/>
      <c r="AC250" s="213"/>
      <c r="AD250" s="178"/>
      <c r="AE250" s="178"/>
      <c r="AF250" s="178"/>
      <c r="AG250" s="139"/>
      <c r="AH250" s="139"/>
      <c r="AI250" s="139"/>
      <c r="AJ250" s="139"/>
    </row>
    <row r="251" spans="1:36" ht="15">
      <c r="A251" s="139"/>
      <c r="B251" s="396" t="str">
        <f t="shared" si="79"/>
        <v>-----machine not used-----</v>
      </c>
      <c r="C251" s="397"/>
      <c r="D251" s="316"/>
      <c r="E251" s="298">
        <f t="shared" si="80"/>
        <v>0</v>
      </c>
      <c r="F251" s="298">
        <f t="shared" si="81"/>
        <v>0</v>
      </c>
      <c r="G251" s="298">
        <f t="shared" si="82"/>
        <v>0</v>
      </c>
      <c r="H251" s="298">
        <f t="shared" si="83"/>
        <v>0</v>
      </c>
      <c r="I251" s="298">
        <f t="shared" si="84"/>
        <v>0</v>
      </c>
      <c r="J251" s="298">
        <f t="shared" si="85"/>
        <v>0</v>
      </c>
      <c r="K251" s="298">
        <f t="shared" si="86"/>
        <v>0</v>
      </c>
      <c r="L251" s="298">
        <f t="shared" si="87"/>
        <v>0</v>
      </c>
      <c r="M251" s="298">
        <f t="shared" si="88"/>
        <v>0</v>
      </c>
      <c r="N251" s="298"/>
      <c r="O251" s="182"/>
      <c r="P251" s="298">
        <f t="shared" si="89"/>
        <v>0</v>
      </c>
      <c r="Q251" s="298">
        <f t="shared" si="90"/>
        <v>0</v>
      </c>
      <c r="R251" s="298">
        <f t="shared" si="91"/>
        <v>0</v>
      </c>
      <c r="S251" s="298">
        <f t="shared" si="92"/>
        <v>0</v>
      </c>
      <c r="T251" s="298">
        <f t="shared" si="93"/>
        <v>0</v>
      </c>
      <c r="U251" s="298">
        <f t="shared" si="94"/>
        <v>0</v>
      </c>
      <c r="V251" s="298">
        <f t="shared" si="95"/>
        <v>0</v>
      </c>
      <c r="W251" s="298">
        <f t="shared" si="96"/>
        <v>0</v>
      </c>
      <c r="X251" s="298">
        <f t="shared" si="97"/>
        <v>0</v>
      </c>
      <c r="Y251" s="218"/>
      <c r="Z251" s="167"/>
      <c r="AA251" s="167"/>
      <c r="AB251" s="190"/>
      <c r="AC251" s="213"/>
      <c r="AD251" s="178"/>
      <c r="AE251" s="178"/>
      <c r="AF251" s="178"/>
      <c r="AG251" s="139"/>
      <c r="AH251" s="139"/>
      <c r="AI251" s="139"/>
      <c r="AJ251" s="139"/>
    </row>
    <row r="252" spans="1:36" ht="15">
      <c r="A252" s="139"/>
      <c r="B252" s="396" t="str">
        <f t="shared" si="79"/>
        <v>-----machine not used-----</v>
      </c>
      <c r="C252" s="397"/>
      <c r="D252" s="316"/>
      <c r="E252" s="298">
        <f t="shared" si="80"/>
        <v>0</v>
      </c>
      <c r="F252" s="298">
        <f t="shared" si="81"/>
        <v>0</v>
      </c>
      <c r="G252" s="298">
        <f t="shared" si="82"/>
        <v>0</v>
      </c>
      <c r="H252" s="298">
        <f t="shared" si="83"/>
        <v>0</v>
      </c>
      <c r="I252" s="298">
        <f t="shared" si="84"/>
        <v>0</v>
      </c>
      <c r="J252" s="298">
        <f t="shared" si="85"/>
        <v>0</v>
      </c>
      <c r="K252" s="298">
        <f t="shared" si="86"/>
        <v>0</v>
      </c>
      <c r="L252" s="298">
        <f t="shared" si="87"/>
        <v>0</v>
      </c>
      <c r="M252" s="298">
        <f t="shared" si="88"/>
        <v>0</v>
      </c>
      <c r="N252" s="298"/>
      <c r="O252" s="182"/>
      <c r="P252" s="298">
        <f t="shared" si="89"/>
        <v>0</v>
      </c>
      <c r="Q252" s="298">
        <f t="shared" si="90"/>
        <v>0</v>
      </c>
      <c r="R252" s="298">
        <f t="shared" si="91"/>
        <v>0</v>
      </c>
      <c r="S252" s="298">
        <f t="shared" si="92"/>
        <v>0</v>
      </c>
      <c r="T252" s="298">
        <f t="shared" si="93"/>
        <v>0</v>
      </c>
      <c r="U252" s="298">
        <f t="shared" si="94"/>
        <v>0</v>
      </c>
      <c r="V252" s="298">
        <f t="shared" si="95"/>
        <v>0</v>
      </c>
      <c r="W252" s="298">
        <f t="shared" si="96"/>
        <v>0</v>
      </c>
      <c r="X252" s="298">
        <f t="shared" si="97"/>
        <v>0</v>
      </c>
      <c r="Y252" s="139"/>
      <c r="Z252" s="167"/>
      <c r="AA252" s="167"/>
      <c r="AB252" s="190"/>
      <c r="AC252" s="213"/>
      <c r="AD252" s="178"/>
      <c r="AE252" s="178"/>
      <c r="AF252" s="178"/>
      <c r="AG252" s="139"/>
      <c r="AH252" s="139"/>
      <c r="AI252" s="139"/>
      <c r="AJ252" s="139"/>
    </row>
    <row r="253" spans="1:36" ht="15">
      <c r="A253" s="139"/>
      <c r="B253" s="396" t="str">
        <f t="shared" si="79"/>
        <v>-----machine not used-----</v>
      </c>
      <c r="C253" s="397"/>
      <c r="D253" s="316"/>
      <c r="E253" s="298">
        <f t="shared" si="80"/>
        <v>0</v>
      </c>
      <c r="F253" s="298">
        <f t="shared" si="81"/>
        <v>0</v>
      </c>
      <c r="G253" s="298">
        <f t="shared" si="82"/>
        <v>0</v>
      </c>
      <c r="H253" s="298">
        <f t="shared" si="83"/>
        <v>0</v>
      </c>
      <c r="I253" s="298">
        <f t="shared" si="84"/>
        <v>0</v>
      </c>
      <c r="J253" s="298">
        <f t="shared" si="85"/>
        <v>0</v>
      </c>
      <c r="K253" s="298">
        <f t="shared" si="86"/>
        <v>0</v>
      </c>
      <c r="L253" s="298">
        <f t="shared" si="87"/>
        <v>0</v>
      </c>
      <c r="M253" s="298">
        <f t="shared" si="88"/>
        <v>0</v>
      </c>
      <c r="N253" s="546" t="s">
        <v>226</v>
      </c>
      <c r="O253" s="182"/>
      <c r="P253" s="298">
        <f t="shared" si="89"/>
        <v>0</v>
      </c>
      <c r="Q253" s="298">
        <f t="shared" si="90"/>
        <v>0</v>
      </c>
      <c r="R253" s="298">
        <f t="shared" si="91"/>
        <v>0</v>
      </c>
      <c r="S253" s="298">
        <f t="shared" si="92"/>
        <v>0</v>
      </c>
      <c r="T253" s="298">
        <f t="shared" si="93"/>
        <v>0</v>
      </c>
      <c r="U253" s="298">
        <f t="shared" si="94"/>
        <v>0</v>
      </c>
      <c r="V253" s="298">
        <f t="shared" si="95"/>
        <v>0</v>
      </c>
      <c r="W253" s="298">
        <f t="shared" si="96"/>
        <v>0</v>
      </c>
      <c r="X253" s="298">
        <f t="shared" si="97"/>
        <v>0</v>
      </c>
      <c r="Y253" s="182" t="s">
        <v>226</v>
      </c>
      <c r="Z253" s="167"/>
      <c r="AA253" s="167"/>
      <c r="AB253" s="190"/>
      <c r="AC253" s="213"/>
      <c r="AD253" s="178"/>
      <c r="AE253" s="178"/>
      <c r="AF253" s="178"/>
      <c r="AG253" s="139"/>
      <c r="AH253" s="139"/>
      <c r="AI253" s="139"/>
      <c r="AJ253" s="139"/>
    </row>
    <row r="254" spans="1:36" ht="15">
      <c r="A254" s="139"/>
      <c r="B254" s="400" t="str">
        <f t="shared" si="79"/>
        <v>-----machine not used-----</v>
      </c>
      <c r="C254" s="401"/>
      <c r="D254" s="317"/>
      <c r="E254" s="545">
        <f t="shared" si="80"/>
        <v>0</v>
      </c>
      <c r="F254" s="545">
        <f t="shared" si="81"/>
        <v>0</v>
      </c>
      <c r="G254" s="545">
        <f t="shared" si="82"/>
        <v>0</v>
      </c>
      <c r="H254" s="545">
        <f t="shared" si="83"/>
        <v>0</v>
      </c>
      <c r="I254" s="545">
        <f t="shared" si="84"/>
        <v>0</v>
      </c>
      <c r="J254" s="545">
        <f t="shared" si="85"/>
        <v>0</v>
      </c>
      <c r="K254" s="545">
        <f t="shared" si="86"/>
        <v>0</v>
      </c>
      <c r="L254" s="545">
        <f t="shared" si="87"/>
        <v>0</v>
      </c>
      <c r="M254" s="545">
        <f t="shared" si="88"/>
        <v>0</v>
      </c>
      <c r="N254" s="546" t="s">
        <v>103</v>
      </c>
      <c r="O254" s="182"/>
      <c r="P254" s="545">
        <f t="shared" si="89"/>
        <v>0</v>
      </c>
      <c r="Q254" s="545">
        <f t="shared" si="90"/>
        <v>0</v>
      </c>
      <c r="R254" s="545">
        <f t="shared" si="91"/>
        <v>0</v>
      </c>
      <c r="S254" s="545">
        <f t="shared" si="92"/>
        <v>0</v>
      </c>
      <c r="T254" s="545">
        <f t="shared" si="93"/>
        <v>0</v>
      </c>
      <c r="U254" s="545">
        <f t="shared" si="94"/>
        <v>0</v>
      </c>
      <c r="V254" s="545">
        <f t="shared" si="95"/>
        <v>0</v>
      </c>
      <c r="W254" s="545">
        <f t="shared" si="96"/>
        <v>0</v>
      </c>
      <c r="X254" s="545">
        <f t="shared" si="97"/>
        <v>0</v>
      </c>
      <c r="Y254" s="182" t="s">
        <v>103</v>
      </c>
      <c r="Z254" s="139"/>
      <c r="AA254" s="167"/>
      <c r="AB254" s="190"/>
      <c r="AC254" s="213"/>
      <c r="AD254" s="178"/>
      <c r="AE254" s="178"/>
      <c r="AF254" s="178"/>
      <c r="AG254" s="139"/>
      <c r="AH254" s="139"/>
      <c r="AI254" s="139"/>
      <c r="AJ254" s="139"/>
    </row>
    <row r="255" spans="1:36" ht="15">
      <c r="A255" s="139"/>
      <c r="B255" s="228" t="str">
        <f>B80</f>
        <v>MUSelf Prop. #1 USE#1</v>
      </c>
      <c r="C255" s="301" t="s">
        <v>42</v>
      </c>
      <c r="D255" s="316"/>
      <c r="E255" s="298">
        <f>H83*S201</f>
        <v>0</v>
      </c>
      <c r="F255" s="298">
        <f>J83*S201</f>
        <v>0</v>
      </c>
      <c r="G255" s="298">
        <f>L83*S201</f>
        <v>0</v>
      </c>
      <c r="H255" s="298">
        <f>N83*S201</f>
        <v>0</v>
      </c>
      <c r="I255" s="298">
        <f>P83*S201</f>
        <v>0</v>
      </c>
      <c r="J255" s="298">
        <f>R83*S201</f>
        <v>0</v>
      </c>
      <c r="K255" s="298">
        <f>T83*S201</f>
        <v>0</v>
      </c>
      <c r="L255" s="298">
        <f>V83*S201</f>
        <v>0</v>
      </c>
      <c r="M255" s="298">
        <f>X83*S201</f>
        <v>0</v>
      </c>
      <c r="N255" s="546" t="s">
        <v>388</v>
      </c>
      <c r="O255" s="182"/>
      <c r="P255" s="298">
        <f>H83*X201</f>
        <v>0</v>
      </c>
      <c r="Q255" s="298">
        <f>J83*X201</f>
        <v>0</v>
      </c>
      <c r="R255" s="298">
        <f>L83*X201</f>
        <v>0</v>
      </c>
      <c r="S255" s="298">
        <f>N83*X201</f>
        <v>0</v>
      </c>
      <c r="T255" s="298">
        <f>P83*X201</f>
        <v>0</v>
      </c>
      <c r="U255" s="298">
        <f>R83*X201</f>
        <v>0</v>
      </c>
      <c r="V255" s="298">
        <f>T83*X201</f>
        <v>0</v>
      </c>
      <c r="W255" s="298">
        <f>V83*X201</f>
        <v>0</v>
      </c>
      <c r="X255" s="298">
        <f>X83*X201</f>
        <v>0</v>
      </c>
      <c r="Y255" s="182" t="s">
        <v>388</v>
      </c>
      <c r="Z255" s="185" t="s">
        <v>47</v>
      </c>
      <c r="AA255" s="167"/>
      <c r="AB255" s="190"/>
      <c r="AC255" s="213"/>
      <c r="AD255" s="178"/>
      <c r="AE255" s="178"/>
      <c r="AF255" s="178"/>
      <c r="AG255" s="139"/>
      <c r="AH255" s="139"/>
      <c r="AI255" s="139"/>
      <c r="AJ255" s="139"/>
    </row>
    <row r="256" spans="1:36" ht="15">
      <c r="A256" s="139"/>
      <c r="B256" s="228" t="str">
        <f>B84</f>
        <v>MUSelf Prop. #2 USE#1</v>
      </c>
      <c r="C256" s="301" t="s">
        <v>43</v>
      </c>
      <c r="D256" s="316"/>
      <c r="E256" s="298">
        <f>H87*S202</f>
        <v>0</v>
      </c>
      <c r="F256" s="298">
        <f>J87*S202</f>
        <v>0</v>
      </c>
      <c r="G256" s="298">
        <f>L87*S202</f>
        <v>0</v>
      </c>
      <c r="H256" s="298">
        <f>N87*S202</f>
        <v>0</v>
      </c>
      <c r="I256" s="298">
        <f>P87*S202</f>
        <v>0</v>
      </c>
      <c r="J256" s="298">
        <f>R87*S202</f>
        <v>0</v>
      </c>
      <c r="K256" s="298">
        <f>T87*S202</f>
        <v>0</v>
      </c>
      <c r="L256" s="298">
        <f>V87*S202</f>
        <v>0</v>
      </c>
      <c r="M256" s="298">
        <f>X87*S202</f>
        <v>0</v>
      </c>
      <c r="N256" s="547" t="s">
        <v>228</v>
      </c>
      <c r="O256" s="182"/>
      <c r="P256" s="298">
        <f>H87*X202</f>
        <v>0</v>
      </c>
      <c r="Q256" s="298">
        <f>J87*X202</f>
        <v>0</v>
      </c>
      <c r="R256" s="298">
        <f>L87*X202</f>
        <v>0</v>
      </c>
      <c r="S256" s="298">
        <f>N87*X202</f>
        <v>0</v>
      </c>
      <c r="T256" s="298">
        <f>P87*X202</f>
        <v>0</v>
      </c>
      <c r="U256" s="298">
        <f>R87*X202</f>
        <v>0</v>
      </c>
      <c r="V256" s="298">
        <f>T87*X202</f>
        <v>0</v>
      </c>
      <c r="W256" s="298">
        <f>V87*X202</f>
        <v>0</v>
      </c>
      <c r="X256" s="298">
        <f>X87*X202</f>
        <v>0</v>
      </c>
      <c r="Y256" s="251" t="s">
        <v>228</v>
      </c>
      <c r="Z256" s="318" t="s">
        <v>48</v>
      </c>
      <c r="AA256" s="218"/>
      <c r="AB256" s="190"/>
      <c r="AC256" s="213"/>
      <c r="AD256" s="178"/>
      <c r="AE256" s="178"/>
      <c r="AF256" s="178"/>
      <c r="AG256" s="139"/>
      <c r="AH256" s="139"/>
      <c r="AI256" s="139"/>
      <c r="AJ256" s="139"/>
    </row>
    <row r="257" spans="1:36" ht="15">
      <c r="A257" s="139"/>
      <c r="B257" s="396" t="str">
        <f aca="true" t="shared" si="98" ref="B257:B262">B106</f>
        <v>3/4 ton Chevy Pickup</v>
      </c>
      <c r="C257" s="397"/>
      <c r="D257" s="316"/>
      <c r="E257" s="298">
        <f>I91*SUM(P204:R204)/IF(L204=0,1,L204)</f>
        <v>947.9440384615385</v>
      </c>
      <c r="F257" s="298">
        <f>K91*SUM(P204:R204)/IF(L204=0,1,L204)</f>
        <v>1895.888076923077</v>
      </c>
      <c r="G257" s="298">
        <f>M91*SUM(P204:R204)/IF(L204=0,1,L204)</f>
        <v>406.2617307692308</v>
      </c>
      <c r="H257" s="298">
        <f>O91*SUM(P204:R204)/IF(L204=0,1,L204)</f>
        <v>677.1028846153846</v>
      </c>
      <c r="I257" s="298">
        <f>Q91*SUM(P204:R204)/IF(L204=0,1,L204)</f>
        <v>1421.916057692308</v>
      </c>
      <c r="J257" s="298">
        <f>S91*SUM(P204:R204)/IF(L204=0,1,L204)</f>
        <v>0</v>
      </c>
      <c r="K257" s="298">
        <f>U91*SUM(P204:R204)/IF(L204=0,1,L204)</f>
        <v>0</v>
      </c>
      <c r="L257" s="298">
        <f>W91*SUM(P204:R204)/IF(L204=0,1,L204)</f>
        <v>0</v>
      </c>
      <c r="M257" s="298">
        <f>Y91*SUM(P204:R204)/IF(L204=0,1,L204)</f>
        <v>0</v>
      </c>
      <c r="N257" s="298">
        <f aca="true" t="shared" si="99" ref="N257:N262">IF((AA204-SUM(E257:M257))&lt;2,0,AA204-SUM(E257:M257))</f>
        <v>0</v>
      </c>
      <c r="O257" s="182"/>
      <c r="P257" s="298">
        <f>I91*SUM(T204:W204)/IF(L204=0,1,L204)</f>
        <v>544.3488315481986</v>
      </c>
      <c r="Q257" s="298">
        <f>K91*SUM(T204:W204)/IF(L204=0,1,L204)</f>
        <v>1088.6976630963973</v>
      </c>
      <c r="R257" s="298">
        <f>M91*SUM(T204:W204)/IF(L204=0,1,L204)</f>
        <v>233.2923563777994</v>
      </c>
      <c r="S257" s="298">
        <f>O91*SUM(T204:W204)/IF(L204=0,1,L204)</f>
        <v>388.82059396299894</v>
      </c>
      <c r="T257" s="298">
        <f>Q91*SUM(T204:W204)/IF(L204=0,1,L204)</f>
        <v>816.523247322298</v>
      </c>
      <c r="U257" s="298">
        <f>S91*SUM(T204:W204)/IF(L204=0,1,L204)</f>
        <v>0</v>
      </c>
      <c r="V257" s="298">
        <f>U91*SUM(T204:W204)/IF(L204=0,1,L204)</f>
        <v>0</v>
      </c>
      <c r="W257" s="298">
        <f>W91*SUM(T204:W204)/IF(L204=0,1,L204)</f>
        <v>0</v>
      </c>
      <c r="X257" s="298">
        <f>Y91*SUM(T204:W204)/IF(L204=0,1,L204)</f>
        <v>0</v>
      </c>
      <c r="Y257" s="298">
        <f aca="true" t="shared" si="100" ref="Y257:Y262">IF((AB204-SUM(P257:X257))&lt;2,0,AB204-SUM(P257:X257))</f>
        <v>0</v>
      </c>
      <c r="Z257" s="298">
        <f aca="true" t="shared" si="101" ref="Z257:Z272">SUM(E257:Y257)</f>
        <v>8420.795480769231</v>
      </c>
      <c r="AA257" s="218"/>
      <c r="AB257" s="190"/>
      <c r="AC257" s="213"/>
      <c r="AD257" s="178"/>
      <c r="AE257" s="178"/>
      <c r="AF257" s="178"/>
      <c r="AG257" s="139"/>
      <c r="AH257" s="139"/>
      <c r="AI257" s="139"/>
      <c r="AJ257" s="139"/>
    </row>
    <row r="258" spans="1:36" ht="15">
      <c r="A258" s="139"/>
      <c r="B258" s="400" t="str">
        <f t="shared" si="98"/>
        <v>260 hp 4wd #11</v>
      </c>
      <c r="C258" s="401"/>
      <c r="D258" s="317"/>
      <c r="E258" s="545">
        <f>I93*SUM(P205:R205)/IF(L205=0,1,L205)</f>
        <v>813.9380740740739</v>
      </c>
      <c r="F258" s="545">
        <f>K93*SUM(P205:R205)/IF(L205=0,1,L205)</f>
        <v>1627.8761481481479</v>
      </c>
      <c r="G258" s="545">
        <f>M93*SUM(P205:R205)/IF(L205=0,1,L205)</f>
        <v>348.83060317460314</v>
      </c>
      <c r="H258" s="545">
        <f>O93*SUM(P205:R205)/IF(L205=0,1,L205)</f>
        <v>581.3843386243385</v>
      </c>
      <c r="I258" s="545">
        <f>Q93*SUM(P205:R205)/IF(L205=0,1,L205)</f>
        <v>5494.081999999999</v>
      </c>
      <c r="J258" s="545">
        <f>S93*SUM(P205:R205)/IF(L205=0,1,L205)</f>
        <v>0</v>
      </c>
      <c r="K258" s="545">
        <f>U93*SUM(P205:R205)/IF(L205=0,1,L205)</f>
        <v>0</v>
      </c>
      <c r="L258" s="545">
        <f>W93*SUM(P205:R205)/IF(L205=0,1,L205)</f>
        <v>0</v>
      </c>
      <c r="M258" s="545">
        <f>Y93*SUM(P205:R205)/IF(L205=0,1,L205)</f>
        <v>0</v>
      </c>
      <c r="N258" s="545">
        <f t="shared" si="99"/>
        <v>0</v>
      </c>
      <c r="O258" s="182"/>
      <c r="P258" s="545">
        <f>I93*SUM(T205:W205)/IF(L205=0,1,L205)</f>
        <v>619.1101396478446</v>
      </c>
      <c r="Q258" s="545">
        <f>K93*SUM(T205:W205)/IF(L205=0,1,L205)</f>
        <v>1238.2202792956891</v>
      </c>
      <c r="R258" s="545">
        <f>M93*SUM(T205:W205)/IF(L205=0,1,L205)</f>
        <v>265.3329169919333</v>
      </c>
      <c r="S258" s="545">
        <f>O93*SUM(T205:W205)/IF(L205=0,1,L205)</f>
        <v>442.22152831988893</v>
      </c>
      <c r="T258" s="545">
        <f>Q93*SUM(T205:W205)/IF(L205=0,1,L205)</f>
        <v>4178.993442622951</v>
      </c>
      <c r="U258" s="545">
        <f>S93*SUM(T205:W205)/IF(L205=0,1,L205)</f>
        <v>0</v>
      </c>
      <c r="V258" s="545">
        <f>U93*SUM(T205:W205)/IF(L205=0,1,L205)</f>
        <v>0</v>
      </c>
      <c r="W258" s="545">
        <f>W93*SUM(T205:W205)/IF(L205=0,1,L205)</f>
        <v>0</v>
      </c>
      <c r="X258" s="545">
        <f>Y93*SUM(T205:W205)/IF(L205=0,1,L205)</f>
        <v>0</v>
      </c>
      <c r="Y258" s="545">
        <f t="shared" si="100"/>
        <v>0</v>
      </c>
      <c r="Z258" s="545">
        <f t="shared" si="101"/>
        <v>15609.989470899469</v>
      </c>
      <c r="AA258" s="218"/>
      <c r="AB258" s="190"/>
      <c r="AC258" s="213"/>
      <c r="AD258" s="178"/>
      <c r="AE258" s="178"/>
      <c r="AF258" s="178"/>
      <c r="AG258" s="139"/>
      <c r="AH258" s="139"/>
      <c r="AI258" s="139"/>
      <c r="AJ258" s="139"/>
    </row>
    <row r="259" spans="1:36" ht="15">
      <c r="A259" s="139"/>
      <c r="B259" s="396" t="str">
        <f t="shared" si="98"/>
        <v>80 hp 2wd #5</v>
      </c>
      <c r="C259" s="397"/>
      <c r="D259" s="316"/>
      <c r="E259" s="298">
        <f>I95*SUM(P206:R206)/IF(L206=0,1,L206)</f>
        <v>242.67672000000002</v>
      </c>
      <c r="F259" s="298">
        <f>K95*SUM(P206:R206)/IF(L206=0,1,L206)</f>
        <v>0</v>
      </c>
      <c r="G259" s="298">
        <f>M95*SUM(P206:R206)/IF(L206=0,1,L206)</f>
        <v>104.00430857142857</v>
      </c>
      <c r="H259" s="298">
        <f>O95*SUM(P206:R206)/IF(L206=0,1,L206)</f>
        <v>0</v>
      </c>
      <c r="I259" s="298">
        <f>Q95*SUM(P206:R206)/IF(L206=0,1,L206)</f>
        <v>0</v>
      </c>
      <c r="J259" s="298">
        <f>S95*SUM(P206:R206)/IF(L206=0,1,L206)</f>
        <v>0</v>
      </c>
      <c r="K259" s="298">
        <f>U95*SUM(P206:R206)/IF(L206=0,1,L206)</f>
        <v>0</v>
      </c>
      <c r="L259" s="298">
        <f>W95*SUM(P206:R206)/IF(L206=0,1,L206)</f>
        <v>0</v>
      </c>
      <c r="M259" s="298">
        <f>Y95*SUM(P206:R206)/IF(L206=0,1,L206)</f>
        <v>0</v>
      </c>
      <c r="N259" s="298">
        <f t="shared" si="99"/>
        <v>0</v>
      </c>
      <c r="O259" s="182"/>
      <c r="P259" s="298">
        <f>I95*SUM(T206:W206)/IF(L206=0,1,L206)</f>
        <v>1343.1425000000002</v>
      </c>
      <c r="Q259" s="298">
        <f>K95*SUM(T206:W206)/IF(L206=0,1,L206)</f>
        <v>0</v>
      </c>
      <c r="R259" s="298">
        <f>M95*SUM(T206:W206)/IF(L206=0,1,L206)</f>
        <v>575.6325</v>
      </c>
      <c r="S259" s="298">
        <f>O95*SUM(T206:W206)/IF(L206=0,1,L206)</f>
        <v>0</v>
      </c>
      <c r="T259" s="298">
        <f>Q95*SUM(T206:W206)/IF(L206=0,1,L206)</f>
        <v>0</v>
      </c>
      <c r="U259" s="298">
        <f>S95*SUM(T206:W206)/IF(L206=0,1,L206)</f>
        <v>0</v>
      </c>
      <c r="V259" s="298">
        <f>U95*SUM(T206:W206)/IF(L206=0,1,L206)</f>
        <v>0</v>
      </c>
      <c r="W259" s="298">
        <f>W95*SUM(T206:W206)/IF(L206=0,1,L206)</f>
        <v>0</v>
      </c>
      <c r="X259" s="298">
        <f>Y95*SUM(T206:W206)/IF(L206=0,1,L206)</f>
        <v>0</v>
      </c>
      <c r="Y259" s="298">
        <f t="shared" si="100"/>
        <v>0</v>
      </c>
      <c r="Z259" s="298">
        <f t="shared" si="101"/>
        <v>2265.4560285714288</v>
      </c>
      <c r="AA259" s="218"/>
      <c r="AB259" s="190"/>
      <c r="AC259" s="213"/>
      <c r="AD259" s="178"/>
      <c r="AE259" s="178"/>
      <c r="AF259" s="178"/>
      <c r="AG259" s="139"/>
      <c r="AH259" s="139"/>
      <c r="AI259" s="139"/>
      <c r="AJ259" s="139"/>
    </row>
    <row r="260" spans="1:36" ht="15">
      <c r="A260" s="139"/>
      <c r="B260" s="396" t="str">
        <f t="shared" si="98"/>
        <v>#4 tractor not used</v>
      </c>
      <c r="C260" s="397"/>
      <c r="D260" s="316"/>
      <c r="E260" s="298">
        <f>I97*SUM(P207:R207)/IF(L207=0,1,L207)</f>
        <v>0</v>
      </c>
      <c r="F260" s="298">
        <f>K97*SUM(P207:R207)/IF(L207=0,1,L207)</f>
        <v>0</v>
      </c>
      <c r="G260" s="298">
        <f>M97*SUM(P207:R207)/IF(L207=0,1,L207)</f>
        <v>0</v>
      </c>
      <c r="H260" s="298">
        <f>O97*SUM(P207:R207)/IF(L207=0,1,L207)</f>
        <v>0</v>
      </c>
      <c r="I260" s="298">
        <f>Q97*SUM(P207:R207)/IF(L207=0,1,L207)</f>
        <v>0</v>
      </c>
      <c r="J260" s="298">
        <f>S97*SUM(P207:R207)/IF(L207=0,1,L207)</f>
        <v>0</v>
      </c>
      <c r="K260" s="298">
        <f>U97*SUM(P207:R207)/IF(L207=0,1,L207)</f>
        <v>0</v>
      </c>
      <c r="L260" s="298">
        <f>W97*SUM(P207:R207)/IF(L207=0,1,L207)</f>
        <v>0</v>
      </c>
      <c r="M260" s="298">
        <f>Y97*SUM(P207:R207)/IF(L207=0,1,L207)</f>
        <v>0</v>
      </c>
      <c r="N260" s="298">
        <f t="shared" si="99"/>
        <v>0</v>
      </c>
      <c r="O260" s="182"/>
      <c r="P260" s="298">
        <f>I97*SUM(T207:W207)/IF(L207=0,1,L207)</f>
        <v>0</v>
      </c>
      <c r="Q260" s="298">
        <f>K97*SUM(T207:W207)/IF(L207=0,1,L207)</f>
        <v>0</v>
      </c>
      <c r="R260" s="298">
        <f>M97*SUM(T207:W207)/IF(L207=0,1,L207)</f>
        <v>0</v>
      </c>
      <c r="S260" s="298">
        <f>O97*SUM(T207:W207)/IF(L207=0,1,L207)</f>
        <v>0</v>
      </c>
      <c r="T260" s="298">
        <f>Q97*SUM(T207:W207)/IF(L207=0,1,L207)</f>
        <v>0</v>
      </c>
      <c r="U260" s="298">
        <f>S97*SUM(T207:W207)/IF(L207=0,1,L207)</f>
        <v>0</v>
      </c>
      <c r="V260" s="298">
        <f>U97*SUM(T207:W207)/IF(L207=0,1,L207)</f>
        <v>0</v>
      </c>
      <c r="W260" s="298">
        <f>W97*SUM(T207:W207)/IF(L207=0,1,L207)</f>
        <v>0</v>
      </c>
      <c r="X260" s="298">
        <f>Y97*SUM(T207:W207)/IF(L207=0,1,L207)</f>
        <v>0</v>
      </c>
      <c r="Y260" s="298">
        <f t="shared" si="100"/>
        <v>0</v>
      </c>
      <c r="Z260" s="298">
        <f t="shared" si="101"/>
        <v>0</v>
      </c>
      <c r="AA260" s="218"/>
      <c r="AB260" s="190"/>
      <c r="AC260" s="213"/>
      <c r="AD260" s="178"/>
      <c r="AE260" s="178"/>
      <c r="AF260" s="178"/>
      <c r="AG260" s="139"/>
      <c r="AH260" s="139"/>
      <c r="AI260" s="139"/>
      <c r="AJ260" s="139"/>
    </row>
    <row r="261" spans="1:36" ht="15">
      <c r="A261" s="139"/>
      <c r="B261" s="396" t="str">
        <f t="shared" si="98"/>
        <v>#5 tractor not used</v>
      </c>
      <c r="C261" s="397"/>
      <c r="D261" s="316"/>
      <c r="E261" s="298">
        <f>I99*SUM(P208:R208)/IF(L208=0,1,L208)</f>
        <v>0</v>
      </c>
      <c r="F261" s="298">
        <f>K99*SUM(P208:R208)/IF(L208=0,1,L208)</f>
        <v>0</v>
      </c>
      <c r="G261" s="298">
        <f>M99*SUM(P208:R208)/IF(L208=0,1,L208)</f>
        <v>0</v>
      </c>
      <c r="H261" s="298">
        <f>O99*SUM(P208:R208)/IF(L208=0,1,L208)</f>
        <v>0</v>
      </c>
      <c r="I261" s="298">
        <f>Q99*SUM(P208:R208)/IF(L208=0,1,L208)</f>
        <v>0</v>
      </c>
      <c r="J261" s="298">
        <f>S99*SUM(P208:R208)/IF(L208=0,1,L208)</f>
        <v>0</v>
      </c>
      <c r="K261" s="298">
        <f>U99*SUM(P208:R208)/IF(L208=0,1,L208)</f>
        <v>0</v>
      </c>
      <c r="L261" s="298">
        <f>W99*SUM(P208:R208)/IF(L208=0,1,L208)</f>
        <v>0</v>
      </c>
      <c r="M261" s="298">
        <f>Y99*SUM(P208:R208)/IF(L208=0,1,L208)</f>
        <v>0</v>
      </c>
      <c r="N261" s="298">
        <f t="shared" si="99"/>
        <v>0</v>
      </c>
      <c r="O261" s="182"/>
      <c r="P261" s="298">
        <f>I99*SUM(T208:W208)/IF(L208=0,1,L208)</f>
        <v>0</v>
      </c>
      <c r="Q261" s="298">
        <f>K99*SUM(T208:W208)/IF(L208=0,1,L208)</f>
        <v>0</v>
      </c>
      <c r="R261" s="298">
        <f>M99*SUM(T208:W208)/IF(L208=0,1,L208)</f>
        <v>0</v>
      </c>
      <c r="S261" s="298">
        <f>O99*SUM(T208:W208)/IF(L208=0,1,L208)</f>
        <v>0</v>
      </c>
      <c r="T261" s="298">
        <f>Q99*SUM(T208:W208)/IF(L208=0,1,L208)</f>
        <v>0</v>
      </c>
      <c r="U261" s="298">
        <f>S99*SUM(T208:W208)/IF(L208=0,1,L208)</f>
        <v>0</v>
      </c>
      <c r="V261" s="298">
        <f>U99*SUM(T208:W208)/IF(L208=0,1,L208)</f>
        <v>0</v>
      </c>
      <c r="W261" s="298">
        <f>W99*SUM(T208:W208)/IF(L208=0,1,L208)</f>
        <v>0</v>
      </c>
      <c r="X261" s="298">
        <f>Y99*SUM(T208:W208)/IF(L208=0,1,L208)</f>
        <v>0</v>
      </c>
      <c r="Y261" s="298">
        <f t="shared" si="100"/>
        <v>0</v>
      </c>
      <c r="Z261" s="298">
        <f t="shared" si="101"/>
        <v>0</v>
      </c>
      <c r="AA261" s="218"/>
      <c r="AB261" s="190"/>
      <c r="AC261" s="213"/>
      <c r="AD261" s="178"/>
      <c r="AE261" s="178"/>
      <c r="AF261" s="178"/>
      <c r="AG261" s="139"/>
      <c r="AH261" s="139"/>
      <c r="AI261" s="139"/>
      <c r="AJ261" s="139"/>
    </row>
    <row r="262" spans="1:36" ht="15">
      <c r="A262" s="139"/>
      <c r="B262" s="396" t="str">
        <f t="shared" si="98"/>
        <v>#6 tractor not used</v>
      </c>
      <c r="C262" s="397"/>
      <c r="D262" s="316"/>
      <c r="E262" s="298">
        <f>I101*SUM(P209:R209)/IF(L209=0,1,L209)</f>
        <v>0</v>
      </c>
      <c r="F262" s="298">
        <f>K101*SUM(P209:R209)/IF(L209=0,1,L209)</f>
        <v>0</v>
      </c>
      <c r="G262" s="298">
        <f>M101*SUM(P209:R209)/IF(L209=0,1,L209)</f>
        <v>0</v>
      </c>
      <c r="H262" s="298">
        <f>O101*SUM(P209:R209)/IF(L209=0,1,L209)</f>
        <v>0</v>
      </c>
      <c r="I262" s="298">
        <f>Q101*SUM(P209:R209)/IF(L209=0,1,L209)</f>
        <v>0</v>
      </c>
      <c r="J262" s="298">
        <f>S101*SUM(P209:R209)/IF(L209=0,1,L209)</f>
        <v>0</v>
      </c>
      <c r="K262" s="298">
        <f>U101*SUM(P209:R209)/IF(L209=0,1,L209)</f>
        <v>0</v>
      </c>
      <c r="L262" s="298">
        <f>W101*SUM(P209:R209)/IF(L209=0,1,L209)</f>
        <v>0</v>
      </c>
      <c r="M262" s="298">
        <f>Y101*SUM(P209:R209)/IF(L209=0,1,L209)</f>
        <v>0</v>
      </c>
      <c r="N262" s="298">
        <f t="shared" si="99"/>
        <v>0</v>
      </c>
      <c r="O262" s="182"/>
      <c r="P262" s="298">
        <f>I101*SUM(T209:W209)/IF(L209=0,1,L209)</f>
        <v>0</v>
      </c>
      <c r="Q262" s="298">
        <f>K101*SUM(T209:W209)/IF(L209=0,1,L209)</f>
        <v>0</v>
      </c>
      <c r="R262" s="298">
        <f>M101*SUM(T209:W209)/IF(L209=0,1,L209)</f>
        <v>0</v>
      </c>
      <c r="S262" s="298">
        <f>O101*SUM(T209:W209)/IF(L209=0,1,L209)</f>
        <v>0</v>
      </c>
      <c r="T262" s="298">
        <f>Q101*SUM(T209:W209)/IF(L209=0,1,L209)</f>
        <v>0</v>
      </c>
      <c r="U262" s="298">
        <f>S101*SUM(T209:W209)/IF(L209=0,1,L209)</f>
        <v>0</v>
      </c>
      <c r="V262" s="298">
        <f>U101*SUM(T209:W209)/IF(L209=0,1,L209)</f>
        <v>0</v>
      </c>
      <c r="W262" s="298">
        <f>W101*SUM(T209:W209)/IF(L209=0,1,L209)</f>
        <v>0</v>
      </c>
      <c r="X262" s="298">
        <f>Y101*SUM(T209:W209)/IF(L209=0,1,L209)</f>
        <v>0</v>
      </c>
      <c r="Y262" s="298">
        <f t="shared" si="100"/>
        <v>0</v>
      </c>
      <c r="Z262" s="298">
        <f t="shared" si="101"/>
        <v>0</v>
      </c>
      <c r="AA262" s="218"/>
      <c r="AB262" s="190"/>
      <c r="AC262" s="213"/>
      <c r="AD262" s="178"/>
      <c r="AE262" s="178"/>
      <c r="AF262" s="178"/>
      <c r="AG262" s="139"/>
      <c r="AH262" s="139"/>
      <c r="AI262" s="139"/>
      <c r="AJ262" s="139"/>
    </row>
    <row r="263" spans="1:36" ht="15">
      <c r="A263" s="139"/>
      <c r="B263" s="396" t="str">
        <f>B113</f>
        <v>Utility Tractor # 1</v>
      </c>
      <c r="C263" s="397"/>
      <c r="D263" s="316"/>
      <c r="E263" s="548"/>
      <c r="F263" s="548"/>
      <c r="G263" s="548"/>
      <c r="H263" s="548"/>
      <c r="I263" s="548"/>
      <c r="J263" s="548"/>
      <c r="K263" s="548"/>
      <c r="L263" s="548"/>
      <c r="M263" s="548"/>
      <c r="N263" s="298">
        <f>K211*S211</f>
        <v>0</v>
      </c>
      <c r="O263" s="182"/>
      <c r="P263" s="548"/>
      <c r="Q263" s="548"/>
      <c r="R263" s="548"/>
      <c r="S263" s="548"/>
      <c r="T263" s="548"/>
      <c r="U263" s="548"/>
      <c r="V263" s="548"/>
      <c r="W263" s="548"/>
      <c r="X263" s="548"/>
      <c r="Y263" s="298">
        <f>K211*X211</f>
        <v>0</v>
      </c>
      <c r="Z263" s="298">
        <f t="shared" si="101"/>
        <v>0</v>
      </c>
      <c r="AA263" s="218"/>
      <c r="AB263" s="190"/>
      <c r="AC263" s="213"/>
      <c r="AD263" s="178"/>
      <c r="AE263" s="178"/>
      <c r="AF263" s="178"/>
      <c r="AG263" s="139"/>
      <c r="AH263" s="139"/>
      <c r="AI263" s="139"/>
      <c r="AJ263" s="139"/>
    </row>
    <row r="264" spans="1:36" ht="15">
      <c r="A264" s="139"/>
      <c r="B264" s="396" t="str">
        <f>B114</f>
        <v>Utility Tractor # 2</v>
      </c>
      <c r="C264" s="397"/>
      <c r="D264" s="316"/>
      <c r="E264" s="548"/>
      <c r="F264" s="548"/>
      <c r="G264" s="548"/>
      <c r="H264" s="548"/>
      <c r="I264" s="548"/>
      <c r="J264" s="548"/>
      <c r="K264" s="548"/>
      <c r="L264" s="548"/>
      <c r="M264" s="548"/>
      <c r="N264" s="298">
        <f>K212*S212</f>
        <v>0</v>
      </c>
      <c r="O264" s="182"/>
      <c r="P264" s="548"/>
      <c r="Q264" s="548"/>
      <c r="R264" s="548"/>
      <c r="S264" s="548"/>
      <c r="T264" s="548"/>
      <c r="U264" s="548"/>
      <c r="V264" s="548"/>
      <c r="W264" s="548"/>
      <c r="X264" s="548"/>
      <c r="Y264" s="298">
        <f>K212*X212</f>
        <v>0</v>
      </c>
      <c r="Z264" s="298">
        <f t="shared" si="101"/>
        <v>0</v>
      </c>
      <c r="AA264" s="218"/>
      <c r="AB264" s="190"/>
      <c r="AC264" s="213"/>
      <c r="AD264" s="178"/>
      <c r="AE264" s="178"/>
      <c r="AF264" s="178"/>
      <c r="AG264" s="139"/>
      <c r="AH264" s="139"/>
      <c r="AI264" s="139"/>
      <c r="AJ264" s="139"/>
    </row>
    <row r="265" spans="1:36" ht="15">
      <c r="A265" s="139"/>
      <c r="B265" s="396" t="str">
        <f>B115</f>
        <v>Utility Tractor # 3</v>
      </c>
      <c r="C265" s="397"/>
      <c r="D265" s="316"/>
      <c r="E265" s="548"/>
      <c r="F265" s="548"/>
      <c r="G265" s="548"/>
      <c r="H265" s="548"/>
      <c r="I265" s="548"/>
      <c r="J265" s="548"/>
      <c r="K265" s="548"/>
      <c r="L265" s="548"/>
      <c r="M265" s="548"/>
      <c r="N265" s="298">
        <f>K213*S213</f>
        <v>0</v>
      </c>
      <c r="O265" s="182"/>
      <c r="P265" s="548"/>
      <c r="Q265" s="548"/>
      <c r="R265" s="548"/>
      <c r="S265" s="548"/>
      <c r="T265" s="548"/>
      <c r="U265" s="548"/>
      <c r="V265" s="548"/>
      <c r="W265" s="548"/>
      <c r="X265" s="548"/>
      <c r="Y265" s="298">
        <f>K213*X213</f>
        <v>0</v>
      </c>
      <c r="Z265" s="298">
        <f t="shared" si="101"/>
        <v>0</v>
      </c>
      <c r="AA265" s="218"/>
      <c r="AB265" s="190"/>
      <c r="AC265" s="213"/>
      <c r="AD265" s="178"/>
      <c r="AE265" s="178"/>
      <c r="AF265" s="178"/>
      <c r="AG265" s="139"/>
      <c r="AH265" s="139"/>
      <c r="AI265" s="139"/>
      <c r="AJ265" s="139"/>
    </row>
    <row r="266" spans="1:36" ht="15">
      <c r="A266" s="174"/>
      <c r="B266" s="396" t="str">
        <f>B124</f>
        <v>350 bushel truck #1</v>
      </c>
      <c r="C266" s="397"/>
      <c r="D266" s="316"/>
      <c r="E266" s="298">
        <f>E121*E124/100*SUM(P215:R215)/IF(L215=0,1,L215)</f>
        <v>901.2384</v>
      </c>
      <c r="F266" s="298">
        <f>F121*F124/100*SUM(P215:R215)/IF(L215=0,1,L215)</f>
        <v>1577.1671999999999</v>
      </c>
      <c r="G266" s="298">
        <f>G121*G124/100*SUM(P215:R215)/IF(L215=0,1,L215)</f>
        <v>225.3096</v>
      </c>
      <c r="H266" s="298">
        <f>H121*H124/100*SUM(P215:R215)/IF(L215=0,1,L215)</f>
        <v>675.9287999999999</v>
      </c>
      <c r="I266" s="298">
        <f>I121*I124/100*SUM(P215:R215)/IF(L215=0,1,L215)</f>
        <v>0</v>
      </c>
      <c r="J266" s="298">
        <f>J121*J124/100*SUM(P215:R215)/IF(L215=0,1,L215)</f>
        <v>0</v>
      </c>
      <c r="K266" s="298">
        <f>K121*K124/100*SUM(P215:R215)/IF(L215=0,1,L215)</f>
        <v>0</v>
      </c>
      <c r="L266" s="298">
        <f>L121*L124/100*SUM(P215:R215)/IF(L215=0,1,L215)</f>
        <v>0</v>
      </c>
      <c r="M266" s="298">
        <f>M121*M124/100*SUM(P215:R215)/IF(L215=0,1,L215)</f>
        <v>0</v>
      </c>
      <c r="N266" s="298">
        <f>IF((AA215-SUM(E266:M266))&lt;2,0,AA215-SUM(E266:M266))</f>
        <v>0</v>
      </c>
      <c r="O266" s="319" t="s">
        <v>4</v>
      </c>
      <c r="P266" s="298">
        <f>E121*E124/100*SUM(T215:W215)/IF(L215=0,1,L215)</f>
        <v>649.8</v>
      </c>
      <c r="Q266" s="298">
        <f>F121*F124/100*SUM(T215:W215)/IF(L215=0,1,L215)</f>
        <v>1137.15</v>
      </c>
      <c r="R266" s="298">
        <f>G121*G124/100*SUM(T215:W215)/IF(L215=0,1,L215)</f>
        <v>162.45</v>
      </c>
      <c r="S266" s="298">
        <f>H121*H124/100*SUM(T215:W215)/IF(L215=0,1,L215)</f>
        <v>487.35</v>
      </c>
      <c r="T266" s="298">
        <f>I121*I124/100*SUM(T215:W215)/IF(L215=0,1,L215)</f>
        <v>0</v>
      </c>
      <c r="U266" s="298">
        <f>J121*J124/100*SUM(T215:W215)/IF(L215=0,1,L215)</f>
        <v>0</v>
      </c>
      <c r="V266" s="298">
        <f>K121*K124/100*SUM(T215:W215)/IF(L215=0,1,L215)</f>
        <v>0</v>
      </c>
      <c r="W266" s="298">
        <f>L121*L124/100*SUM(T215:W215)/IF(L215=0,1,L215)</f>
        <v>0</v>
      </c>
      <c r="X266" s="298">
        <f>M121*M124/100*SUM(T215:W215)/IF(L215=0,1,L215)</f>
        <v>0</v>
      </c>
      <c r="Y266" s="549">
        <f>IF((AB215-SUM(P266:X266))&lt;2,0,AB215-SUM(P266:X266))</f>
        <v>0</v>
      </c>
      <c r="Z266" s="549">
        <f t="shared" si="101"/>
        <v>5816.394000000001</v>
      </c>
      <c r="AA266" s="218"/>
      <c r="AB266" s="190"/>
      <c r="AC266" s="213"/>
      <c r="AD266" s="178"/>
      <c r="AE266" s="178"/>
      <c r="AF266" s="178"/>
      <c r="AG266" s="139"/>
      <c r="AH266" s="139"/>
      <c r="AI266" s="139"/>
      <c r="AJ266" s="139"/>
    </row>
    <row r="267" spans="1:36" ht="15">
      <c r="A267" s="139"/>
      <c r="B267" s="396" t="str">
        <f>B125</f>
        <v>350 bushel truck #2</v>
      </c>
      <c r="C267" s="397"/>
      <c r="D267" s="316"/>
      <c r="E267" s="298">
        <f>E121*E125/100*SUM(P216:R216)/IF(L216=0,1,L216)</f>
        <v>1071.7649999999999</v>
      </c>
      <c r="F267" s="298">
        <f>F121*F125/100*SUM(P216:R216)/IF(L216=0,1,L216)</f>
        <v>1875.5887500000001</v>
      </c>
      <c r="G267" s="298">
        <f>G121*G125/100*SUM(P216:R216)/IF(L216=0,1,L216)</f>
        <v>267.94124999999997</v>
      </c>
      <c r="H267" s="298">
        <f>H121*H125/100*SUM(P216:R216)/IF(L216=0,1,L216)</f>
        <v>803.82375</v>
      </c>
      <c r="I267" s="298">
        <f>I121*I125/100*SUM(P216:R216)/IF(L216=0,1,L216)</f>
        <v>0</v>
      </c>
      <c r="J267" s="298">
        <f>J121*J125/100*SUM(P216:R216)/IF(L216=0,1,L216)</f>
        <v>0</v>
      </c>
      <c r="K267" s="298">
        <f>K121*K125/100*SUM(P216:R216)/IF(L216=0,1,L216)</f>
        <v>0</v>
      </c>
      <c r="L267" s="298">
        <f>L121*L125/100*SUM(P216:R216)/IF(L216=0,1,L216)</f>
        <v>0</v>
      </c>
      <c r="M267" s="298">
        <f>M121*M125/100*SUM(P216:R216)/IF(L216=0,1,L216)</f>
        <v>0</v>
      </c>
      <c r="N267" s="298">
        <f>IF((AA216-SUM(E267:M267))&lt;2,0,AA216-SUM(E267:M267))</f>
        <v>0</v>
      </c>
      <c r="O267" s="319" t="s">
        <v>4</v>
      </c>
      <c r="P267" s="298">
        <f>E121*E125/100*SUM(T216:W216)/IF(L216=0,1,L216)</f>
        <v>649.8</v>
      </c>
      <c r="Q267" s="298">
        <f>F121*F125/100*SUM(T216:W216)/IF(L216=0,1,L216)</f>
        <v>1137.15</v>
      </c>
      <c r="R267" s="298">
        <f>G121*G125/100*SUM(T216:W216)/IF(L216=0,1,L216)</f>
        <v>162.45</v>
      </c>
      <c r="S267" s="298">
        <f>H121*H125/100*SUM(T216:W216)/IF(L216=0,1,L216)</f>
        <v>487.35</v>
      </c>
      <c r="T267" s="298">
        <f>I121*I125/100*SUM(T216:W216)/IF(L216=0,1,L216)</f>
        <v>0</v>
      </c>
      <c r="U267" s="298">
        <f>J121*J125/100*SUM(T216:W216)/IF(L216=0,1,L216)</f>
        <v>0</v>
      </c>
      <c r="V267" s="298">
        <f>K121*K125/100*SUM(T216:W216)/IF(L216=0,1,L216)</f>
        <v>0</v>
      </c>
      <c r="W267" s="298">
        <f>L121*L125/100*SUM(T216:W216)/IF(L216=0,1,L216)</f>
        <v>0</v>
      </c>
      <c r="X267" s="298">
        <f>M121*M125/100*SUM(T216:W216)/IF(L216=0,1,L216)</f>
        <v>0</v>
      </c>
      <c r="Y267" s="298">
        <f>IF((AB216-SUM(P267:X267))&lt;2,0,AB216-SUM(P267:X267))</f>
        <v>0</v>
      </c>
      <c r="Z267" s="298">
        <f t="shared" si="101"/>
        <v>6455.868750000001</v>
      </c>
      <c r="AA267" s="218"/>
      <c r="AB267" s="190"/>
      <c r="AC267" s="213"/>
      <c r="AD267" s="178"/>
      <c r="AE267" s="178"/>
      <c r="AF267" s="178"/>
      <c r="AG267" s="139"/>
      <c r="AH267" s="139"/>
      <c r="AI267" s="139"/>
      <c r="AJ267" s="139"/>
    </row>
    <row r="268" spans="1:36" ht="15">
      <c r="A268" s="139"/>
      <c r="B268" s="396" t="str">
        <f>B126</f>
        <v># 3 Truck Not Used</v>
      </c>
      <c r="C268" s="397"/>
      <c r="D268" s="316"/>
      <c r="E268" s="298">
        <f>E121*E126/100*SUM(P217:R217)/IF(L217=0,1,L217)</f>
        <v>0</v>
      </c>
      <c r="F268" s="298">
        <f>F121*F126/100*SUM(P217:R217)/IF(L217=0,1,L217)</f>
        <v>0</v>
      </c>
      <c r="G268" s="298">
        <f>G121*G126/100*SUM(P217:R217)/IF(L217=0,1,L217)</f>
        <v>0</v>
      </c>
      <c r="H268" s="298">
        <f>H121*H126/100*SUM(P217:R217)/IF(L217=0,1,L217)</f>
        <v>0</v>
      </c>
      <c r="I268" s="298">
        <f>I121*I126/100*SUM(P217:R217)/IF(L217=0,1,L217)</f>
        <v>0</v>
      </c>
      <c r="J268" s="298">
        <f>J121*J126/100*SUM(P217:R217)/IF(L217=0,1,L217)</f>
        <v>0</v>
      </c>
      <c r="K268" s="298">
        <f>K121*K126/100*SUM(P217:R217)/IF(L217=0,1,L217)</f>
        <v>0</v>
      </c>
      <c r="L268" s="298">
        <f>L121*L126/100*SUM(P217:R217)/IF(L217=0,1,L217)</f>
        <v>0</v>
      </c>
      <c r="M268" s="298">
        <f>M121*M126/100*SUM(P217:R217)/IF(L217=0,1,L217)</f>
        <v>0</v>
      </c>
      <c r="N268" s="298">
        <f>IF((AA217-SUM(E268:M268))&lt;2,0,AA217-SUM(E268:M268))</f>
        <v>0</v>
      </c>
      <c r="O268" s="319" t="s">
        <v>4</v>
      </c>
      <c r="P268" s="298">
        <f>E121*E126/100*SUM(T217:W217)/IF(L217=0,1,L217)</f>
        <v>0</v>
      </c>
      <c r="Q268" s="298">
        <f>F121*F126/100*SUM(T217:W217)/IF(L217=0,1,L217)</f>
        <v>0</v>
      </c>
      <c r="R268" s="298">
        <f>G121*G126/100*SUM(T217:W217)/IF(L217=0,1,L217)</f>
        <v>0</v>
      </c>
      <c r="S268" s="298">
        <f>H121*H126/100*SUM(T217:W217)/IF(L217=0,1,L217)</f>
        <v>0</v>
      </c>
      <c r="T268" s="298">
        <f>I121*I126/100*SUM(T217:W217)/IF(L217=0,1,L217)</f>
        <v>0</v>
      </c>
      <c r="U268" s="298">
        <f>J121*J126/100*SUM(T217:W217)/IF(L217=0,1,L217)</f>
        <v>0</v>
      </c>
      <c r="V268" s="298">
        <f>K121*K126/100*SUM(T217:W217)/IF(L217=0,1,L217)</f>
        <v>0</v>
      </c>
      <c r="W268" s="298">
        <f>L121*L126/100*SUM(T217:W217)/IF(L217=0,1,L217)</f>
        <v>0</v>
      </c>
      <c r="X268" s="298">
        <f>M121*M126/100*SUM(T217:W217)/IF(L217=0,1,L217)</f>
        <v>0</v>
      </c>
      <c r="Y268" s="298">
        <f>IF((AB217-SUM(P268:X268))&lt;2,0,AB217-SUM(P268:X268))</f>
        <v>0</v>
      </c>
      <c r="Z268" s="298">
        <f t="shared" si="101"/>
        <v>0</v>
      </c>
      <c r="AA268" s="167"/>
      <c r="AB268" s="190"/>
      <c r="AC268" s="213"/>
      <c r="AD268" s="178"/>
      <c r="AE268" s="178"/>
      <c r="AF268" s="178"/>
      <c r="AG268" s="139"/>
      <c r="AH268" s="139"/>
      <c r="AI268" s="139"/>
      <c r="AJ268" s="139"/>
    </row>
    <row r="269" spans="1:36" ht="15">
      <c r="A269" s="139"/>
      <c r="B269" s="400" t="str">
        <f>B219</f>
        <v>Chevy pickup #1</v>
      </c>
      <c r="C269" s="401"/>
      <c r="D269" s="317"/>
      <c r="E269" s="545">
        <f>AA219*E143*(1-H134)</f>
        <v>753.865</v>
      </c>
      <c r="F269" s="545">
        <f aca="true" t="shared" si="102" ref="F269:M269">$AA$219*F143*(1-$H$134)</f>
        <v>1507.73</v>
      </c>
      <c r="G269" s="545">
        <f t="shared" si="102"/>
        <v>301.546</v>
      </c>
      <c r="H269" s="545">
        <f t="shared" si="102"/>
        <v>603.092</v>
      </c>
      <c r="I269" s="545">
        <f t="shared" si="102"/>
        <v>753.865</v>
      </c>
      <c r="J269" s="545">
        <f t="shared" si="102"/>
        <v>0</v>
      </c>
      <c r="K269" s="545">
        <f t="shared" si="102"/>
        <v>0</v>
      </c>
      <c r="L269" s="545">
        <f t="shared" si="102"/>
        <v>0</v>
      </c>
      <c r="M269" s="545">
        <f t="shared" si="102"/>
        <v>0</v>
      </c>
      <c r="N269" s="545">
        <f>AA219-SUM(E269:M269)</f>
        <v>17618.902000000002</v>
      </c>
      <c r="O269" s="182"/>
      <c r="P269" s="545">
        <f aca="true" t="shared" si="103" ref="P269:X269">$AB$219*(1-$H$134)*E143</f>
        <v>276.71875</v>
      </c>
      <c r="Q269" s="545">
        <f t="shared" si="103"/>
        <v>553.4375</v>
      </c>
      <c r="R269" s="545">
        <f t="shared" si="103"/>
        <v>110.6875</v>
      </c>
      <c r="S269" s="545">
        <f t="shared" si="103"/>
        <v>221.375</v>
      </c>
      <c r="T269" s="545">
        <f t="shared" si="103"/>
        <v>276.71875</v>
      </c>
      <c r="U269" s="545">
        <f t="shared" si="103"/>
        <v>0</v>
      </c>
      <c r="V269" s="545">
        <f t="shared" si="103"/>
        <v>0</v>
      </c>
      <c r="W269" s="545">
        <f t="shared" si="103"/>
        <v>0</v>
      </c>
      <c r="X269" s="545">
        <f t="shared" si="103"/>
        <v>0</v>
      </c>
      <c r="Y269" s="545">
        <f>AB219-SUM(P269:X269)</f>
        <v>6467.3125</v>
      </c>
      <c r="Z269" s="545">
        <f t="shared" si="101"/>
        <v>29445.25</v>
      </c>
      <c r="AA269" s="167" t="s">
        <v>390</v>
      </c>
      <c r="AB269" s="190"/>
      <c r="AC269" s="213"/>
      <c r="AD269" s="178"/>
      <c r="AE269" s="178"/>
      <c r="AF269" s="178"/>
      <c r="AG269" s="139"/>
      <c r="AH269" s="139"/>
      <c r="AI269" s="139"/>
      <c r="AJ269" s="139"/>
    </row>
    <row r="270" spans="1:36" ht="15">
      <c r="A270" s="139"/>
      <c r="B270" s="396" t="str">
        <f>B220</f>
        <v>Ford pickup #2</v>
      </c>
      <c r="C270" s="397"/>
      <c r="D270" s="316"/>
      <c r="E270" s="298">
        <f aca="true" t="shared" si="104" ref="E270:M270">$AA$220*E144*(1-$H$135)</f>
        <v>1244.1333333333334</v>
      </c>
      <c r="F270" s="298">
        <f t="shared" si="104"/>
        <v>0</v>
      </c>
      <c r="G270" s="298">
        <f t="shared" si="104"/>
        <v>0</v>
      </c>
      <c r="H270" s="298">
        <f t="shared" si="104"/>
        <v>0</v>
      </c>
      <c r="I270" s="298">
        <f t="shared" si="104"/>
        <v>0</v>
      </c>
      <c r="J270" s="298">
        <f t="shared" si="104"/>
        <v>0</v>
      </c>
      <c r="K270" s="298">
        <f t="shared" si="104"/>
        <v>0</v>
      </c>
      <c r="L270" s="298">
        <f t="shared" si="104"/>
        <v>0</v>
      </c>
      <c r="M270" s="298">
        <f t="shared" si="104"/>
        <v>0</v>
      </c>
      <c r="N270" s="298">
        <f>AA220-SUM(E270:M270)</f>
        <v>11197.2</v>
      </c>
      <c r="O270" s="167"/>
      <c r="P270" s="298">
        <f aca="true" t="shared" si="105" ref="P270:X270">$AB$220*(1-$H$135)*E144</f>
        <v>369.58333333333337</v>
      </c>
      <c r="Q270" s="298">
        <f t="shared" si="105"/>
        <v>0</v>
      </c>
      <c r="R270" s="298">
        <f t="shared" si="105"/>
        <v>0</v>
      </c>
      <c r="S270" s="298">
        <f t="shared" si="105"/>
        <v>0</v>
      </c>
      <c r="T270" s="298">
        <f t="shared" si="105"/>
        <v>0</v>
      </c>
      <c r="U270" s="298">
        <f t="shared" si="105"/>
        <v>0</v>
      </c>
      <c r="V270" s="298">
        <f t="shared" si="105"/>
        <v>0</v>
      </c>
      <c r="W270" s="298">
        <f t="shared" si="105"/>
        <v>0</v>
      </c>
      <c r="X270" s="298">
        <f t="shared" si="105"/>
        <v>0</v>
      </c>
      <c r="Y270" s="298">
        <f>AB220-SUM(P270:X270)</f>
        <v>3326.25</v>
      </c>
      <c r="Z270" s="298">
        <f t="shared" si="101"/>
        <v>16137.166666666668</v>
      </c>
      <c r="AA270" s="167" t="s">
        <v>265</v>
      </c>
      <c r="AB270" s="190"/>
      <c r="AC270" s="213"/>
      <c r="AD270" s="178"/>
      <c r="AE270" s="178"/>
      <c r="AF270" s="178"/>
      <c r="AG270" s="139"/>
      <c r="AH270" s="139"/>
      <c r="AI270" s="139"/>
      <c r="AJ270" s="139"/>
    </row>
    <row r="271" spans="1:36" ht="15.75" thickBot="1">
      <c r="A271" s="139"/>
      <c r="B271" s="398" t="str">
        <f>B221</f>
        <v>Pickup not used</v>
      </c>
      <c r="C271" s="399"/>
      <c r="D271" s="316"/>
      <c r="E271" s="298">
        <f aca="true" t="shared" si="106" ref="E271:M271">$AA$221*E145*(1-$H$136)</f>
        <v>0</v>
      </c>
      <c r="F271" s="298">
        <f t="shared" si="106"/>
        <v>0</v>
      </c>
      <c r="G271" s="298">
        <f t="shared" si="106"/>
        <v>0</v>
      </c>
      <c r="H271" s="298">
        <f t="shared" si="106"/>
        <v>0</v>
      </c>
      <c r="I271" s="298">
        <f t="shared" si="106"/>
        <v>0</v>
      </c>
      <c r="J271" s="298">
        <f t="shared" si="106"/>
        <v>0</v>
      </c>
      <c r="K271" s="298">
        <f t="shared" si="106"/>
        <v>0</v>
      </c>
      <c r="L271" s="298">
        <f t="shared" si="106"/>
        <v>0</v>
      </c>
      <c r="M271" s="298">
        <f t="shared" si="106"/>
        <v>0</v>
      </c>
      <c r="N271" s="298">
        <f>AA221-SUM(E271:M271)</f>
        <v>0</v>
      </c>
      <c r="O271" s="167"/>
      <c r="P271" s="298">
        <f aca="true" t="shared" si="107" ref="P271:X271">$AB$221*(1-$H$136)*E145</f>
        <v>0</v>
      </c>
      <c r="Q271" s="298">
        <f t="shared" si="107"/>
        <v>0</v>
      </c>
      <c r="R271" s="298">
        <f t="shared" si="107"/>
        <v>0</v>
      </c>
      <c r="S271" s="298">
        <f t="shared" si="107"/>
        <v>0</v>
      </c>
      <c r="T271" s="298">
        <f t="shared" si="107"/>
        <v>0</v>
      </c>
      <c r="U271" s="298">
        <f t="shared" si="107"/>
        <v>0</v>
      </c>
      <c r="V271" s="298">
        <f t="shared" si="107"/>
        <v>0</v>
      </c>
      <c r="W271" s="298">
        <f t="shared" si="107"/>
        <v>0</v>
      </c>
      <c r="X271" s="298">
        <f t="shared" si="107"/>
        <v>0</v>
      </c>
      <c r="Y271" s="298">
        <f>AB221-SUM(P271:X271)</f>
        <v>0</v>
      </c>
      <c r="Z271" s="298">
        <f t="shared" si="101"/>
        <v>0</v>
      </c>
      <c r="AA271" s="167" t="s">
        <v>391</v>
      </c>
      <c r="AB271" s="190"/>
      <c r="AC271" s="213"/>
      <c r="AD271" s="178"/>
      <c r="AE271" s="178"/>
      <c r="AF271" s="178"/>
      <c r="AG271" s="139"/>
      <c r="AH271" s="139"/>
      <c r="AI271" s="139"/>
      <c r="AJ271" s="139"/>
    </row>
    <row r="272" spans="1:36" ht="16.5" thickBot="1" thickTop="1">
      <c r="A272" s="139"/>
      <c r="B272" s="320" t="s">
        <v>44</v>
      </c>
      <c r="C272" s="321"/>
      <c r="D272" s="322"/>
      <c r="E272" s="307">
        <f>$AA$222*E142</f>
        <v>0</v>
      </c>
      <c r="F272" s="307">
        <f aca="true" t="shared" si="108" ref="F272:M272">$AA$222*F142</f>
        <v>0</v>
      </c>
      <c r="G272" s="307">
        <f t="shared" si="108"/>
        <v>0</v>
      </c>
      <c r="H272" s="307">
        <f t="shared" si="108"/>
        <v>0</v>
      </c>
      <c r="I272" s="307">
        <f t="shared" si="108"/>
        <v>0</v>
      </c>
      <c r="J272" s="307">
        <f t="shared" si="108"/>
        <v>0</v>
      </c>
      <c r="K272" s="307">
        <f t="shared" si="108"/>
        <v>0</v>
      </c>
      <c r="L272" s="307">
        <f t="shared" si="108"/>
        <v>0</v>
      </c>
      <c r="M272" s="307">
        <f t="shared" si="108"/>
        <v>0</v>
      </c>
      <c r="N272" s="307">
        <f>AA222-SUM(E272:M272)</f>
        <v>0</v>
      </c>
      <c r="O272" s="219"/>
      <c r="P272" s="307">
        <f>$AB$222*E142</f>
        <v>0</v>
      </c>
      <c r="Q272" s="307">
        <f aca="true" t="shared" si="109" ref="Q272:X272">$AB$222*F142</f>
        <v>0</v>
      </c>
      <c r="R272" s="307">
        <f t="shared" si="109"/>
        <v>0</v>
      </c>
      <c r="S272" s="307">
        <f t="shared" si="109"/>
        <v>0</v>
      </c>
      <c r="T272" s="307">
        <f t="shared" si="109"/>
        <v>0</v>
      </c>
      <c r="U272" s="307">
        <f t="shared" si="109"/>
        <v>0</v>
      </c>
      <c r="V272" s="307">
        <f t="shared" si="109"/>
        <v>0</v>
      </c>
      <c r="W272" s="307">
        <f t="shared" si="109"/>
        <v>0</v>
      </c>
      <c r="X272" s="307">
        <f t="shared" si="109"/>
        <v>0</v>
      </c>
      <c r="Y272" s="307">
        <f>AB222-SUM(P272:X272)</f>
        <v>0</v>
      </c>
      <c r="Z272" s="307">
        <f t="shared" si="101"/>
        <v>0</v>
      </c>
      <c r="AA272" s="323" t="s">
        <v>258</v>
      </c>
      <c r="AB272" s="190"/>
      <c r="AC272" s="213"/>
      <c r="AD272" s="178"/>
      <c r="AE272" s="178"/>
      <c r="AF272" s="178"/>
      <c r="AG272" s="139"/>
      <c r="AH272" s="139"/>
      <c r="AI272" s="139"/>
      <c r="AJ272" s="139"/>
    </row>
    <row r="273" spans="1:36" ht="15.75" thickTop="1">
      <c r="A273" s="139"/>
      <c r="B273" s="178" t="s">
        <v>283</v>
      </c>
      <c r="C273" s="178"/>
      <c r="D273" s="178"/>
      <c r="E273" s="298">
        <f aca="true" t="shared" si="110" ref="E273:N273">SUM(E233:E272)</f>
        <v>10157.479417150997</v>
      </c>
      <c r="F273" s="298">
        <f t="shared" si="110"/>
        <v>16848.087877635327</v>
      </c>
      <c r="G273" s="298">
        <f t="shared" si="110"/>
        <v>3446.1444287789986</v>
      </c>
      <c r="H273" s="298">
        <f t="shared" si="110"/>
        <v>6328.416667012617</v>
      </c>
      <c r="I273" s="298">
        <f t="shared" si="110"/>
        <v>10619.144134615382</v>
      </c>
      <c r="J273" s="298">
        <f t="shared" si="110"/>
        <v>0</v>
      </c>
      <c r="K273" s="298">
        <f t="shared" si="110"/>
        <v>0</v>
      </c>
      <c r="L273" s="298">
        <f t="shared" si="110"/>
        <v>0</v>
      </c>
      <c r="M273" s="298">
        <f t="shared" si="110"/>
        <v>0</v>
      </c>
      <c r="N273" s="298">
        <f t="shared" si="110"/>
        <v>28816.102000000003</v>
      </c>
      <c r="O273" s="182"/>
      <c r="P273" s="298">
        <f aca="true" t="shared" si="111" ref="P273:Y273">SUM(P233:P272)</f>
        <v>11030.413453912692</v>
      </c>
      <c r="Q273" s="298">
        <f t="shared" si="111"/>
        <v>18310.47524115872</v>
      </c>
      <c r="R273" s="298">
        <f t="shared" si="111"/>
        <v>4328.949515962583</v>
      </c>
      <c r="S273" s="298">
        <f t="shared" si="111"/>
        <v>6725.624193270973</v>
      </c>
      <c r="T273" s="298">
        <f t="shared" si="111"/>
        <v>9063.727789020224</v>
      </c>
      <c r="U273" s="298">
        <f t="shared" si="111"/>
        <v>0</v>
      </c>
      <c r="V273" s="298">
        <f t="shared" si="111"/>
        <v>0</v>
      </c>
      <c r="W273" s="298">
        <f t="shared" si="111"/>
        <v>0</v>
      </c>
      <c r="X273" s="298">
        <f t="shared" si="111"/>
        <v>0</v>
      </c>
      <c r="Y273" s="298">
        <f t="shared" si="111"/>
        <v>9793.5625</v>
      </c>
      <c r="Z273" s="298"/>
      <c r="AA273" s="298">
        <f>SUM(E273:Y273)</f>
        <v>135468.12721851852</v>
      </c>
      <c r="AB273" s="190"/>
      <c r="AC273" s="213"/>
      <c r="AD273" s="178"/>
      <c r="AE273" s="178"/>
      <c r="AF273" s="178"/>
      <c r="AG273" s="139"/>
      <c r="AH273" s="139"/>
      <c r="AI273" s="139"/>
      <c r="AJ273" s="139"/>
    </row>
    <row r="274" spans="1:36" ht="15">
      <c r="A274" s="139"/>
      <c r="B274" s="178" t="s">
        <v>284</v>
      </c>
      <c r="C274" s="178"/>
      <c r="D274" s="178"/>
      <c r="E274" s="238">
        <f>$H$43</f>
        <v>420</v>
      </c>
      <c r="F274" s="238">
        <f>$J$43</f>
        <v>840</v>
      </c>
      <c r="G274" s="238">
        <f>$L$43</f>
        <v>180</v>
      </c>
      <c r="H274" s="238">
        <f>$N$43</f>
        <v>300</v>
      </c>
      <c r="I274" s="238">
        <f>$P$43</f>
        <v>1260</v>
      </c>
      <c r="J274" s="238">
        <f>$R$43</f>
        <v>0</v>
      </c>
      <c r="K274" s="238">
        <f>$T$43</f>
        <v>0</v>
      </c>
      <c r="L274" s="238">
        <f>$V$43</f>
        <v>0</v>
      </c>
      <c r="M274" s="238">
        <f>$X$43</f>
        <v>0</v>
      </c>
      <c r="N274" s="309"/>
      <c r="O274" s="182"/>
      <c r="P274" s="218">
        <f aca="true" t="shared" si="112" ref="P274:X274">E274</f>
        <v>420</v>
      </c>
      <c r="Q274" s="218">
        <f t="shared" si="112"/>
        <v>840</v>
      </c>
      <c r="R274" s="218">
        <f t="shared" si="112"/>
        <v>180</v>
      </c>
      <c r="S274" s="218">
        <f t="shared" si="112"/>
        <v>300</v>
      </c>
      <c r="T274" s="218">
        <f t="shared" si="112"/>
        <v>1260</v>
      </c>
      <c r="U274" s="218">
        <f t="shared" si="112"/>
        <v>0</v>
      </c>
      <c r="V274" s="218">
        <f t="shared" si="112"/>
        <v>0</v>
      </c>
      <c r="W274" s="218">
        <f t="shared" si="112"/>
        <v>0</v>
      </c>
      <c r="X274" s="218">
        <f t="shared" si="112"/>
        <v>0</v>
      </c>
      <c r="Y274" s="218"/>
      <c r="Z274" s="218"/>
      <c r="AA274" s="218"/>
      <c r="AB274" s="190"/>
      <c r="AC274" s="213"/>
      <c r="AD274" s="178"/>
      <c r="AE274" s="178"/>
      <c r="AF274" s="178"/>
      <c r="AG274" s="139"/>
      <c r="AH274" s="139"/>
      <c r="AI274" s="139"/>
      <c r="AJ274" s="139"/>
    </row>
    <row r="275" spans="1:36" ht="15">
      <c r="A275" s="139"/>
      <c r="B275" s="178" t="s">
        <v>285</v>
      </c>
      <c r="C275" s="178"/>
      <c r="D275" s="324" t="s">
        <v>335</v>
      </c>
      <c r="E275" s="325">
        <f aca="true" t="shared" si="113" ref="E275:M275">IF(E274=0,0,E273/E274)</f>
        <v>24.184474802740468</v>
      </c>
      <c r="F275" s="325">
        <f t="shared" si="113"/>
        <v>20.05724747337539</v>
      </c>
      <c r="G275" s="325">
        <f t="shared" si="113"/>
        <v>19.145246826549993</v>
      </c>
      <c r="H275" s="325">
        <f t="shared" si="113"/>
        <v>21.09472222337539</v>
      </c>
      <c r="I275" s="325">
        <f t="shared" si="113"/>
        <v>8.427892170329669</v>
      </c>
      <c r="J275" s="325">
        <f t="shared" si="113"/>
        <v>0</v>
      </c>
      <c r="K275" s="325">
        <f t="shared" si="113"/>
        <v>0</v>
      </c>
      <c r="L275" s="325">
        <f t="shared" si="113"/>
        <v>0</v>
      </c>
      <c r="M275" s="325">
        <f t="shared" si="113"/>
        <v>0</v>
      </c>
      <c r="N275" s="309"/>
      <c r="O275" s="324" t="s">
        <v>334</v>
      </c>
      <c r="P275" s="325">
        <f aca="true" t="shared" si="114" ref="P275:X275">IF(P274=0,0,P273/P274)</f>
        <v>26.2628891759826</v>
      </c>
      <c r="Q275" s="325">
        <f t="shared" si="114"/>
        <v>21.79818481090324</v>
      </c>
      <c r="R275" s="325">
        <f t="shared" si="114"/>
        <v>24.04971953312546</v>
      </c>
      <c r="S275" s="325">
        <f t="shared" si="114"/>
        <v>22.418747310903242</v>
      </c>
      <c r="T275" s="325">
        <f t="shared" si="114"/>
        <v>7.193434753190654</v>
      </c>
      <c r="U275" s="325">
        <f t="shared" si="114"/>
        <v>0</v>
      </c>
      <c r="V275" s="325">
        <f t="shared" si="114"/>
        <v>0</v>
      </c>
      <c r="W275" s="325">
        <f t="shared" si="114"/>
        <v>0</v>
      </c>
      <c r="X275" s="325">
        <f t="shared" si="114"/>
        <v>0</v>
      </c>
      <c r="Y275" s="218"/>
      <c r="Z275" s="218"/>
      <c r="AA275" s="218"/>
      <c r="AB275" s="190"/>
      <c r="AC275" s="213"/>
      <c r="AD275" s="178"/>
      <c r="AE275" s="178"/>
      <c r="AF275" s="178"/>
      <c r="AG275" s="139"/>
      <c r="AH275" s="139"/>
      <c r="AI275" s="139"/>
      <c r="AJ275" s="139"/>
    </row>
    <row r="276" spans="1:36" ht="15">
      <c r="A276" s="139"/>
      <c r="B276" s="178" t="s">
        <v>286</v>
      </c>
      <c r="C276" s="178"/>
      <c r="D276" s="178"/>
      <c r="E276" s="296">
        <f aca="true" t="shared" si="115" ref="E276:M276">E275+P275</f>
        <v>50.44736397872307</v>
      </c>
      <c r="F276" s="296">
        <f t="shared" si="115"/>
        <v>41.855432284278635</v>
      </c>
      <c r="G276" s="296">
        <f t="shared" si="115"/>
        <v>43.194966359675455</v>
      </c>
      <c r="H276" s="296">
        <f t="shared" si="115"/>
        <v>43.51346953427863</v>
      </c>
      <c r="I276" s="296">
        <f t="shared" si="115"/>
        <v>15.621326923520321</v>
      </c>
      <c r="J276" s="296">
        <f t="shared" si="115"/>
        <v>0</v>
      </c>
      <c r="K276" s="296">
        <f t="shared" si="115"/>
        <v>0</v>
      </c>
      <c r="L276" s="296">
        <f t="shared" si="115"/>
        <v>0</v>
      </c>
      <c r="M276" s="296">
        <f t="shared" si="115"/>
        <v>0</v>
      </c>
      <c r="N276" s="309"/>
      <c r="O276" s="182"/>
      <c r="P276" s="182"/>
      <c r="Q276" s="182"/>
      <c r="R276" s="182"/>
      <c r="S276" s="182"/>
      <c r="T276" s="182"/>
      <c r="U276" s="182"/>
      <c r="V276" s="182"/>
      <c r="W276" s="182"/>
      <c r="X276" s="182"/>
      <c r="Y276" s="182"/>
      <c r="Z276" s="182"/>
      <c r="AA276" s="182"/>
      <c r="AB276" s="190"/>
      <c r="AC276" s="213"/>
      <c r="AD276" s="178"/>
      <c r="AE276" s="178"/>
      <c r="AF276" s="178"/>
      <c r="AG276" s="139"/>
      <c r="AH276" s="139"/>
      <c r="AI276" s="139"/>
      <c r="AJ276" s="139"/>
    </row>
    <row r="277" spans="1:36" ht="15">
      <c r="A277" s="139"/>
      <c r="B277" s="178" t="s">
        <v>287</v>
      </c>
      <c r="C277" s="178"/>
      <c r="D277" s="178"/>
      <c r="E277" s="296">
        <f>(I91+I93+I95+I97+I99+I101+H73/IF($G73=0,1,$G73)+H74/IF($G74=0,1,$G74)+H75/IF($G75=0,1,$G75)+H76/IF($G76=0,1,$G76)+H77/IF($G77=0,1,$G77)+H78/IF($G78=0,1,$G78)+H83/IF($G83=0,1,$G83)+H87/IF($G87=0,1,$G87))/IF(E274=0,1,E274)</f>
        <v>0.31218152218152223</v>
      </c>
      <c r="F277" s="296">
        <f>(K91+K93+K95+K97+K99+K101+J73/IF($G73=0,1,$G73)+J74/IF($G74=0,1,$G74)+J75/IF($G75=0,1,$G75)+J76/IF($G76=0,1,$G76)+J77/IF($G77=0,1,$G77)+J78/IF($G78=0,1,$G78)+J83/IF($G83=0,1,$G83)+J87/IF($G87=0,1,$G87))/IF(F274=0,1,F274)</f>
        <v>0.265038665038665</v>
      </c>
      <c r="G277" s="296">
        <f>(M91+M93+M95+M97+M99+M101+L73/IF($G73=0,1,$G73)+L74/IF($G74=0,1,$G74)+L75/IF($G75=0,1,$G75)+L76/IF($G76=0,1,$G76)+L77/IF($G77=0,1,$G77)+L78/IF($G78=0,1,$G78)+L83/IF($G83=0,1,$G83)+L87/IF($G87=0,1,$G87))/IF(G274=0,1,G274)</f>
        <v>0.3121815221815222</v>
      </c>
      <c r="H277" s="296">
        <f>(O91+O93+O95+O97+O99+O101+N73/IF($G73=0,1,$G73)+N74/IF($G74=0,1,$G74)+N75/IF($G75=0,1,$G75)+N76/IF($G76=0,1,$G76)+N77/IF($G77=0,1,$G77)+N78/IF($G78=0,1,$G78)+N83/IF($G83=0,1,$G83)+N87/IF($G87=0,1,$G87))/IF(H274=0,1,H274)</f>
        <v>0.265038665038665</v>
      </c>
      <c r="I277" s="296">
        <f>(Q91+Q93+Q95+Q97+Q99+Q101+P73/IF($G73=0,1,$G73)+P74/IF($G74=0,1,$G74)+P75/IF($G75=0,1,$G75)+P76/IF($G76=0,1,$G76)+P77/IF($G77=0,1,$G77)+P78/IF($G78=0,1,$G78)+P83/IF($G83=0,1,$G83)+P87/IF($G87=0,1,$G87))/IF(I274=0,1,I274)</f>
        <v>0.17326007326007328</v>
      </c>
      <c r="J277" s="296">
        <f>(S91+S93+S95+S97+S99+S101+R73/IF($G73=0,1,$G73)+R74/IF($G74=0,1,$G74)+R75/IF($G75=0,1,$G75)+R76/IF($G76=0,1,$G76)+R77/IF($G77=0,1,$G77)+R78/IF($G78=0,1,$G78)+R83/IF($G83=0,1,$G83)+R87/IF($G87=0,1,$G87))/IF(J274=0,1,J274)</f>
        <v>0</v>
      </c>
      <c r="K277" s="296">
        <f>(U91+U93+U95+U97+U99+U101+T73/IF($G73=0,1,$G73)+T74/IF($G74=0,1,$G74)+T75/IF($G75=0,1,$G75)+T76/IF($G76=0,1,$G76)+T77/IF($G77=0,1,$G77)+T78/IF($G78=0,1,$G78)+T83/IF($G83=0,1,$G83)+T87/IF($G87=0,1,$G87))/IF(K274=0,1,K274)</f>
        <v>0</v>
      </c>
      <c r="L277" s="296">
        <f>(W91+W93+W95+W97+W99+W101+V73/IF($G73=0,1,$G73)+V74/IF($G74=0,1,$G74)+V75/IF($G75=0,1,$G75)+V76/IF($G76=0,1,$G76)+V77/IF($G77=0,1,$G77)+V78/IF($G78=0,1,$G78)+V83/IF($G83=0,1,$G83)+V87/IF($G87=0,1,$G87))/IF(L274=0,1,L274)</f>
        <v>0</v>
      </c>
      <c r="M277" s="296">
        <f>(Y91+Y93+Y95+Y97+Y99+Y101+X73/IF($G73=0,1,$G73)+X74/IF($G74=0,1,$G74)+X75/IF($G75=0,1,$G75)+X76/IF($G76=0,1,$G76)+X77/IF($G77=0,1,$G77)+X78/IF($G78=0,1,$G78)+X83/IF($G83=0,1,$G83)+X87/IF($G87=0,1,$G87))/IF(M274=0,1,M274)</f>
        <v>0</v>
      </c>
      <c r="N277" s="309"/>
      <c r="O277" s="182"/>
      <c r="P277" s="182"/>
      <c r="Q277" s="182"/>
      <c r="R277" s="182"/>
      <c r="S277" s="182"/>
      <c r="T277" s="182"/>
      <c r="U277" s="182"/>
      <c r="V277" s="182"/>
      <c r="W277" s="182"/>
      <c r="X277" s="182"/>
      <c r="Y277" s="182"/>
      <c r="Z277" s="182"/>
      <c r="AA277" s="182"/>
      <c r="AB277" s="190"/>
      <c r="AC277" s="213"/>
      <c r="AD277" s="178"/>
      <c r="AE277" s="178"/>
      <c r="AF277" s="178"/>
      <c r="AG277" s="139"/>
      <c r="AH277" s="139"/>
      <c r="AI277" s="139"/>
      <c r="AJ277" s="139"/>
    </row>
    <row r="278" spans="1:36" ht="15">
      <c r="A278" s="139"/>
      <c r="B278" s="178"/>
      <c r="C278" s="178"/>
      <c r="D278" s="178"/>
      <c r="E278" s="178"/>
      <c r="F278" s="178"/>
      <c r="G278" s="178"/>
      <c r="H278" s="178"/>
      <c r="I278" s="178"/>
      <c r="J278" s="178"/>
      <c r="K278" s="178"/>
      <c r="L278" s="178"/>
      <c r="M278" s="178"/>
      <c r="N278" s="178"/>
      <c r="O278" s="178"/>
      <c r="P278" s="178"/>
      <c r="Q278" s="178"/>
      <c r="R278" s="178"/>
      <c r="S278" s="178"/>
      <c r="T278" s="178"/>
      <c r="U278" s="178"/>
      <c r="V278" s="178"/>
      <c r="W278" s="178"/>
      <c r="X278" s="178"/>
      <c r="Y278" s="178"/>
      <c r="Z278" s="178"/>
      <c r="AA278" s="178"/>
      <c r="AB278" s="208"/>
      <c r="AC278" s="178"/>
      <c r="AD278" s="178"/>
      <c r="AE278" s="178"/>
      <c r="AF278" s="178"/>
      <c r="AG278" s="139"/>
      <c r="AH278" s="139"/>
      <c r="AI278" s="139"/>
      <c r="AJ278" s="139"/>
    </row>
    <row r="279" spans="1:36" ht="15">
      <c r="A279" s="139"/>
      <c r="B279" s="178"/>
      <c r="C279" s="178"/>
      <c r="D279" s="139"/>
      <c r="E279" s="178"/>
      <c r="F279" s="178"/>
      <c r="G279" s="178"/>
      <c r="H279" s="178"/>
      <c r="I279" s="178"/>
      <c r="J279" s="178"/>
      <c r="K279" s="178"/>
      <c r="L279" s="178"/>
      <c r="M279" s="178"/>
      <c r="N279" s="178"/>
      <c r="O279" s="178"/>
      <c r="P279" s="178"/>
      <c r="Q279" s="178"/>
      <c r="R279" s="178"/>
      <c r="S279" s="178"/>
      <c r="T279" s="178"/>
      <c r="U279" s="178"/>
      <c r="V279" s="178"/>
      <c r="W279" s="178"/>
      <c r="X279" s="178"/>
      <c r="Y279" s="178"/>
      <c r="Z279" s="178"/>
      <c r="AA279" s="178"/>
      <c r="AB279" s="208"/>
      <c r="AC279" s="178"/>
      <c r="AD279" s="178"/>
      <c r="AE279" s="178"/>
      <c r="AF279" s="178"/>
      <c r="AG279" s="139"/>
      <c r="AH279" s="139"/>
      <c r="AI279" s="139"/>
      <c r="AJ279" s="139"/>
    </row>
    <row r="280" spans="1:36" ht="15.75" thickBot="1">
      <c r="A280" s="139"/>
      <c r="B280" s="178"/>
      <c r="C280" s="178"/>
      <c r="D280" s="182"/>
      <c r="E280" s="182" t="s">
        <v>4</v>
      </c>
      <c r="F280" s="182" t="s">
        <v>4</v>
      </c>
      <c r="G280" s="182" t="s">
        <v>4</v>
      </c>
      <c r="H280" s="182" t="s">
        <v>4</v>
      </c>
      <c r="I280" s="182" t="s">
        <v>4</v>
      </c>
      <c r="J280" s="182" t="s">
        <v>4</v>
      </c>
      <c r="K280" s="182" t="s">
        <v>4</v>
      </c>
      <c r="L280" s="182" t="s">
        <v>4</v>
      </c>
      <c r="M280" s="182" t="s">
        <v>4</v>
      </c>
      <c r="N280" s="182"/>
      <c r="O280" s="182"/>
      <c r="P280" s="182"/>
      <c r="Q280" s="182"/>
      <c r="R280" s="182"/>
      <c r="S280" s="182"/>
      <c r="T280" s="182"/>
      <c r="U280" s="182"/>
      <c r="V280" s="182"/>
      <c r="W280" s="182"/>
      <c r="X280" s="182"/>
      <c r="Y280" s="182"/>
      <c r="Z280" s="182"/>
      <c r="AA280" s="182"/>
      <c r="AB280" s="182"/>
      <c r="AC280" s="182"/>
      <c r="AD280" s="182"/>
      <c r="AE280" s="182"/>
      <c r="AF280" s="178"/>
      <c r="AG280" s="139"/>
      <c r="AH280" s="139"/>
      <c r="AI280" s="139"/>
      <c r="AJ280" s="139"/>
    </row>
    <row r="281" spans="1:36" ht="16.5" thickTop="1">
      <c r="A281" s="151" t="s">
        <v>329</v>
      </c>
      <c r="B281" s="326" t="s">
        <v>467</v>
      </c>
      <c r="C281" s="282"/>
      <c r="D281" s="251"/>
      <c r="E281" s="251"/>
      <c r="F281" s="182"/>
      <c r="G281" s="408" t="str">
        <f>H103</f>
        <v>WW on Fallow</v>
      </c>
      <c r="H281" s="182"/>
      <c r="I281" s="182"/>
      <c r="J281" s="408" t="str">
        <f>J103</f>
        <v>SW on Fallow</v>
      </c>
      <c r="K281" s="182"/>
      <c r="L281" s="182"/>
      <c r="M281" s="408" t="str">
        <f>L103</f>
        <v>WW on Recrop</v>
      </c>
      <c r="N281" s="309"/>
      <c r="O281" s="309"/>
      <c r="P281" s="408" t="str">
        <f>N103</f>
        <v>Barley on Recrop</v>
      </c>
      <c r="Q281" s="309"/>
      <c r="R281" s="309"/>
      <c r="S281" s="408" t="str">
        <f>P103</f>
        <v>Summer Fallow</v>
      </c>
      <c r="T281" s="309"/>
      <c r="U281" s="309"/>
      <c r="V281" s="408" t="str">
        <f>R103</f>
        <v>Not Used</v>
      </c>
      <c r="W281" s="309"/>
      <c r="X281" s="309"/>
      <c r="Y281" s="408" t="str">
        <f>T103</f>
        <v>Not Used</v>
      </c>
      <c r="Z281" s="309"/>
      <c r="AA281" s="309"/>
      <c r="AB281" s="408" t="str">
        <f>V103</f>
        <v>Not Used</v>
      </c>
      <c r="AC281" s="309"/>
      <c r="AD281" s="309"/>
      <c r="AE281" s="408" t="str">
        <f>X103</f>
        <v>Not Used</v>
      </c>
      <c r="AF281" s="178"/>
      <c r="AG281" s="139"/>
      <c r="AH281" s="139"/>
      <c r="AI281" s="139"/>
      <c r="AJ281" s="139"/>
    </row>
    <row r="282" spans="1:36" ht="16.5" thickBot="1">
      <c r="A282" s="139"/>
      <c r="B282" s="327" t="s">
        <v>452</v>
      </c>
      <c r="C282" s="293"/>
      <c r="D282" s="219"/>
      <c r="E282" s="219"/>
      <c r="F282" s="219"/>
      <c r="G282" s="409">
        <f>H104</f>
        <v>0</v>
      </c>
      <c r="H282" s="219"/>
      <c r="I282" s="219"/>
      <c r="J282" s="409">
        <f>J104</f>
        <v>0</v>
      </c>
      <c r="K282" s="219"/>
      <c r="L282" s="219"/>
      <c r="M282" s="409">
        <f>L104</f>
        <v>0</v>
      </c>
      <c r="N282" s="328"/>
      <c r="O282" s="328"/>
      <c r="P282" s="409">
        <f>N104</f>
        <v>0</v>
      </c>
      <c r="Q282" s="328"/>
      <c r="R282" s="328"/>
      <c r="S282" s="409">
        <f>P104</f>
        <v>0</v>
      </c>
      <c r="T282" s="328"/>
      <c r="U282" s="328"/>
      <c r="V282" s="409">
        <f>R104</f>
        <v>0</v>
      </c>
      <c r="W282" s="328"/>
      <c r="X282" s="328"/>
      <c r="Y282" s="409">
        <f>T104</f>
        <v>0</v>
      </c>
      <c r="Z282" s="328"/>
      <c r="AA282" s="328"/>
      <c r="AB282" s="409">
        <f>V104</f>
        <v>0</v>
      </c>
      <c r="AC282" s="328"/>
      <c r="AD282" s="328"/>
      <c r="AE282" s="409">
        <f>X104</f>
        <v>0</v>
      </c>
      <c r="AF282" s="178"/>
      <c r="AG282" s="139"/>
      <c r="AH282" s="139"/>
      <c r="AI282" s="139"/>
      <c r="AJ282" s="139"/>
    </row>
    <row r="283" spans="1:36" ht="15.75" thickTop="1">
      <c r="A283" s="139"/>
      <c r="B283" s="213" t="s">
        <v>304</v>
      </c>
      <c r="C283" s="213"/>
      <c r="D283" s="245"/>
      <c r="E283" s="245"/>
      <c r="F283" s="245"/>
      <c r="G283" s="238">
        <f>$H$43</f>
        <v>420</v>
      </c>
      <c r="H283" s="139"/>
      <c r="I283" s="139"/>
      <c r="J283" s="238">
        <f>$J$43</f>
        <v>840</v>
      </c>
      <c r="K283" s="139"/>
      <c r="L283" s="139"/>
      <c r="M283" s="238">
        <f>$L$43</f>
        <v>180</v>
      </c>
      <c r="N283" s="139"/>
      <c r="O283" s="139"/>
      <c r="P283" s="238">
        <f>$N$43</f>
        <v>300</v>
      </c>
      <c r="Q283" s="139"/>
      <c r="R283" s="139"/>
      <c r="S283" s="238">
        <f>$P$43</f>
        <v>1260</v>
      </c>
      <c r="T283" s="139"/>
      <c r="U283" s="139"/>
      <c r="V283" s="238">
        <f>$R$43</f>
        <v>0</v>
      </c>
      <c r="W283" s="139"/>
      <c r="X283" s="139"/>
      <c r="Y283" s="238">
        <f>$T$43</f>
        <v>0</v>
      </c>
      <c r="Z283" s="139"/>
      <c r="AA283" s="139"/>
      <c r="AB283" s="238">
        <f>$V$43</f>
        <v>0</v>
      </c>
      <c r="AC283" s="139"/>
      <c r="AD283" s="329"/>
      <c r="AE283" s="238">
        <f>$X$43</f>
        <v>0</v>
      </c>
      <c r="AF283" s="178"/>
      <c r="AG283" s="139"/>
      <c r="AH283" s="139"/>
      <c r="AI283" s="139"/>
      <c r="AJ283" s="139"/>
    </row>
    <row r="284" spans="1:36" ht="15">
      <c r="A284" s="139"/>
      <c r="B284" s="178" t="s">
        <v>306</v>
      </c>
      <c r="C284" s="178"/>
      <c r="D284" s="182"/>
      <c r="E284" s="182"/>
      <c r="F284" s="182"/>
      <c r="G284" s="30">
        <v>35</v>
      </c>
      <c r="H284" s="330"/>
      <c r="I284" s="330"/>
      <c r="J284" s="30">
        <v>30</v>
      </c>
      <c r="K284" s="330"/>
      <c r="L284" s="330"/>
      <c r="M284" s="30">
        <v>40</v>
      </c>
      <c r="N284" s="330"/>
      <c r="O284" s="330"/>
      <c r="P284" s="30">
        <v>30</v>
      </c>
      <c r="Q284" s="331"/>
      <c r="R284" s="331"/>
      <c r="S284" s="30">
        <v>0</v>
      </c>
      <c r="T284" s="331"/>
      <c r="U284" s="331"/>
      <c r="V284" s="30">
        <v>0</v>
      </c>
      <c r="W284" s="331"/>
      <c r="X284" s="331"/>
      <c r="Y284" s="30">
        <v>0</v>
      </c>
      <c r="Z284" s="331"/>
      <c r="AA284" s="331"/>
      <c r="AB284" s="30">
        <v>0</v>
      </c>
      <c r="AC284" s="331"/>
      <c r="AD284" s="331"/>
      <c r="AE284" s="30">
        <v>0</v>
      </c>
      <c r="AF284" s="332"/>
      <c r="AG284" s="139"/>
      <c r="AH284" s="139"/>
      <c r="AI284" s="139"/>
      <c r="AJ284" s="139"/>
    </row>
    <row r="285" spans="1:36" ht="15">
      <c r="A285" s="139"/>
      <c r="B285" s="178" t="s">
        <v>307</v>
      </c>
      <c r="C285" s="178"/>
      <c r="D285" s="182"/>
      <c r="E285" s="182"/>
      <c r="F285" s="182"/>
      <c r="G285" s="41">
        <v>0.5</v>
      </c>
      <c r="H285" s="330"/>
      <c r="I285" s="330"/>
      <c r="J285" s="41">
        <v>0.75</v>
      </c>
      <c r="K285" s="330"/>
      <c r="L285" s="330"/>
      <c r="M285" s="41">
        <v>0.5</v>
      </c>
      <c r="N285" s="330"/>
      <c r="O285" s="330"/>
      <c r="P285" s="41">
        <v>0.25</v>
      </c>
      <c r="Q285" s="331"/>
      <c r="R285" s="331"/>
      <c r="S285" s="41">
        <v>0</v>
      </c>
      <c r="T285" s="331"/>
      <c r="U285" s="331"/>
      <c r="V285" s="41">
        <v>0</v>
      </c>
      <c r="W285" s="331"/>
      <c r="X285" s="331"/>
      <c r="Y285" s="41">
        <v>0</v>
      </c>
      <c r="Z285" s="331"/>
      <c r="AA285" s="331"/>
      <c r="AB285" s="41">
        <v>0</v>
      </c>
      <c r="AC285" s="331"/>
      <c r="AD285" s="331"/>
      <c r="AE285" s="41">
        <v>0</v>
      </c>
      <c r="AF285" s="332"/>
      <c r="AG285" s="139"/>
      <c r="AH285" s="139"/>
      <c r="AI285" s="139"/>
      <c r="AJ285" s="139"/>
    </row>
    <row r="286" spans="1:36" ht="15">
      <c r="A286" s="139"/>
      <c r="B286" s="178" t="s">
        <v>305</v>
      </c>
      <c r="C286" s="178"/>
      <c r="D286" s="182"/>
      <c r="E286" s="182"/>
      <c r="F286" s="182"/>
      <c r="G286" s="31">
        <v>35</v>
      </c>
      <c r="H286" s="330"/>
      <c r="I286" s="330"/>
      <c r="J286" s="31">
        <v>30</v>
      </c>
      <c r="K286" s="330"/>
      <c r="L286" s="330"/>
      <c r="M286" s="31">
        <v>40</v>
      </c>
      <c r="N286" s="330"/>
      <c r="O286" s="330"/>
      <c r="P286" s="31">
        <v>30</v>
      </c>
      <c r="Q286" s="331"/>
      <c r="R286" s="331"/>
      <c r="S286" s="31">
        <v>0</v>
      </c>
      <c r="T286" s="331"/>
      <c r="U286" s="331"/>
      <c r="V286" s="31">
        <v>0</v>
      </c>
      <c r="W286" s="331"/>
      <c r="X286" s="331"/>
      <c r="Y286" s="31">
        <v>0</v>
      </c>
      <c r="Z286" s="331"/>
      <c r="AA286" s="331"/>
      <c r="AB286" s="31">
        <v>0</v>
      </c>
      <c r="AC286" s="331"/>
      <c r="AD286" s="331"/>
      <c r="AE286" s="31">
        <v>0</v>
      </c>
      <c r="AF286" s="332"/>
      <c r="AG286" s="139"/>
      <c r="AH286" s="139"/>
      <c r="AI286" s="139"/>
      <c r="AJ286" s="139"/>
    </row>
    <row r="287" spans="1:36" ht="15">
      <c r="A287" s="139"/>
      <c r="B287" s="178" t="s">
        <v>308</v>
      </c>
      <c r="C287" s="178"/>
      <c r="D287" s="182"/>
      <c r="E287" s="182"/>
      <c r="F287" s="182"/>
      <c r="G287" s="41">
        <v>3.5</v>
      </c>
      <c r="H287" s="330"/>
      <c r="I287" s="330"/>
      <c r="J287" s="41">
        <v>4</v>
      </c>
      <c r="K287" s="330"/>
      <c r="L287" s="330"/>
      <c r="M287" s="41">
        <v>2.5</v>
      </c>
      <c r="N287" s="330"/>
      <c r="O287" s="330"/>
      <c r="P287" s="41">
        <v>2.5</v>
      </c>
      <c r="Q287" s="331"/>
      <c r="R287" s="331"/>
      <c r="S287" s="41">
        <v>0</v>
      </c>
      <c r="T287" s="331"/>
      <c r="U287" s="331"/>
      <c r="V287" s="41">
        <v>0</v>
      </c>
      <c r="W287" s="331"/>
      <c r="X287" s="331"/>
      <c r="Y287" s="41">
        <v>0</v>
      </c>
      <c r="Z287" s="331"/>
      <c r="AA287" s="331"/>
      <c r="AB287" s="41">
        <v>0</v>
      </c>
      <c r="AC287" s="331"/>
      <c r="AD287" s="331"/>
      <c r="AE287" s="41">
        <v>0</v>
      </c>
      <c r="AF287" s="332"/>
      <c r="AG287" s="139"/>
      <c r="AH287" s="139"/>
      <c r="AI287" s="139"/>
      <c r="AJ287" s="139"/>
    </row>
    <row r="288" spans="1:36" ht="15.75" thickBot="1">
      <c r="A288" s="139"/>
      <c r="B288" s="293" t="s">
        <v>389</v>
      </c>
      <c r="C288" s="293"/>
      <c r="D288" s="219"/>
      <c r="E288" s="219"/>
      <c r="F288" s="219"/>
      <c r="G288" s="42">
        <v>0</v>
      </c>
      <c r="H288" s="333"/>
      <c r="I288" s="333"/>
      <c r="J288" s="42">
        <v>0</v>
      </c>
      <c r="K288" s="333"/>
      <c r="L288" s="333"/>
      <c r="M288" s="42">
        <v>0</v>
      </c>
      <c r="N288" s="333"/>
      <c r="O288" s="333"/>
      <c r="P288" s="42">
        <v>0</v>
      </c>
      <c r="Q288" s="334"/>
      <c r="R288" s="334"/>
      <c r="S288" s="42">
        <v>0</v>
      </c>
      <c r="T288" s="334"/>
      <c r="U288" s="334"/>
      <c r="V288" s="42">
        <v>0</v>
      </c>
      <c r="W288" s="334"/>
      <c r="X288" s="334"/>
      <c r="Y288" s="42">
        <v>0</v>
      </c>
      <c r="Z288" s="334"/>
      <c r="AA288" s="334"/>
      <c r="AB288" s="42">
        <v>0</v>
      </c>
      <c r="AC288" s="334"/>
      <c r="AD288" s="334"/>
      <c r="AE288" s="42">
        <v>0</v>
      </c>
      <c r="AF288" s="332"/>
      <c r="AG288" s="139"/>
      <c r="AH288" s="139"/>
      <c r="AI288" s="139"/>
      <c r="AJ288" s="139"/>
    </row>
    <row r="289" spans="1:36" ht="15.75" thickTop="1">
      <c r="A289" s="139"/>
      <c r="B289" s="178" t="s">
        <v>309</v>
      </c>
      <c r="C289" s="178"/>
      <c r="D289" s="182"/>
      <c r="E289" s="182"/>
      <c r="F289" s="182"/>
      <c r="G289" s="335">
        <f>G284*G285+G286*G287+G288</f>
        <v>140</v>
      </c>
      <c r="H289" s="218"/>
      <c r="I289" s="218"/>
      <c r="J289" s="335">
        <f>J284*J285+J286*J287+J288</f>
        <v>142.5</v>
      </c>
      <c r="K289" s="218"/>
      <c r="L289" s="218"/>
      <c r="M289" s="335">
        <f>M284*M285+M286*M287+M288</f>
        <v>120</v>
      </c>
      <c r="N289" s="218"/>
      <c r="O289" s="218"/>
      <c r="P289" s="335">
        <f>P284*P285+P286*P287+P288</f>
        <v>82.5</v>
      </c>
      <c r="Q289" s="218"/>
      <c r="R289" s="218"/>
      <c r="S289" s="335">
        <f>S284*S285+S286*S287+S288</f>
        <v>0</v>
      </c>
      <c r="T289" s="218"/>
      <c r="U289" s="218"/>
      <c r="V289" s="335">
        <f>V284*V285+V286*V287+V288</f>
        <v>0</v>
      </c>
      <c r="W289" s="218"/>
      <c r="X289" s="218"/>
      <c r="Y289" s="335">
        <f>Y284*Y285+Y286*Y287+Y288</f>
        <v>0</v>
      </c>
      <c r="Z289" s="218"/>
      <c r="AA289" s="218"/>
      <c r="AB289" s="335">
        <f>AB284*AB285+AB286*AB287+AB288</f>
        <v>0</v>
      </c>
      <c r="AC289" s="218"/>
      <c r="AD289" s="218"/>
      <c r="AE289" s="335">
        <f>AE284*AE285+AE286*AE287+AE288</f>
        <v>0</v>
      </c>
      <c r="AF289" s="336"/>
      <c r="AG289" s="139"/>
      <c r="AH289" s="139"/>
      <c r="AI289" s="139"/>
      <c r="AJ289" s="139"/>
    </row>
    <row r="290" spans="1:36" ht="15">
      <c r="A290" s="139"/>
      <c r="B290" s="178" t="s">
        <v>310</v>
      </c>
      <c r="C290" s="178"/>
      <c r="D290" s="182"/>
      <c r="E290" s="182"/>
      <c r="F290" s="182"/>
      <c r="G290" s="335">
        <f>G286*G287+G288</f>
        <v>122.5</v>
      </c>
      <c r="H290" s="218"/>
      <c r="I290" s="218"/>
      <c r="J290" s="335">
        <f>J286*J287+J288</f>
        <v>120</v>
      </c>
      <c r="K290" s="218"/>
      <c r="L290" s="218"/>
      <c r="M290" s="335">
        <f>M286*M287+M288</f>
        <v>100</v>
      </c>
      <c r="N290" s="218"/>
      <c r="O290" s="218"/>
      <c r="P290" s="335">
        <f>P286*P287+P288</f>
        <v>75</v>
      </c>
      <c r="Q290" s="218"/>
      <c r="R290" s="218"/>
      <c r="S290" s="335">
        <f>S286*S287+S288</f>
        <v>0</v>
      </c>
      <c r="T290" s="218"/>
      <c r="U290" s="218"/>
      <c r="V290" s="335">
        <f>V286*V287+V288</f>
        <v>0</v>
      </c>
      <c r="W290" s="218"/>
      <c r="X290" s="218"/>
      <c r="Y290" s="335">
        <f>Y286*Y287+Y288</f>
        <v>0</v>
      </c>
      <c r="Z290" s="218"/>
      <c r="AA290" s="218"/>
      <c r="AB290" s="335">
        <f>AB286*AB287+AB288</f>
        <v>0</v>
      </c>
      <c r="AC290" s="218"/>
      <c r="AD290" s="218"/>
      <c r="AE290" s="335">
        <f>AE286*AE287+AE288</f>
        <v>0</v>
      </c>
      <c r="AF290" s="336"/>
      <c r="AG290" s="139"/>
      <c r="AH290" s="139"/>
      <c r="AI290" s="139"/>
      <c r="AJ290" s="139"/>
    </row>
    <row r="291" spans="1:36" ht="15">
      <c r="A291" s="139"/>
      <c r="B291" s="178" t="s">
        <v>311</v>
      </c>
      <c r="C291" s="178"/>
      <c r="D291" s="182"/>
      <c r="E291" s="182"/>
      <c r="F291" s="182"/>
      <c r="G291" s="353">
        <v>8</v>
      </c>
      <c r="H291" s="337"/>
      <c r="I291" s="338"/>
      <c r="J291" s="353">
        <v>4</v>
      </c>
      <c r="K291" s="337"/>
      <c r="L291" s="338"/>
      <c r="M291" s="353">
        <v>8</v>
      </c>
      <c r="N291" s="337"/>
      <c r="O291" s="338"/>
      <c r="P291" s="353">
        <v>4</v>
      </c>
      <c r="Q291" s="337"/>
      <c r="R291" s="338"/>
      <c r="S291" s="353">
        <v>4</v>
      </c>
      <c r="T291" s="337"/>
      <c r="U291" s="338"/>
      <c r="V291" s="353">
        <v>0</v>
      </c>
      <c r="W291" s="337"/>
      <c r="X291" s="338"/>
      <c r="Y291" s="353">
        <v>0</v>
      </c>
      <c r="Z291" s="337"/>
      <c r="AA291" s="338"/>
      <c r="AB291" s="353">
        <v>0</v>
      </c>
      <c r="AC291" s="337"/>
      <c r="AD291" s="338"/>
      <c r="AE291" s="353">
        <v>0</v>
      </c>
      <c r="AF291" s="336"/>
      <c r="AG291" s="139"/>
      <c r="AH291" s="139"/>
      <c r="AI291" s="139"/>
      <c r="AJ291" s="139"/>
    </row>
    <row r="292" spans="1:36" ht="15">
      <c r="A292" s="139"/>
      <c r="B292" s="178"/>
      <c r="C292" s="178"/>
      <c r="D292" s="182"/>
      <c r="E292" s="182"/>
      <c r="F292" s="182"/>
      <c r="G292" s="339"/>
      <c r="H292" s="268"/>
      <c r="I292" s="268"/>
      <c r="J292" s="339"/>
      <c r="K292" s="268"/>
      <c r="L292" s="268"/>
      <c r="M292" s="339"/>
      <c r="N292" s="268"/>
      <c r="O292" s="268"/>
      <c r="P292" s="339"/>
      <c r="Q292" s="268"/>
      <c r="R292" s="268"/>
      <c r="S292" s="339"/>
      <c r="T292" s="268"/>
      <c r="U292" s="268"/>
      <c r="V292" s="339"/>
      <c r="W292" s="268"/>
      <c r="X292" s="268"/>
      <c r="Y292" s="339"/>
      <c r="Z292" s="268"/>
      <c r="AA292" s="268"/>
      <c r="AB292" s="339"/>
      <c r="AC292" s="268"/>
      <c r="AD292" s="268"/>
      <c r="AE292" s="339"/>
      <c r="AF292" s="336"/>
      <c r="AG292" s="139"/>
      <c r="AH292" s="139"/>
      <c r="AI292" s="139"/>
      <c r="AJ292" s="139"/>
    </row>
    <row r="293" spans="1:36" ht="15">
      <c r="A293" s="139"/>
      <c r="B293" s="178"/>
      <c r="C293" s="178"/>
      <c r="D293" s="182"/>
      <c r="E293" s="182"/>
      <c r="F293" s="182"/>
      <c r="G293" s="245"/>
      <c r="H293" s="245"/>
      <c r="I293" s="245"/>
      <c r="J293" s="245"/>
      <c r="K293" s="245"/>
      <c r="L293" s="245"/>
      <c r="M293" s="245"/>
      <c r="N293" s="245"/>
      <c r="O293" s="245"/>
      <c r="P293" s="245"/>
      <c r="Q293" s="245"/>
      <c r="R293" s="245"/>
      <c r="S293" s="245"/>
      <c r="T293" s="245"/>
      <c r="U293" s="245"/>
      <c r="V293" s="245"/>
      <c r="W293" s="245"/>
      <c r="X293" s="245"/>
      <c r="Y293" s="245"/>
      <c r="Z293" s="245"/>
      <c r="AA293" s="245"/>
      <c r="AB293" s="245"/>
      <c r="AC293" s="245"/>
      <c r="AD293" s="245"/>
      <c r="AE293" s="245"/>
      <c r="AF293" s="336"/>
      <c r="AG293" s="139"/>
      <c r="AH293" s="139"/>
      <c r="AI293" s="139"/>
      <c r="AJ293" s="139"/>
    </row>
    <row r="294" spans="1:36" ht="25.5">
      <c r="A294" s="151" t="s">
        <v>414</v>
      </c>
      <c r="B294" s="316" t="s">
        <v>466</v>
      </c>
      <c r="C294" s="178"/>
      <c r="D294" s="502" t="s">
        <v>288</v>
      </c>
      <c r="E294" s="182" t="s">
        <v>290</v>
      </c>
      <c r="F294" s="182" t="s">
        <v>289</v>
      </c>
      <c r="G294" s="502" t="s">
        <v>570</v>
      </c>
      <c r="H294" s="182" t="s">
        <v>290</v>
      </c>
      <c r="I294" s="182" t="s">
        <v>289</v>
      </c>
      <c r="J294" s="502" t="s">
        <v>570</v>
      </c>
      <c r="K294" s="182" t="s">
        <v>290</v>
      </c>
      <c r="L294" s="182" t="s">
        <v>289</v>
      </c>
      <c r="M294" s="502" t="s">
        <v>570</v>
      </c>
      <c r="N294" s="182" t="s">
        <v>290</v>
      </c>
      <c r="O294" s="182" t="s">
        <v>289</v>
      </c>
      <c r="P294" s="502" t="s">
        <v>570</v>
      </c>
      <c r="Q294" s="182" t="s">
        <v>290</v>
      </c>
      <c r="R294" s="182" t="s">
        <v>289</v>
      </c>
      <c r="S294" s="502" t="s">
        <v>570</v>
      </c>
      <c r="T294" s="182" t="s">
        <v>290</v>
      </c>
      <c r="U294" s="182" t="s">
        <v>289</v>
      </c>
      <c r="V294" s="502" t="s">
        <v>570</v>
      </c>
      <c r="W294" s="182" t="s">
        <v>290</v>
      </c>
      <c r="X294" s="182" t="s">
        <v>289</v>
      </c>
      <c r="Y294" s="502" t="s">
        <v>570</v>
      </c>
      <c r="Z294" s="182" t="s">
        <v>290</v>
      </c>
      <c r="AA294" s="182" t="s">
        <v>289</v>
      </c>
      <c r="AB294" s="502" t="s">
        <v>570</v>
      </c>
      <c r="AC294" s="182" t="s">
        <v>290</v>
      </c>
      <c r="AD294" s="182" t="s">
        <v>289</v>
      </c>
      <c r="AE294" s="502" t="s">
        <v>570</v>
      </c>
      <c r="AF294" s="336"/>
      <c r="AG294" s="139"/>
      <c r="AH294" s="139"/>
      <c r="AI294" s="139"/>
      <c r="AJ294" s="139"/>
    </row>
    <row r="295" spans="1:36" ht="15">
      <c r="A295" s="139"/>
      <c r="B295" s="483" t="s">
        <v>49</v>
      </c>
      <c r="C295" s="484"/>
      <c r="D295" s="133" t="s">
        <v>526</v>
      </c>
      <c r="E295" s="135">
        <v>4.5</v>
      </c>
      <c r="F295" s="36">
        <v>1</v>
      </c>
      <c r="G295" s="335">
        <f aca="true" t="shared" si="116" ref="G295:G312">E295*F295</f>
        <v>4.5</v>
      </c>
      <c r="H295" s="135">
        <v>5</v>
      </c>
      <c r="I295" s="36">
        <v>1</v>
      </c>
      <c r="J295" s="335">
        <f aca="true" t="shared" si="117" ref="J295:J312">IF(H295=0,$E295*I295,H295*I295)</f>
        <v>5</v>
      </c>
      <c r="K295" s="135">
        <v>4.5</v>
      </c>
      <c r="L295" s="36">
        <v>1</v>
      </c>
      <c r="M295" s="335">
        <f aca="true" t="shared" si="118" ref="M295:M312">IF(K295=0,$E295*L295,K295*L295)</f>
        <v>4.5</v>
      </c>
      <c r="N295" s="135">
        <v>3</v>
      </c>
      <c r="O295" s="36">
        <v>1.04</v>
      </c>
      <c r="P295" s="335">
        <f aca="true" t="shared" si="119" ref="P295:P312">IF(N295=0,$E295*O295,N295*O295)</f>
        <v>3.12</v>
      </c>
      <c r="Q295" s="135"/>
      <c r="R295" s="36"/>
      <c r="S295" s="335">
        <f aca="true" t="shared" si="120" ref="S295:S312">IF(Q295=0,$E295*R295,Q295*R295)</f>
        <v>0</v>
      </c>
      <c r="T295" s="135"/>
      <c r="U295" s="36"/>
      <c r="V295" s="335">
        <f aca="true" t="shared" si="121" ref="V295:V312">IF(T295=0,$E295*U295,T295*U295)</f>
        <v>0</v>
      </c>
      <c r="W295" s="135"/>
      <c r="X295" s="36"/>
      <c r="Y295" s="335">
        <f aca="true" t="shared" si="122" ref="Y295:Y312">IF(W295=0,$E295*X295,W295*X295)</f>
        <v>0</v>
      </c>
      <c r="Z295" s="135"/>
      <c r="AA295" s="36"/>
      <c r="AB295" s="335">
        <f aca="true" t="shared" si="123" ref="AB295:AB312">IF(Z295=0,$E295*AA295,Z295*AA295)</f>
        <v>0</v>
      </c>
      <c r="AC295" s="135"/>
      <c r="AD295" s="36"/>
      <c r="AE295" s="335">
        <f aca="true" t="shared" si="124" ref="AE295:AE312">IF(AC295=0,$E295*AD295,AC295*AD295)</f>
        <v>0</v>
      </c>
      <c r="AF295" s="336"/>
      <c r="AG295" s="139"/>
      <c r="AH295" s="139"/>
      <c r="AI295" s="139"/>
      <c r="AJ295" s="139"/>
    </row>
    <row r="296" spans="1:36" ht="15">
      <c r="A296" s="139"/>
      <c r="B296" s="485" t="s">
        <v>527</v>
      </c>
      <c r="C296" s="486"/>
      <c r="D296" s="134" t="s">
        <v>528</v>
      </c>
      <c r="E296" s="136">
        <v>37</v>
      </c>
      <c r="F296" s="38">
        <v>0.078</v>
      </c>
      <c r="G296" s="335">
        <f t="shared" si="116"/>
        <v>2.886</v>
      </c>
      <c r="H296" s="136">
        <v>37</v>
      </c>
      <c r="I296" s="38">
        <v>0.078</v>
      </c>
      <c r="J296" s="335">
        <f t="shared" si="117"/>
        <v>2.886</v>
      </c>
      <c r="K296" s="136">
        <v>37</v>
      </c>
      <c r="L296" s="38">
        <v>0.078</v>
      </c>
      <c r="M296" s="335">
        <f t="shared" si="118"/>
        <v>2.886</v>
      </c>
      <c r="N296" s="136">
        <v>37</v>
      </c>
      <c r="O296" s="38">
        <v>0.078</v>
      </c>
      <c r="P296" s="335">
        <f t="shared" si="119"/>
        <v>2.886</v>
      </c>
      <c r="Q296" s="136">
        <v>37</v>
      </c>
      <c r="R296" s="38">
        <v>0.094</v>
      </c>
      <c r="S296" s="335">
        <f t="shared" si="120"/>
        <v>3.478</v>
      </c>
      <c r="T296" s="136"/>
      <c r="U296" s="38"/>
      <c r="V296" s="335">
        <f t="shared" si="121"/>
        <v>0</v>
      </c>
      <c r="W296" s="136"/>
      <c r="X296" s="38"/>
      <c r="Y296" s="335">
        <f t="shared" si="122"/>
        <v>0</v>
      </c>
      <c r="Z296" s="136"/>
      <c r="AA296" s="38"/>
      <c r="AB296" s="335">
        <f t="shared" si="123"/>
        <v>0</v>
      </c>
      <c r="AC296" s="136"/>
      <c r="AD296" s="38"/>
      <c r="AE296" s="335">
        <f t="shared" si="124"/>
        <v>0</v>
      </c>
      <c r="AF296" s="336"/>
      <c r="AG296" s="139"/>
      <c r="AH296" s="139"/>
      <c r="AI296" s="139"/>
      <c r="AJ296" s="139"/>
    </row>
    <row r="297" spans="1:36" ht="15">
      <c r="A297" s="139"/>
      <c r="B297" s="485" t="s">
        <v>529</v>
      </c>
      <c r="C297" s="486"/>
      <c r="D297" s="134" t="s">
        <v>528</v>
      </c>
      <c r="E297" s="136">
        <v>18</v>
      </c>
      <c r="F297" s="38">
        <v>0.0625</v>
      </c>
      <c r="G297" s="335">
        <f t="shared" si="116"/>
        <v>1.125</v>
      </c>
      <c r="H297" s="136">
        <v>18</v>
      </c>
      <c r="I297" s="38">
        <v>0.063</v>
      </c>
      <c r="J297" s="335">
        <f t="shared" si="117"/>
        <v>1.134</v>
      </c>
      <c r="K297" s="136">
        <v>18</v>
      </c>
      <c r="L297" s="38">
        <v>0.063</v>
      </c>
      <c r="M297" s="335">
        <f t="shared" si="118"/>
        <v>1.134</v>
      </c>
      <c r="N297" s="136">
        <v>18</v>
      </c>
      <c r="O297" s="38">
        <v>0.063</v>
      </c>
      <c r="P297" s="335">
        <f t="shared" si="119"/>
        <v>1.134</v>
      </c>
      <c r="Q297" s="136">
        <v>18</v>
      </c>
      <c r="R297" s="38">
        <v>0.063</v>
      </c>
      <c r="S297" s="335">
        <f t="shared" si="120"/>
        <v>1.134</v>
      </c>
      <c r="T297" s="136"/>
      <c r="U297" s="38"/>
      <c r="V297" s="335">
        <f t="shared" si="121"/>
        <v>0</v>
      </c>
      <c r="W297" s="136"/>
      <c r="X297" s="38"/>
      <c r="Y297" s="335">
        <f t="shared" si="122"/>
        <v>0</v>
      </c>
      <c r="Z297" s="136"/>
      <c r="AA297" s="38"/>
      <c r="AB297" s="335">
        <f t="shared" si="123"/>
        <v>0</v>
      </c>
      <c r="AC297" s="136"/>
      <c r="AD297" s="38"/>
      <c r="AE297" s="335">
        <f t="shared" si="124"/>
        <v>0</v>
      </c>
      <c r="AF297" s="336"/>
      <c r="AG297" s="139"/>
      <c r="AH297" s="139"/>
      <c r="AI297" s="139"/>
      <c r="AJ297" s="139"/>
    </row>
    <row r="298" spans="1:36" ht="15">
      <c r="A298" s="139"/>
      <c r="B298" s="485" t="s">
        <v>530</v>
      </c>
      <c r="C298" s="486"/>
      <c r="D298" s="134" t="s">
        <v>531</v>
      </c>
      <c r="E298" s="136">
        <v>0.3</v>
      </c>
      <c r="F298" s="38">
        <v>1</v>
      </c>
      <c r="G298" s="335">
        <f t="shared" si="116"/>
        <v>0.3</v>
      </c>
      <c r="H298" s="136">
        <v>0.3</v>
      </c>
      <c r="I298" s="38">
        <v>1</v>
      </c>
      <c r="J298" s="335">
        <f t="shared" si="117"/>
        <v>0.3</v>
      </c>
      <c r="K298" s="136">
        <v>0.3</v>
      </c>
      <c r="L298" s="38">
        <v>1</v>
      </c>
      <c r="M298" s="335">
        <f t="shared" si="118"/>
        <v>0.3</v>
      </c>
      <c r="N298" s="136">
        <v>0.3</v>
      </c>
      <c r="O298" s="38">
        <v>1</v>
      </c>
      <c r="P298" s="335">
        <f t="shared" si="119"/>
        <v>0.3</v>
      </c>
      <c r="Q298" s="136">
        <v>0.3</v>
      </c>
      <c r="R298" s="38">
        <v>1</v>
      </c>
      <c r="S298" s="335">
        <f t="shared" si="120"/>
        <v>0.3</v>
      </c>
      <c r="T298" s="136"/>
      <c r="U298" s="38"/>
      <c r="V298" s="335">
        <f t="shared" si="121"/>
        <v>0</v>
      </c>
      <c r="W298" s="136"/>
      <c r="X298" s="38"/>
      <c r="Y298" s="335">
        <f t="shared" si="122"/>
        <v>0</v>
      </c>
      <c r="Z298" s="136"/>
      <c r="AA298" s="38"/>
      <c r="AB298" s="335">
        <f t="shared" si="123"/>
        <v>0</v>
      </c>
      <c r="AC298" s="136"/>
      <c r="AD298" s="38"/>
      <c r="AE298" s="335">
        <f t="shared" si="124"/>
        <v>0</v>
      </c>
      <c r="AF298" s="336"/>
      <c r="AG298" s="139"/>
      <c r="AH298" s="139"/>
      <c r="AI298" s="139"/>
      <c r="AJ298" s="139"/>
    </row>
    <row r="299" spans="1:36" ht="15">
      <c r="A299" s="139"/>
      <c r="B299" s="485" t="s">
        <v>532</v>
      </c>
      <c r="C299" s="486"/>
      <c r="D299" s="134" t="s">
        <v>528</v>
      </c>
      <c r="E299" s="136">
        <v>18</v>
      </c>
      <c r="F299" s="38">
        <v>0.03125</v>
      </c>
      <c r="G299" s="335">
        <f t="shared" si="116"/>
        <v>0.5625</v>
      </c>
      <c r="H299" s="136">
        <v>18</v>
      </c>
      <c r="I299" s="38">
        <v>0.0859375</v>
      </c>
      <c r="J299" s="335">
        <f t="shared" si="117"/>
        <v>1.546875</v>
      </c>
      <c r="K299" s="136">
        <v>18</v>
      </c>
      <c r="L299" s="38">
        <v>0.03125</v>
      </c>
      <c r="M299" s="335">
        <f t="shared" si="118"/>
        <v>0.5625</v>
      </c>
      <c r="N299" s="136"/>
      <c r="O299" s="38"/>
      <c r="P299" s="335">
        <f t="shared" si="119"/>
        <v>0</v>
      </c>
      <c r="Q299" s="136"/>
      <c r="R299" s="38"/>
      <c r="S299" s="335">
        <f t="shared" si="120"/>
        <v>0</v>
      </c>
      <c r="T299" s="136"/>
      <c r="U299" s="38"/>
      <c r="V299" s="335">
        <f t="shared" si="121"/>
        <v>0</v>
      </c>
      <c r="W299" s="136"/>
      <c r="X299" s="38"/>
      <c r="Y299" s="335">
        <f t="shared" si="122"/>
        <v>0</v>
      </c>
      <c r="Z299" s="136"/>
      <c r="AA299" s="38"/>
      <c r="AB299" s="335">
        <f t="shared" si="123"/>
        <v>0</v>
      </c>
      <c r="AC299" s="136"/>
      <c r="AD299" s="38"/>
      <c r="AE299" s="335">
        <f t="shared" si="124"/>
        <v>0</v>
      </c>
      <c r="AF299" s="336"/>
      <c r="AG299" s="139"/>
      <c r="AH299" s="139"/>
      <c r="AI299" s="139"/>
      <c r="AJ299" s="139"/>
    </row>
    <row r="300" spans="1:36" ht="15">
      <c r="A300" s="139"/>
      <c r="B300" s="485" t="s">
        <v>533</v>
      </c>
      <c r="C300" s="486"/>
      <c r="D300" s="134" t="s">
        <v>528</v>
      </c>
      <c r="E300" s="136"/>
      <c r="F300" s="38"/>
      <c r="G300" s="335">
        <f t="shared" si="116"/>
        <v>0</v>
      </c>
      <c r="H300" s="136"/>
      <c r="I300" s="38"/>
      <c r="J300" s="335">
        <f t="shared" si="117"/>
        <v>0</v>
      </c>
      <c r="K300" s="136"/>
      <c r="L300" s="38"/>
      <c r="M300" s="335">
        <f t="shared" si="118"/>
        <v>0</v>
      </c>
      <c r="N300" s="136">
        <v>12.5</v>
      </c>
      <c r="O300" s="38">
        <v>0.09375</v>
      </c>
      <c r="P300" s="335">
        <f t="shared" si="119"/>
        <v>1.171875</v>
      </c>
      <c r="Q300" s="136"/>
      <c r="R300" s="38"/>
      <c r="S300" s="335">
        <f t="shared" si="120"/>
        <v>0</v>
      </c>
      <c r="T300" s="136"/>
      <c r="U300" s="38"/>
      <c r="V300" s="335">
        <f t="shared" si="121"/>
        <v>0</v>
      </c>
      <c r="W300" s="136"/>
      <c r="X300" s="38"/>
      <c r="Y300" s="335">
        <f t="shared" si="122"/>
        <v>0</v>
      </c>
      <c r="Z300" s="136"/>
      <c r="AA300" s="38"/>
      <c r="AB300" s="335">
        <f t="shared" si="123"/>
        <v>0</v>
      </c>
      <c r="AC300" s="136"/>
      <c r="AD300" s="38"/>
      <c r="AE300" s="335">
        <f t="shared" si="124"/>
        <v>0</v>
      </c>
      <c r="AF300" s="336"/>
      <c r="AG300" s="139"/>
      <c r="AH300" s="139"/>
      <c r="AI300" s="139"/>
      <c r="AJ300" s="139"/>
    </row>
    <row r="301" spans="1:36" ht="15">
      <c r="A301" s="139"/>
      <c r="B301" s="485" t="s">
        <v>534</v>
      </c>
      <c r="C301" s="486"/>
      <c r="D301" s="134" t="s">
        <v>531</v>
      </c>
      <c r="E301" s="136">
        <v>0.3</v>
      </c>
      <c r="F301" s="38">
        <v>1</v>
      </c>
      <c r="G301" s="335">
        <f t="shared" si="116"/>
        <v>0.3</v>
      </c>
      <c r="H301" s="136"/>
      <c r="I301" s="38"/>
      <c r="J301" s="335">
        <f t="shared" si="117"/>
        <v>0</v>
      </c>
      <c r="K301" s="136">
        <v>0.3</v>
      </c>
      <c r="L301" s="38">
        <v>1</v>
      </c>
      <c r="M301" s="335">
        <f t="shared" si="118"/>
        <v>0.3</v>
      </c>
      <c r="N301" s="136"/>
      <c r="O301" s="38"/>
      <c r="P301" s="335">
        <f t="shared" si="119"/>
        <v>0</v>
      </c>
      <c r="Q301" s="136"/>
      <c r="R301" s="38"/>
      <c r="S301" s="335">
        <f t="shared" si="120"/>
        <v>0</v>
      </c>
      <c r="T301" s="136"/>
      <c r="U301" s="38"/>
      <c r="V301" s="335">
        <f t="shared" si="121"/>
        <v>0</v>
      </c>
      <c r="W301" s="136"/>
      <c r="X301" s="38"/>
      <c r="Y301" s="335">
        <f t="shared" si="122"/>
        <v>0</v>
      </c>
      <c r="Z301" s="136"/>
      <c r="AA301" s="38"/>
      <c r="AB301" s="335">
        <f t="shared" si="123"/>
        <v>0</v>
      </c>
      <c r="AC301" s="136"/>
      <c r="AD301" s="38"/>
      <c r="AE301" s="335">
        <f t="shared" si="124"/>
        <v>0</v>
      </c>
      <c r="AF301" s="336"/>
      <c r="AG301" s="139"/>
      <c r="AH301" s="139"/>
      <c r="AI301" s="139"/>
      <c r="AJ301" s="139"/>
    </row>
    <row r="302" spans="1:36" ht="15">
      <c r="A302" s="139"/>
      <c r="B302" s="485" t="s">
        <v>535</v>
      </c>
      <c r="C302" s="486"/>
      <c r="D302" s="134" t="s">
        <v>536</v>
      </c>
      <c r="E302" s="136">
        <v>220</v>
      </c>
      <c r="F302" s="38">
        <v>0.025</v>
      </c>
      <c r="G302" s="335">
        <f t="shared" si="116"/>
        <v>5.5</v>
      </c>
      <c r="H302" s="136">
        <v>220</v>
      </c>
      <c r="I302" s="38">
        <v>0.02</v>
      </c>
      <c r="J302" s="335">
        <f t="shared" si="117"/>
        <v>4.4</v>
      </c>
      <c r="K302" s="136">
        <v>220</v>
      </c>
      <c r="L302" s="38">
        <v>0.035</v>
      </c>
      <c r="M302" s="335">
        <f t="shared" si="118"/>
        <v>7.700000000000001</v>
      </c>
      <c r="N302" s="136">
        <v>220</v>
      </c>
      <c r="O302" s="38">
        <v>0.03</v>
      </c>
      <c r="P302" s="335">
        <f t="shared" si="119"/>
        <v>6.6</v>
      </c>
      <c r="Q302" s="136"/>
      <c r="R302" s="38"/>
      <c r="S302" s="335">
        <f t="shared" si="120"/>
        <v>0</v>
      </c>
      <c r="T302" s="136"/>
      <c r="U302" s="38"/>
      <c r="V302" s="335">
        <f t="shared" si="121"/>
        <v>0</v>
      </c>
      <c r="W302" s="136"/>
      <c r="X302" s="38"/>
      <c r="Y302" s="335">
        <f t="shared" si="122"/>
        <v>0</v>
      </c>
      <c r="Z302" s="136"/>
      <c r="AA302" s="38"/>
      <c r="AB302" s="335">
        <f t="shared" si="123"/>
        <v>0</v>
      </c>
      <c r="AC302" s="136"/>
      <c r="AD302" s="38"/>
      <c r="AE302" s="335">
        <f t="shared" si="124"/>
        <v>0</v>
      </c>
      <c r="AF302" s="336"/>
      <c r="AG302" s="139"/>
      <c r="AH302" s="139"/>
      <c r="AI302" s="139"/>
      <c r="AJ302" s="139"/>
    </row>
    <row r="303" spans="1:36" ht="15">
      <c r="A303" s="139"/>
      <c r="B303" s="485" t="s">
        <v>537</v>
      </c>
      <c r="C303" s="486"/>
      <c r="D303" s="134" t="s">
        <v>536</v>
      </c>
      <c r="E303" s="136">
        <v>200</v>
      </c>
      <c r="F303" s="38">
        <v>0.035</v>
      </c>
      <c r="G303" s="335">
        <f t="shared" si="116"/>
        <v>7.000000000000001</v>
      </c>
      <c r="H303" s="136">
        <v>200</v>
      </c>
      <c r="I303" s="38">
        <v>0.055</v>
      </c>
      <c r="J303" s="335">
        <f t="shared" si="117"/>
        <v>11</v>
      </c>
      <c r="K303" s="136">
        <v>200</v>
      </c>
      <c r="L303" s="38">
        <v>0.045</v>
      </c>
      <c r="M303" s="335">
        <f t="shared" si="118"/>
        <v>9</v>
      </c>
      <c r="N303" s="136">
        <v>200</v>
      </c>
      <c r="O303" s="38">
        <v>0.025</v>
      </c>
      <c r="P303" s="335">
        <f t="shared" si="119"/>
        <v>5</v>
      </c>
      <c r="Q303" s="136"/>
      <c r="R303" s="38"/>
      <c r="S303" s="335">
        <f t="shared" si="120"/>
        <v>0</v>
      </c>
      <c r="T303" s="136"/>
      <c r="U303" s="38"/>
      <c r="V303" s="335">
        <f t="shared" si="121"/>
        <v>0</v>
      </c>
      <c r="W303" s="136"/>
      <c r="X303" s="38"/>
      <c r="Y303" s="335">
        <f t="shared" si="122"/>
        <v>0</v>
      </c>
      <c r="Z303" s="136"/>
      <c r="AA303" s="38"/>
      <c r="AB303" s="335">
        <f t="shared" si="123"/>
        <v>0</v>
      </c>
      <c r="AC303" s="136"/>
      <c r="AD303" s="38"/>
      <c r="AE303" s="335">
        <f t="shared" si="124"/>
        <v>0</v>
      </c>
      <c r="AF303" s="336"/>
      <c r="AG303" s="139"/>
      <c r="AH303" s="139"/>
      <c r="AI303" s="139"/>
      <c r="AJ303" s="139"/>
    </row>
    <row r="304" spans="1:36" ht="15">
      <c r="A304" s="139"/>
      <c r="B304" s="485" t="s">
        <v>538</v>
      </c>
      <c r="C304" s="486"/>
      <c r="D304" s="134" t="s">
        <v>528</v>
      </c>
      <c r="E304" s="136"/>
      <c r="F304" s="38"/>
      <c r="G304" s="335">
        <f t="shared" si="116"/>
        <v>0</v>
      </c>
      <c r="H304" s="136">
        <v>36</v>
      </c>
      <c r="I304" s="38">
        <v>0.039</v>
      </c>
      <c r="J304" s="335">
        <f t="shared" si="117"/>
        <v>1.404</v>
      </c>
      <c r="K304" s="136"/>
      <c r="L304" s="38"/>
      <c r="M304" s="335">
        <f t="shared" si="118"/>
        <v>0</v>
      </c>
      <c r="N304" s="136"/>
      <c r="O304" s="38"/>
      <c r="P304" s="335">
        <f t="shared" si="119"/>
        <v>0</v>
      </c>
      <c r="Q304" s="136"/>
      <c r="R304" s="38"/>
      <c r="S304" s="335">
        <f t="shared" si="120"/>
        <v>0</v>
      </c>
      <c r="T304" s="136"/>
      <c r="U304" s="38"/>
      <c r="V304" s="335">
        <f t="shared" si="121"/>
        <v>0</v>
      </c>
      <c r="W304" s="136"/>
      <c r="X304" s="38"/>
      <c r="Y304" s="335">
        <f t="shared" si="122"/>
        <v>0</v>
      </c>
      <c r="Z304" s="136"/>
      <c r="AA304" s="38"/>
      <c r="AB304" s="335">
        <f t="shared" si="123"/>
        <v>0</v>
      </c>
      <c r="AC304" s="136"/>
      <c r="AD304" s="38"/>
      <c r="AE304" s="335">
        <f t="shared" si="124"/>
        <v>0</v>
      </c>
      <c r="AF304" s="336"/>
      <c r="AG304" s="139"/>
      <c r="AH304" s="139"/>
      <c r="AI304" s="139"/>
      <c r="AJ304" s="139"/>
    </row>
    <row r="305" spans="1:36" ht="15">
      <c r="A305" s="139"/>
      <c r="B305" s="485" t="s">
        <v>50</v>
      </c>
      <c r="C305" s="486"/>
      <c r="D305" s="134"/>
      <c r="E305" s="136"/>
      <c r="F305" s="38"/>
      <c r="G305" s="335">
        <f t="shared" si="116"/>
        <v>0</v>
      </c>
      <c r="H305" s="136"/>
      <c r="I305" s="38"/>
      <c r="J305" s="335">
        <f t="shared" si="117"/>
        <v>0</v>
      </c>
      <c r="K305" s="136"/>
      <c r="L305" s="38"/>
      <c r="M305" s="335">
        <f t="shared" si="118"/>
        <v>0</v>
      </c>
      <c r="N305" s="136"/>
      <c r="O305" s="38"/>
      <c r="P305" s="335">
        <f t="shared" si="119"/>
        <v>0</v>
      </c>
      <c r="Q305" s="136"/>
      <c r="R305" s="38"/>
      <c r="S305" s="335">
        <f t="shared" si="120"/>
        <v>0</v>
      </c>
      <c r="T305" s="136"/>
      <c r="U305" s="38"/>
      <c r="V305" s="335">
        <f t="shared" si="121"/>
        <v>0</v>
      </c>
      <c r="W305" s="136"/>
      <c r="X305" s="38"/>
      <c r="Y305" s="335">
        <f t="shared" si="122"/>
        <v>0</v>
      </c>
      <c r="Z305" s="136"/>
      <c r="AA305" s="38"/>
      <c r="AB305" s="335">
        <f t="shared" si="123"/>
        <v>0</v>
      </c>
      <c r="AC305" s="136"/>
      <c r="AD305" s="38"/>
      <c r="AE305" s="335">
        <f t="shared" si="124"/>
        <v>0</v>
      </c>
      <c r="AF305" s="336"/>
      <c r="AG305" s="139"/>
      <c r="AH305" s="139"/>
      <c r="AI305" s="139"/>
      <c r="AJ305" s="139"/>
    </row>
    <row r="306" spans="1:36" ht="15">
      <c r="A306" s="139"/>
      <c r="B306" s="485" t="s">
        <v>51</v>
      </c>
      <c r="C306" s="486"/>
      <c r="D306" s="134"/>
      <c r="E306" s="136"/>
      <c r="F306" s="38"/>
      <c r="G306" s="335">
        <f t="shared" si="116"/>
        <v>0</v>
      </c>
      <c r="H306" s="136"/>
      <c r="I306" s="38"/>
      <c r="J306" s="335">
        <f t="shared" si="117"/>
        <v>0</v>
      </c>
      <c r="K306" s="136"/>
      <c r="L306" s="38"/>
      <c r="M306" s="335">
        <f t="shared" si="118"/>
        <v>0</v>
      </c>
      <c r="N306" s="136"/>
      <c r="O306" s="38"/>
      <c r="P306" s="335">
        <f t="shared" si="119"/>
        <v>0</v>
      </c>
      <c r="Q306" s="136"/>
      <c r="R306" s="38"/>
      <c r="S306" s="335">
        <f t="shared" si="120"/>
        <v>0</v>
      </c>
      <c r="T306" s="136"/>
      <c r="U306" s="38"/>
      <c r="V306" s="335">
        <f t="shared" si="121"/>
        <v>0</v>
      </c>
      <c r="W306" s="136"/>
      <c r="X306" s="38"/>
      <c r="Y306" s="335">
        <f t="shared" si="122"/>
        <v>0</v>
      </c>
      <c r="Z306" s="136"/>
      <c r="AA306" s="38"/>
      <c r="AB306" s="335">
        <f t="shared" si="123"/>
        <v>0</v>
      </c>
      <c r="AC306" s="136"/>
      <c r="AD306" s="38"/>
      <c r="AE306" s="335">
        <f t="shared" si="124"/>
        <v>0</v>
      </c>
      <c r="AF306" s="336"/>
      <c r="AG306" s="139"/>
      <c r="AH306" s="139"/>
      <c r="AI306" s="139"/>
      <c r="AJ306" s="139"/>
    </row>
    <row r="307" spans="1:36" ht="15">
      <c r="A307" s="139"/>
      <c r="B307" s="485" t="s">
        <v>52</v>
      </c>
      <c r="C307" s="486"/>
      <c r="D307" s="134"/>
      <c r="E307" s="136"/>
      <c r="F307" s="38"/>
      <c r="G307" s="335">
        <f t="shared" si="116"/>
        <v>0</v>
      </c>
      <c r="H307" s="136"/>
      <c r="I307" s="38"/>
      <c r="J307" s="335">
        <f t="shared" si="117"/>
        <v>0</v>
      </c>
      <c r="K307" s="136"/>
      <c r="L307" s="38"/>
      <c r="M307" s="335">
        <f t="shared" si="118"/>
        <v>0</v>
      </c>
      <c r="N307" s="136"/>
      <c r="O307" s="38"/>
      <c r="P307" s="335">
        <f t="shared" si="119"/>
        <v>0</v>
      </c>
      <c r="Q307" s="136"/>
      <c r="R307" s="38"/>
      <c r="S307" s="335">
        <f t="shared" si="120"/>
        <v>0</v>
      </c>
      <c r="T307" s="136"/>
      <c r="U307" s="38"/>
      <c r="V307" s="335">
        <f t="shared" si="121"/>
        <v>0</v>
      </c>
      <c r="W307" s="136"/>
      <c r="X307" s="38"/>
      <c r="Y307" s="335">
        <f t="shared" si="122"/>
        <v>0</v>
      </c>
      <c r="Z307" s="136"/>
      <c r="AA307" s="38"/>
      <c r="AB307" s="335">
        <f t="shared" si="123"/>
        <v>0</v>
      </c>
      <c r="AC307" s="136"/>
      <c r="AD307" s="38"/>
      <c r="AE307" s="335">
        <f t="shared" si="124"/>
        <v>0</v>
      </c>
      <c r="AF307" s="336"/>
      <c r="AG307" s="139"/>
      <c r="AH307" s="139"/>
      <c r="AI307" s="139"/>
      <c r="AJ307" s="139"/>
    </row>
    <row r="308" spans="1:36" ht="15">
      <c r="A308" s="139"/>
      <c r="B308" s="485" t="s">
        <v>539</v>
      </c>
      <c r="C308" s="486"/>
      <c r="D308" s="134"/>
      <c r="E308" s="136"/>
      <c r="F308" s="38"/>
      <c r="G308" s="335">
        <f t="shared" si="116"/>
        <v>0</v>
      </c>
      <c r="H308" s="136"/>
      <c r="I308" s="38"/>
      <c r="J308" s="335">
        <f t="shared" si="117"/>
        <v>0</v>
      </c>
      <c r="K308" s="136"/>
      <c r="L308" s="38"/>
      <c r="M308" s="335">
        <f t="shared" si="118"/>
        <v>0</v>
      </c>
      <c r="N308" s="136"/>
      <c r="O308" s="38"/>
      <c r="P308" s="335">
        <f t="shared" si="119"/>
        <v>0</v>
      </c>
      <c r="Q308" s="136"/>
      <c r="R308" s="38"/>
      <c r="S308" s="335">
        <f t="shared" si="120"/>
        <v>0</v>
      </c>
      <c r="T308" s="136"/>
      <c r="U308" s="38"/>
      <c r="V308" s="335">
        <f t="shared" si="121"/>
        <v>0</v>
      </c>
      <c r="W308" s="136"/>
      <c r="X308" s="38"/>
      <c r="Y308" s="335">
        <f t="shared" si="122"/>
        <v>0</v>
      </c>
      <c r="Z308" s="136"/>
      <c r="AA308" s="38"/>
      <c r="AB308" s="335">
        <f t="shared" si="123"/>
        <v>0</v>
      </c>
      <c r="AC308" s="136"/>
      <c r="AD308" s="38"/>
      <c r="AE308" s="335">
        <f t="shared" si="124"/>
        <v>0</v>
      </c>
      <c r="AF308" s="336"/>
      <c r="AG308" s="139"/>
      <c r="AH308" s="139"/>
      <c r="AI308" s="139"/>
      <c r="AJ308" s="139"/>
    </row>
    <row r="309" spans="1:36" ht="15">
      <c r="A309" s="139"/>
      <c r="B309" s="485" t="s">
        <v>53</v>
      </c>
      <c r="C309" s="486"/>
      <c r="D309" s="134" t="s">
        <v>531</v>
      </c>
      <c r="E309" s="136">
        <v>8.05</v>
      </c>
      <c r="F309" s="38">
        <v>1</v>
      </c>
      <c r="G309" s="335">
        <f t="shared" si="116"/>
        <v>8.05</v>
      </c>
      <c r="H309" s="136">
        <v>8.05</v>
      </c>
      <c r="I309" s="38">
        <v>1</v>
      </c>
      <c r="J309" s="335">
        <f t="shared" si="117"/>
        <v>8.05</v>
      </c>
      <c r="K309" s="136">
        <v>9.4</v>
      </c>
      <c r="L309" s="38">
        <v>1</v>
      </c>
      <c r="M309" s="335">
        <f t="shared" si="118"/>
        <v>9.4</v>
      </c>
      <c r="N309" s="136">
        <v>6</v>
      </c>
      <c r="O309" s="38">
        <v>1</v>
      </c>
      <c r="P309" s="335">
        <f t="shared" si="119"/>
        <v>6</v>
      </c>
      <c r="Q309" s="136"/>
      <c r="R309" s="38"/>
      <c r="S309" s="335">
        <f t="shared" si="120"/>
        <v>0</v>
      </c>
      <c r="T309" s="136"/>
      <c r="U309" s="38"/>
      <c r="V309" s="335">
        <f t="shared" si="121"/>
        <v>0</v>
      </c>
      <c r="W309" s="136"/>
      <c r="X309" s="38"/>
      <c r="Y309" s="335">
        <f t="shared" si="122"/>
        <v>0</v>
      </c>
      <c r="Z309" s="136"/>
      <c r="AA309" s="38"/>
      <c r="AB309" s="335">
        <f t="shared" si="123"/>
        <v>0</v>
      </c>
      <c r="AC309" s="136"/>
      <c r="AD309" s="38"/>
      <c r="AE309" s="335">
        <f t="shared" si="124"/>
        <v>0</v>
      </c>
      <c r="AF309" s="336"/>
      <c r="AG309" s="139"/>
      <c r="AH309" s="139"/>
      <c r="AI309" s="139"/>
      <c r="AJ309" s="139"/>
    </row>
    <row r="310" spans="1:36" ht="15">
      <c r="A310" s="139"/>
      <c r="B310" s="485" t="s">
        <v>540</v>
      </c>
      <c r="C310" s="486"/>
      <c r="D310" s="134" t="s">
        <v>531</v>
      </c>
      <c r="E310" s="136">
        <v>2</v>
      </c>
      <c r="F310" s="38">
        <v>1</v>
      </c>
      <c r="G310" s="335">
        <f t="shared" si="116"/>
        <v>2</v>
      </c>
      <c r="H310" s="136"/>
      <c r="I310" s="38"/>
      <c r="J310" s="335">
        <f t="shared" si="117"/>
        <v>0</v>
      </c>
      <c r="K310" s="136">
        <v>2</v>
      </c>
      <c r="L310" s="38">
        <v>1</v>
      </c>
      <c r="M310" s="335">
        <f t="shared" si="118"/>
        <v>2</v>
      </c>
      <c r="N310" s="136"/>
      <c r="O310" s="38"/>
      <c r="P310" s="335">
        <f t="shared" si="119"/>
        <v>0</v>
      </c>
      <c r="Q310" s="136"/>
      <c r="R310" s="38"/>
      <c r="S310" s="335">
        <f t="shared" si="120"/>
        <v>0</v>
      </c>
      <c r="T310" s="136"/>
      <c r="U310" s="38"/>
      <c r="V310" s="335">
        <f t="shared" si="121"/>
        <v>0</v>
      </c>
      <c r="W310" s="136"/>
      <c r="X310" s="38"/>
      <c r="Y310" s="335">
        <f t="shared" si="122"/>
        <v>0</v>
      </c>
      <c r="Z310" s="136"/>
      <c r="AA310" s="38"/>
      <c r="AB310" s="335">
        <f t="shared" si="123"/>
        <v>0</v>
      </c>
      <c r="AC310" s="136"/>
      <c r="AD310" s="38"/>
      <c r="AE310" s="335">
        <f t="shared" si="124"/>
        <v>0</v>
      </c>
      <c r="AF310" s="336"/>
      <c r="AG310" s="139"/>
      <c r="AH310" s="139"/>
      <c r="AI310" s="139"/>
      <c r="AJ310" s="139"/>
    </row>
    <row r="311" spans="1:36" ht="15">
      <c r="A311" s="139"/>
      <c r="B311" s="485" t="s">
        <v>54</v>
      </c>
      <c r="C311" s="486"/>
      <c r="D311" s="489"/>
      <c r="E311" s="136"/>
      <c r="F311" s="38"/>
      <c r="G311" s="335">
        <f t="shared" si="116"/>
        <v>0</v>
      </c>
      <c r="H311" s="136"/>
      <c r="I311" s="38"/>
      <c r="J311" s="335">
        <f t="shared" si="117"/>
        <v>0</v>
      </c>
      <c r="K311" s="136"/>
      <c r="L311" s="38"/>
      <c r="M311" s="335">
        <f t="shared" si="118"/>
        <v>0</v>
      </c>
      <c r="N311" s="136"/>
      <c r="O311" s="38"/>
      <c r="P311" s="335">
        <f t="shared" si="119"/>
        <v>0</v>
      </c>
      <c r="Q311" s="136"/>
      <c r="R311" s="38"/>
      <c r="S311" s="335">
        <f t="shared" si="120"/>
        <v>0</v>
      </c>
      <c r="T311" s="136"/>
      <c r="U311" s="38"/>
      <c r="V311" s="335">
        <f t="shared" si="121"/>
        <v>0</v>
      </c>
      <c r="W311" s="136"/>
      <c r="X311" s="38"/>
      <c r="Y311" s="335">
        <f t="shared" si="122"/>
        <v>0</v>
      </c>
      <c r="Z311" s="136"/>
      <c r="AA311" s="38"/>
      <c r="AB311" s="335">
        <f t="shared" si="123"/>
        <v>0</v>
      </c>
      <c r="AC311" s="136"/>
      <c r="AD311" s="38"/>
      <c r="AE311" s="335">
        <f t="shared" si="124"/>
        <v>0</v>
      </c>
      <c r="AF311" s="336"/>
      <c r="AG311" s="139"/>
      <c r="AH311" s="139"/>
      <c r="AI311" s="139"/>
      <c r="AJ311" s="139"/>
    </row>
    <row r="312" spans="1:36" ht="15">
      <c r="A312" s="139"/>
      <c r="B312" s="487" t="s">
        <v>55</v>
      </c>
      <c r="C312" s="488"/>
      <c r="D312" s="490"/>
      <c r="E312" s="137"/>
      <c r="F312" s="40"/>
      <c r="G312" s="335">
        <f t="shared" si="116"/>
        <v>0</v>
      </c>
      <c r="H312" s="137"/>
      <c r="I312" s="40"/>
      <c r="J312" s="335">
        <f t="shared" si="117"/>
        <v>0</v>
      </c>
      <c r="K312" s="137"/>
      <c r="L312" s="40"/>
      <c r="M312" s="335">
        <f t="shared" si="118"/>
        <v>0</v>
      </c>
      <c r="N312" s="137"/>
      <c r="O312" s="40"/>
      <c r="P312" s="335">
        <f t="shared" si="119"/>
        <v>0</v>
      </c>
      <c r="Q312" s="137"/>
      <c r="R312" s="40"/>
      <c r="S312" s="335">
        <f t="shared" si="120"/>
        <v>0</v>
      </c>
      <c r="T312" s="137"/>
      <c r="U312" s="40"/>
      <c r="V312" s="335">
        <f t="shared" si="121"/>
        <v>0</v>
      </c>
      <c r="W312" s="137"/>
      <c r="X312" s="40"/>
      <c r="Y312" s="335">
        <f t="shared" si="122"/>
        <v>0</v>
      </c>
      <c r="Z312" s="137"/>
      <c r="AA312" s="40"/>
      <c r="AB312" s="335">
        <f t="shared" si="123"/>
        <v>0</v>
      </c>
      <c r="AC312" s="137"/>
      <c r="AD312" s="40"/>
      <c r="AE312" s="335">
        <f t="shared" si="124"/>
        <v>0</v>
      </c>
      <c r="AF312" s="336"/>
      <c r="AG312" s="139"/>
      <c r="AH312" s="139"/>
      <c r="AI312" s="139"/>
      <c r="AJ312" s="139"/>
    </row>
    <row r="313" spans="1:36" ht="15">
      <c r="A313" s="139"/>
      <c r="B313" s="153" t="s">
        <v>291</v>
      </c>
      <c r="C313" s="178"/>
      <c r="D313" s="309"/>
      <c r="E313" s="340"/>
      <c r="F313" s="340"/>
      <c r="G313" s="335">
        <f>E275</f>
        <v>24.184474802740468</v>
      </c>
      <c r="H313" s="340"/>
      <c r="I313" s="340"/>
      <c r="J313" s="335">
        <f>F275</f>
        <v>20.05724747337539</v>
      </c>
      <c r="K313" s="340"/>
      <c r="L313" s="340"/>
      <c r="M313" s="335">
        <f>G275</f>
        <v>19.145246826549993</v>
      </c>
      <c r="N313" s="340"/>
      <c r="O313" s="340"/>
      <c r="P313" s="335">
        <f>H275</f>
        <v>21.09472222337539</v>
      </c>
      <c r="Q313" s="340"/>
      <c r="R313" s="340"/>
      <c r="S313" s="335">
        <f>I275</f>
        <v>8.427892170329669</v>
      </c>
      <c r="T313" s="340"/>
      <c r="U313" s="340"/>
      <c r="V313" s="335">
        <f>J275</f>
        <v>0</v>
      </c>
      <c r="W313" s="341"/>
      <c r="X313" s="342"/>
      <c r="Y313" s="335">
        <f>K275</f>
        <v>0</v>
      </c>
      <c r="Z313" s="340"/>
      <c r="AA313" s="340"/>
      <c r="AB313" s="335">
        <f>L275</f>
        <v>0</v>
      </c>
      <c r="AC313" s="340"/>
      <c r="AD313" s="340"/>
      <c r="AE313" s="335">
        <f>M275</f>
        <v>0</v>
      </c>
      <c r="AF313" s="336"/>
      <c r="AG313" s="139"/>
      <c r="AH313" s="139"/>
      <c r="AI313" s="139"/>
      <c r="AJ313" s="139"/>
    </row>
    <row r="314" spans="1:36" ht="15.75" thickBot="1">
      <c r="A314" s="139"/>
      <c r="B314" s="540" t="s">
        <v>292</v>
      </c>
      <c r="C314" s="235"/>
      <c r="D314" s="541"/>
      <c r="E314" s="542"/>
      <c r="F314" s="542"/>
      <c r="G314" s="543">
        <f>SUM(G295:G313)*$E$165/12*G291</f>
        <v>3.384478488164428</v>
      </c>
      <c r="H314" s="225"/>
      <c r="I314" s="225"/>
      <c r="J314" s="543">
        <f>SUM(J295:J313)*$E$165/12*J291</f>
        <v>1.6733436742012617</v>
      </c>
      <c r="K314" s="225"/>
      <c r="L314" s="225"/>
      <c r="M314" s="543">
        <f>SUM(M295:M313)*$E$165/12*M291</f>
        <v>3.415664809593</v>
      </c>
      <c r="N314" s="225"/>
      <c r="O314" s="225"/>
      <c r="P314" s="543">
        <f>SUM(P295:P313)*$E$165/12*P291</f>
        <v>1.4191979167012618</v>
      </c>
      <c r="Q314" s="225"/>
      <c r="R314" s="225"/>
      <c r="S314" s="543">
        <f>SUM(S295:S313)*$E$165/12*S291</f>
        <v>0.40019676510989005</v>
      </c>
      <c r="T314" s="225"/>
      <c r="U314" s="225"/>
      <c r="V314" s="543">
        <f>SUM(V295:V313)*$E$165/12*V291</f>
        <v>0</v>
      </c>
      <c r="W314" s="225"/>
      <c r="X314" s="225"/>
      <c r="Y314" s="543">
        <f>SUM(Y295:Y313)*$E$165/12*Y291</f>
        <v>0</v>
      </c>
      <c r="Z314" s="225"/>
      <c r="AA314" s="225"/>
      <c r="AB314" s="543">
        <f>SUM(AB295:AB313)*$E$165/12*AB291</f>
        <v>0</v>
      </c>
      <c r="AC314" s="225"/>
      <c r="AD314" s="225"/>
      <c r="AE314" s="543">
        <f>SUM(AE295:AE313)*$E$165/12*AE291</f>
        <v>0</v>
      </c>
      <c r="AF314" s="336"/>
      <c r="AG314" s="139"/>
      <c r="AH314" s="139"/>
      <c r="AI314" s="139"/>
      <c r="AJ314" s="139"/>
    </row>
    <row r="315" spans="1:36" ht="15">
      <c r="A315" s="139"/>
      <c r="B315" s="178" t="s">
        <v>293</v>
      </c>
      <c r="C315" s="178"/>
      <c r="D315" s="309"/>
      <c r="E315" s="340"/>
      <c r="F315" s="340"/>
      <c r="G315" s="335">
        <f>SUM(G295:G312)+G313+G314</f>
        <v>59.792453290904895</v>
      </c>
      <c r="H315" s="340"/>
      <c r="I315" s="340"/>
      <c r="J315" s="335">
        <f>SUM(J295:J312)+J313+J314</f>
        <v>57.45146614757665</v>
      </c>
      <c r="K315" s="340"/>
      <c r="L315" s="340"/>
      <c r="M315" s="335">
        <f>SUM(M295:M312)+M313+M314</f>
        <v>60.34341163614299</v>
      </c>
      <c r="N315" s="340"/>
      <c r="O315" s="340"/>
      <c r="P315" s="335">
        <f>SUM(P295:P312)+P313+P314</f>
        <v>48.725795140076656</v>
      </c>
      <c r="Q315" s="340"/>
      <c r="R315" s="340"/>
      <c r="S315" s="335">
        <f>SUM(S295:S312)+S313+S314</f>
        <v>13.740088935439559</v>
      </c>
      <c r="T315" s="340"/>
      <c r="U315" s="340"/>
      <c r="V315" s="335">
        <f>SUM(V295:V312)+V313+V314</f>
        <v>0</v>
      </c>
      <c r="W315" s="340"/>
      <c r="X315" s="340"/>
      <c r="Y315" s="335">
        <f>SUM(Y295:Y312)+Y313+Y314</f>
        <v>0</v>
      </c>
      <c r="Z315" s="340"/>
      <c r="AA315" s="340"/>
      <c r="AB315" s="335">
        <f>SUM(AB295:AB312)+AB313+AB314</f>
        <v>0</v>
      </c>
      <c r="AC315" s="340"/>
      <c r="AD315" s="340"/>
      <c r="AE315" s="335">
        <f>SUM(AE295:AE312)+AE313+AE314</f>
        <v>0</v>
      </c>
      <c r="AF315" s="336"/>
      <c r="AG315" s="139"/>
      <c r="AH315" s="139"/>
      <c r="AI315" s="139"/>
      <c r="AJ315" s="139"/>
    </row>
    <row r="316" spans="1:36" ht="15">
      <c r="A316" s="139"/>
      <c r="B316" s="178"/>
      <c r="C316" s="178"/>
      <c r="D316" s="182"/>
      <c r="E316" s="182"/>
      <c r="F316" s="182"/>
      <c r="G316" s="182"/>
      <c r="H316" s="182"/>
      <c r="I316" s="182"/>
      <c r="J316" s="182"/>
      <c r="K316" s="182"/>
      <c r="L316" s="182"/>
      <c r="M316" s="182"/>
      <c r="N316" s="182"/>
      <c r="O316" s="182"/>
      <c r="P316" s="291"/>
      <c r="Q316" s="182"/>
      <c r="R316" s="182"/>
      <c r="S316" s="182"/>
      <c r="T316" s="182"/>
      <c r="U316" s="182"/>
      <c r="V316" s="291"/>
      <c r="W316" s="182"/>
      <c r="X316" s="182"/>
      <c r="Y316" s="291"/>
      <c r="Z316" s="182"/>
      <c r="AA316" s="182"/>
      <c r="AB316" s="291"/>
      <c r="AC316" s="182"/>
      <c r="AD316" s="182"/>
      <c r="AE316" s="291"/>
      <c r="AF316" s="336"/>
      <c r="AG316" s="139"/>
      <c r="AH316" s="139"/>
      <c r="AI316" s="139"/>
      <c r="AJ316" s="139"/>
    </row>
    <row r="317" spans="1:36" ht="15">
      <c r="A317" s="139"/>
      <c r="B317" s="203" t="s">
        <v>294</v>
      </c>
      <c r="C317" s="178"/>
      <c r="D317" s="182"/>
      <c r="E317" s="182"/>
      <c r="F317" s="182"/>
      <c r="G317" s="182"/>
      <c r="H317" s="182"/>
      <c r="I317" s="182"/>
      <c r="J317" s="182"/>
      <c r="K317" s="182"/>
      <c r="L317" s="182"/>
      <c r="M317" s="182"/>
      <c r="N317" s="182"/>
      <c r="O317" s="182"/>
      <c r="P317" s="182"/>
      <c r="Q317" s="182"/>
      <c r="R317" s="182"/>
      <c r="S317" s="182"/>
      <c r="T317" s="182"/>
      <c r="U317" s="182"/>
      <c r="V317" s="182"/>
      <c r="W317" s="182"/>
      <c r="X317" s="182"/>
      <c r="Y317" s="182"/>
      <c r="Z317" s="182"/>
      <c r="AA317" s="182"/>
      <c r="AB317" s="182"/>
      <c r="AC317" s="182"/>
      <c r="AD317" s="182"/>
      <c r="AE317" s="182"/>
      <c r="AF317" s="336"/>
      <c r="AG317" s="139"/>
      <c r="AH317" s="139"/>
      <c r="AI317" s="139"/>
      <c r="AJ317" s="139"/>
    </row>
    <row r="318" spans="1:36" ht="15">
      <c r="A318" s="139"/>
      <c r="B318" s="178" t="s">
        <v>298</v>
      </c>
      <c r="C318" s="178"/>
      <c r="D318" s="182"/>
      <c r="E318" s="182"/>
      <c r="F318" s="182"/>
      <c r="G318" s="33">
        <v>2</v>
      </c>
      <c r="H318" s="331"/>
      <c r="I318" s="331"/>
      <c r="J318" s="33">
        <v>2</v>
      </c>
      <c r="K318" s="331"/>
      <c r="L318" s="331"/>
      <c r="M318" s="33">
        <v>2</v>
      </c>
      <c r="N318" s="331"/>
      <c r="O318" s="331"/>
      <c r="P318" s="33">
        <v>2</v>
      </c>
      <c r="Q318" s="331"/>
      <c r="R318" s="331"/>
      <c r="S318" s="33">
        <v>2</v>
      </c>
      <c r="T318" s="331"/>
      <c r="U318" s="331"/>
      <c r="V318" s="33">
        <v>0</v>
      </c>
      <c r="W318" s="331"/>
      <c r="X318" s="331"/>
      <c r="Y318" s="33">
        <v>0</v>
      </c>
      <c r="Z318" s="331"/>
      <c r="AA318" s="331"/>
      <c r="AB318" s="33">
        <v>0</v>
      </c>
      <c r="AC318" s="331"/>
      <c r="AD318" s="331"/>
      <c r="AE318" s="33">
        <v>0</v>
      </c>
      <c r="AF318" s="336"/>
      <c r="AG318" s="139"/>
      <c r="AH318" s="139"/>
      <c r="AI318" s="139"/>
      <c r="AJ318" s="139"/>
    </row>
    <row r="319" spans="1:36" ht="15">
      <c r="A319" s="139"/>
      <c r="B319" s="178" t="s">
        <v>295</v>
      </c>
      <c r="C319" s="178"/>
      <c r="D319" s="182"/>
      <c r="E319" s="182"/>
      <c r="F319" s="182"/>
      <c r="G319" s="34">
        <v>0.25</v>
      </c>
      <c r="H319" s="331"/>
      <c r="I319" s="331"/>
      <c r="J319" s="34">
        <v>0.25</v>
      </c>
      <c r="K319" s="331"/>
      <c r="L319" s="331"/>
      <c r="M319" s="34">
        <v>0.25</v>
      </c>
      <c r="N319" s="331"/>
      <c r="O319" s="331"/>
      <c r="P319" s="34">
        <v>0.25</v>
      </c>
      <c r="Q319" s="331"/>
      <c r="R319" s="331"/>
      <c r="S319" s="34">
        <v>0.25</v>
      </c>
      <c r="T319" s="331"/>
      <c r="U319" s="331"/>
      <c r="V319" s="34">
        <v>0</v>
      </c>
      <c r="W319" s="331"/>
      <c r="X319" s="331"/>
      <c r="Y319" s="34">
        <v>0</v>
      </c>
      <c r="Z319" s="331"/>
      <c r="AA319" s="331"/>
      <c r="AB319" s="34">
        <v>0</v>
      </c>
      <c r="AC319" s="331"/>
      <c r="AD319" s="331"/>
      <c r="AE319" s="34">
        <v>0</v>
      </c>
      <c r="AF319" s="336"/>
      <c r="AG319" s="139"/>
      <c r="AH319" s="139"/>
      <c r="AI319" s="139"/>
      <c r="AJ319" s="139"/>
    </row>
    <row r="320" spans="1:36" ht="15">
      <c r="A320" s="139"/>
      <c r="B320" s="178" t="s">
        <v>296</v>
      </c>
      <c r="C320" s="178"/>
      <c r="D320" s="182"/>
      <c r="E320" s="182"/>
      <c r="F320" s="182"/>
      <c r="G320" s="34">
        <v>0</v>
      </c>
      <c r="H320" s="331"/>
      <c r="I320" s="331"/>
      <c r="J320" s="34">
        <v>0</v>
      </c>
      <c r="K320" s="331"/>
      <c r="L320" s="331"/>
      <c r="M320" s="34">
        <v>0</v>
      </c>
      <c r="N320" s="331"/>
      <c r="O320" s="331"/>
      <c r="P320" s="34">
        <v>0</v>
      </c>
      <c r="Q320" s="331"/>
      <c r="R320" s="331"/>
      <c r="S320" s="34">
        <v>0</v>
      </c>
      <c r="T320" s="331"/>
      <c r="U320" s="331"/>
      <c r="V320" s="34">
        <v>0</v>
      </c>
      <c r="W320" s="331"/>
      <c r="X320" s="331"/>
      <c r="Y320" s="34">
        <v>0</v>
      </c>
      <c r="Z320" s="331"/>
      <c r="AA320" s="331"/>
      <c r="AB320" s="34">
        <v>0</v>
      </c>
      <c r="AC320" s="331"/>
      <c r="AD320" s="331"/>
      <c r="AE320" s="34">
        <v>0</v>
      </c>
      <c r="AF320" s="336"/>
      <c r="AG320" s="139"/>
      <c r="AH320" s="139"/>
      <c r="AI320" s="139"/>
      <c r="AJ320" s="139"/>
    </row>
    <row r="321" spans="1:36" ht="15">
      <c r="A321" s="139"/>
      <c r="B321" s="178" t="s">
        <v>297</v>
      </c>
      <c r="C321" s="178"/>
      <c r="D321" s="182"/>
      <c r="E321" s="182"/>
      <c r="F321" s="182"/>
      <c r="G321" s="34">
        <v>0</v>
      </c>
      <c r="H321" s="331"/>
      <c r="I321" s="331"/>
      <c r="J321" s="34">
        <v>0</v>
      </c>
      <c r="K321" s="331"/>
      <c r="L321" s="331"/>
      <c r="M321" s="34">
        <v>0</v>
      </c>
      <c r="N321" s="331"/>
      <c r="O321" s="331"/>
      <c r="P321" s="34">
        <v>0</v>
      </c>
      <c r="Q321" s="331"/>
      <c r="R321" s="331"/>
      <c r="S321" s="34">
        <v>0</v>
      </c>
      <c r="T321" s="331"/>
      <c r="U321" s="331"/>
      <c r="V321" s="34">
        <v>0</v>
      </c>
      <c r="W321" s="331"/>
      <c r="X321" s="331"/>
      <c r="Y321" s="34">
        <v>0</v>
      </c>
      <c r="Z321" s="331"/>
      <c r="AA321" s="331"/>
      <c r="AB321" s="34">
        <v>0</v>
      </c>
      <c r="AC321" s="331"/>
      <c r="AD321" s="331"/>
      <c r="AE321" s="34">
        <v>0</v>
      </c>
      <c r="AF321" s="336"/>
      <c r="AG321" s="139"/>
      <c r="AH321" s="139"/>
      <c r="AI321" s="139"/>
      <c r="AJ321" s="139"/>
    </row>
    <row r="322" spans="1:36" ht="15">
      <c r="A322" s="139"/>
      <c r="B322" s="178" t="s">
        <v>299</v>
      </c>
      <c r="C322" s="178"/>
      <c r="D322" s="182"/>
      <c r="E322" s="182"/>
      <c r="F322" s="182"/>
      <c r="G322" s="35">
        <v>340</v>
      </c>
      <c r="H322" s="331"/>
      <c r="I322" s="331"/>
      <c r="J322" s="35">
        <v>340</v>
      </c>
      <c r="K322" s="331"/>
      <c r="L322" s="331"/>
      <c r="M322" s="35">
        <v>340</v>
      </c>
      <c r="N322" s="331"/>
      <c r="O322" s="331"/>
      <c r="P322" s="35">
        <v>340</v>
      </c>
      <c r="Q322" s="331"/>
      <c r="R322" s="331"/>
      <c r="S322" s="35">
        <v>340</v>
      </c>
      <c r="T322" s="331"/>
      <c r="U322" s="331"/>
      <c r="V322" s="35">
        <v>0</v>
      </c>
      <c r="W322" s="331"/>
      <c r="X322" s="331"/>
      <c r="Y322" s="35">
        <v>0</v>
      </c>
      <c r="Z322" s="331"/>
      <c r="AA322" s="331"/>
      <c r="AB322" s="35">
        <v>0</v>
      </c>
      <c r="AC322" s="331"/>
      <c r="AD322" s="331"/>
      <c r="AE322" s="35">
        <v>0</v>
      </c>
      <c r="AF322" s="336"/>
      <c r="AG322" s="139"/>
      <c r="AH322" s="139"/>
      <c r="AI322" s="139"/>
      <c r="AJ322" s="139"/>
    </row>
    <row r="323" spans="1:36" ht="15">
      <c r="A323" s="139"/>
      <c r="B323" s="178" t="s">
        <v>300</v>
      </c>
      <c r="C323" s="178"/>
      <c r="D323" s="182"/>
      <c r="E323" s="182"/>
      <c r="F323" s="182"/>
      <c r="G323" s="536">
        <f>P275</f>
        <v>26.2628891759826</v>
      </c>
      <c r="H323" s="536"/>
      <c r="I323" s="536"/>
      <c r="J323" s="536">
        <f>Q275</f>
        <v>21.79818481090324</v>
      </c>
      <c r="K323" s="536"/>
      <c r="L323" s="536"/>
      <c r="M323" s="536">
        <f>R275</f>
        <v>24.04971953312546</v>
      </c>
      <c r="N323" s="536"/>
      <c r="O323" s="536"/>
      <c r="P323" s="536">
        <f>S275</f>
        <v>22.418747310903242</v>
      </c>
      <c r="Q323" s="536"/>
      <c r="R323" s="536"/>
      <c r="S323" s="536">
        <f>T275</f>
        <v>7.193434753190654</v>
      </c>
      <c r="T323" s="536"/>
      <c r="U323" s="536"/>
      <c r="V323" s="536">
        <f>U275</f>
        <v>0</v>
      </c>
      <c r="W323" s="536"/>
      <c r="X323" s="536"/>
      <c r="Y323" s="536">
        <f>V275</f>
        <v>0</v>
      </c>
      <c r="Z323" s="536"/>
      <c r="AA323" s="536"/>
      <c r="AB323" s="536">
        <f>W275</f>
        <v>0</v>
      </c>
      <c r="AC323" s="536"/>
      <c r="AD323" s="536"/>
      <c r="AE323" s="536">
        <f>X275</f>
        <v>0</v>
      </c>
      <c r="AF323" s="336"/>
      <c r="AG323" s="139"/>
      <c r="AH323" s="139"/>
      <c r="AI323" s="139"/>
      <c r="AJ323" s="139"/>
    </row>
    <row r="324" spans="1:36" ht="15.75" thickBot="1">
      <c r="A324" s="139"/>
      <c r="B324" s="293" t="s">
        <v>465</v>
      </c>
      <c r="C324" s="293"/>
      <c r="D324" s="219"/>
      <c r="E324" s="219"/>
      <c r="F324" s="219"/>
      <c r="G324" s="544">
        <f>((G318+G319+G321)*IF(E165&gt;1,E165/100/12,E165/12)*G291)+(IF(E164&gt;0.5,E164/100,E164)*G322)</f>
        <v>17.135</v>
      </c>
      <c r="H324" s="544"/>
      <c r="I324" s="544"/>
      <c r="J324" s="544">
        <f>((J318+J319+J321)*IF(E165&gt;1,E165/100/12,E165/12)*J291)+(IF(E164&gt;0.5,E164/100,E164)*J322)</f>
        <v>17.0675</v>
      </c>
      <c r="K324" s="544"/>
      <c r="L324" s="544"/>
      <c r="M324" s="544">
        <f>((M318+M319+M321)*IF(E165&gt;1,E165/100/12,E165/12)*M291)+(IF(E164&gt;0.5,E164/100,E164)*M322)</f>
        <v>17.135</v>
      </c>
      <c r="N324" s="544"/>
      <c r="O324" s="544"/>
      <c r="P324" s="544">
        <f>((P318+P319+P321)*IF(E165&gt;1,E165/100/12,E165/12)*P291)+(IF(E164&gt;0.5,E164/100,E164)*P322)</f>
        <v>17.0675</v>
      </c>
      <c r="Q324" s="544"/>
      <c r="R324" s="544"/>
      <c r="S324" s="544">
        <f>((S318+S319+S321)*IF(E165&gt;1,E165/100/12,E165/12)*S291)+(IF(E164&gt;0.5,E164/100,E164)*S322)</f>
        <v>17.0675</v>
      </c>
      <c r="T324" s="544"/>
      <c r="U324" s="544"/>
      <c r="V324" s="544">
        <f>((V318+V319+V321)*IF(E165&gt;1,E165/100/12,E165/12)*V291)+(IF(E164&gt;0.5,E164/100,E164)*V322)</f>
        <v>0</v>
      </c>
      <c r="W324" s="544"/>
      <c r="X324" s="544"/>
      <c r="Y324" s="544">
        <f>((Y318+Y319+Y321)*IF(E165&gt;1,E165/100/12,E165/12)*Y291)+(IF(E164&gt;0.5,E164/100,E164)*Y322)</f>
        <v>0</v>
      </c>
      <c r="Z324" s="544"/>
      <c r="AA324" s="544"/>
      <c r="AB324" s="544">
        <f>((AB318+AB319+AB321)*IF(E165&gt;1,E165/100/12,E165/12)*AB291)+(IF(E164&gt;0.5,E164/100,E164)*AB322)</f>
        <v>0</v>
      </c>
      <c r="AC324" s="544"/>
      <c r="AD324" s="544"/>
      <c r="AE324" s="544">
        <f>((AE318+AE319+AE321)*IF(E165&gt;1,E165/100/12,E165/12)*AE291)+(IF(E164&gt;0.5,E164/100,E164)*AE322)</f>
        <v>0</v>
      </c>
      <c r="AF324" s="336"/>
      <c r="AG324" s="139"/>
      <c r="AH324" s="139"/>
      <c r="AI324" s="139"/>
      <c r="AJ324" s="139"/>
    </row>
    <row r="325" spans="1:36" ht="15.75" thickTop="1">
      <c r="A325" s="139"/>
      <c r="B325" s="178" t="s">
        <v>301</v>
      </c>
      <c r="C325" s="178"/>
      <c r="D325" s="182"/>
      <c r="E325" s="182"/>
      <c r="F325" s="182"/>
      <c r="G325" s="335">
        <f>SUM(G318:G321)+G323+G324</f>
        <v>45.6478891759826</v>
      </c>
      <c r="H325" s="218"/>
      <c r="I325" s="218"/>
      <c r="J325" s="335">
        <f>SUM(J318:J321)+J323+J324</f>
        <v>41.11568481090324</v>
      </c>
      <c r="K325" s="218"/>
      <c r="L325" s="218"/>
      <c r="M325" s="335">
        <f>SUM(M318:M321)+M323+M324</f>
        <v>43.43471953312546</v>
      </c>
      <c r="N325" s="218"/>
      <c r="O325" s="218"/>
      <c r="P325" s="335">
        <f>SUM(P318:P321)+P323+P324</f>
        <v>41.73624731090324</v>
      </c>
      <c r="Q325" s="218"/>
      <c r="R325" s="218"/>
      <c r="S325" s="335">
        <f>SUM(S318:S321)+S323+S324</f>
        <v>26.510934753190654</v>
      </c>
      <c r="T325" s="218"/>
      <c r="U325" s="218"/>
      <c r="V325" s="335">
        <f>SUM(V318:V321)+V323+V324</f>
        <v>0</v>
      </c>
      <c r="W325" s="218"/>
      <c r="X325" s="218"/>
      <c r="Y325" s="335">
        <f>SUM(Y318:Y321)+Y323+Y324</f>
        <v>0</v>
      </c>
      <c r="Z325" s="218"/>
      <c r="AA325" s="218"/>
      <c r="AB325" s="335">
        <f>SUM(AB318:AB321)+AB323+AB324</f>
        <v>0</v>
      </c>
      <c r="AC325" s="218"/>
      <c r="AD325" s="218"/>
      <c r="AE325" s="335">
        <f>SUM(AE318:AE321)+AE323+AE324</f>
        <v>0</v>
      </c>
      <c r="AF325" s="336"/>
      <c r="AG325" s="139"/>
      <c r="AH325" s="139"/>
      <c r="AI325" s="139"/>
      <c r="AJ325" s="139"/>
    </row>
    <row r="326" spans="1:36" ht="15">
      <c r="A326" s="139"/>
      <c r="B326" s="178" t="s">
        <v>302</v>
      </c>
      <c r="C326" s="178"/>
      <c r="D326" s="182"/>
      <c r="E326" s="182"/>
      <c r="F326" s="182"/>
      <c r="G326" s="335">
        <f>G315+G325</f>
        <v>105.4403424668875</v>
      </c>
      <c r="H326" s="218"/>
      <c r="I326" s="218"/>
      <c r="J326" s="335">
        <f>J315+J325</f>
        <v>98.56715095847989</v>
      </c>
      <c r="K326" s="218"/>
      <c r="L326" s="218"/>
      <c r="M326" s="335">
        <f>M315+M325</f>
        <v>103.77813116926845</v>
      </c>
      <c r="N326" s="218"/>
      <c r="O326" s="218"/>
      <c r="P326" s="335">
        <f>P315+P325</f>
        <v>90.4620424509799</v>
      </c>
      <c r="Q326" s="218"/>
      <c r="R326" s="218"/>
      <c r="S326" s="335">
        <f>S315+S325</f>
        <v>40.25102368863021</v>
      </c>
      <c r="T326" s="218"/>
      <c r="U326" s="218"/>
      <c r="V326" s="335">
        <f>V315+V325</f>
        <v>0</v>
      </c>
      <c r="W326" s="218"/>
      <c r="X326" s="218"/>
      <c r="Y326" s="335">
        <f>Y315+Y325</f>
        <v>0</v>
      </c>
      <c r="Z326" s="218"/>
      <c r="AA326" s="218"/>
      <c r="AB326" s="335">
        <f>AB315+AB325</f>
        <v>0</v>
      </c>
      <c r="AC326" s="218"/>
      <c r="AD326" s="218"/>
      <c r="AE326" s="335">
        <f>AE315+AE325</f>
        <v>0</v>
      </c>
      <c r="AF326" s="336"/>
      <c r="AG326" s="139"/>
      <c r="AH326" s="139"/>
      <c r="AI326" s="139"/>
      <c r="AJ326" s="139"/>
    </row>
    <row r="327" spans="1:36" ht="15">
      <c r="A327" s="139"/>
      <c r="B327" s="178"/>
      <c r="C327" s="178"/>
      <c r="D327" s="182"/>
      <c r="E327" s="182"/>
      <c r="F327" s="182"/>
      <c r="G327" s="218"/>
      <c r="H327" s="218"/>
      <c r="I327" s="218"/>
      <c r="J327" s="218"/>
      <c r="K327" s="218"/>
      <c r="L327" s="218"/>
      <c r="M327" s="218"/>
      <c r="N327" s="218"/>
      <c r="O327" s="218"/>
      <c r="P327" s="218"/>
      <c r="Q327" s="218"/>
      <c r="R327" s="218"/>
      <c r="S327" s="218"/>
      <c r="T327" s="218"/>
      <c r="U327" s="218"/>
      <c r="V327" s="218"/>
      <c r="W327" s="218"/>
      <c r="X327" s="218"/>
      <c r="Y327" s="218"/>
      <c r="Z327" s="218"/>
      <c r="AA327" s="218"/>
      <c r="AB327" s="218"/>
      <c r="AC327" s="218"/>
      <c r="AD327" s="218"/>
      <c r="AE327" s="218"/>
      <c r="AF327" s="336"/>
      <c r="AG327" s="139"/>
      <c r="AH327" s="139"/>
      <c r="AI327" s="139"/>
      <c r="AJ327" s="139"/>
    </row>
    <row r="328" spans="1:36" ht="15">
      <c r="A328" s="343" t="s">
        <v>462</v>
      </c>
      <c r="B328" s="178" t="s">
        <v>463</v>
      </c>
      <c r="C328" s="178"/>
      <c r="D328" s="182"/>
      <c r="E328" s="182"/>
      <c r="F328" s="182"/>
      <c r="G328" s="335">
        <f>G289-G315</f>
        <v>80.20754670909511</v>
      </c>
      <c r="H328" s="218"/>
      <c r="I328" s="218"/>
      <c r="J328" s="335">
        <f>J289-J315</f>
        <v>85.04853385242335</v>
      </c>
      <c r="K328" s="218"/>
      <c r="L328" s="218"/>
      <c r="M328" s="335">
        <f>M289-M315</f>
        <v>59.65658836385701</v>
      </c>
      <c r="N328" s="218"/>
      <c r="O328" s="218"/>
      <c r="P328" s="335">
        <f>P289-P315</f>
        <v>33.774204859923344</v>
      </c>
      <c r="Q328" s="218"/>
      <c r="R328" s="218"/>
      <c r="S328" s="335">
        <f>S289-S315</f>
        <v>-13.740088935439559</v>
      </c>
      <c r="T328" s="218"/>
      <c r="U328" s="218"/>
      <c r="V328" s="335">
        <f>V289-V315</f>
        <v>0</v>
      </c>
      <c r="W328" s="218"/>
      <c r="X328" s="218"/>
      <c r="Y328" s="335">
        <f>Y289-Y315</f>
        <v>0</v>
      </c>
      <c r="Z328" s="218"/>
      <c r="AA328" s="218"/>
      <c r="AB328" s="335">
        <f>AB289-AB315</f>
        <v>0</v>
      </c>
      <c r="AC328" s="218"/>
      <c r="AD328" s="218"/>
      <c r="AE328" s="335">
        <f>AE289-AE315</f>
        <v>0</v>
      </c>
      <c r="AF328" s="336"/>
      <c r="AG328" s="139"/>
      <c r="AH328" s="139"/>
      <c r="AI328" s="139"/>
      <c r="AJ328" s="139"/>
    </row>
    <row r="329" spans="1:36" ht="15">
      <c r="A329" s="343" t="s">
        <v>462</v>
      </c>
      <c r="B329" s="178" t="s">
        <v>460</v>
      </c>
      <c r="C329" s="178"/>
      <c r="D329" s="182"/>
      <c r="E329" s="182"/>
      <c r="F329" s="182"/>
      <c r="G329" s="335">
        <f>G289-G326</f>
        <v>34.5596575331125</v>
      </c>
      <c r="H329" s="218"/>
      <c r="I329" s="218"/>
      <c r="J329" s="335">
        <f>J289-J326</f>
        <v>43.932849041520114</v>
      </c>
      <c r="K329" s="218"/>
      <c r="L329" s="218"/>
      <c r="M329" s="335">
        <f>M289-M326</f>
        <v>16.22186883073155</v>
      </c>
      <c r="N329" s="218"/>
      <c r="O329" s="218"/>
      <c r="P329" s="335">
        <f>P289-P326</f>
        <v>-7.962042450979894</v>
      </c>
      <c r="Q329" s="218"/>
      <c r="R329" s="218"/>
      <c r="S329" s="335">
        <f>S289-S326</f>
        <v>-40.25102368863021</v>
      </c>
      <c r="T329" s="218"/>
      <c r="U329" s="218"/>
      <c r="V329" s="335">
        <f>V289-V326</f>
        <v>0</v>
      </c>
      <c r="W329" s="218"/>
      <c r="X329" s="218"/>
      <c r="Y329" s="335">
        <f>Y289-Y326</f>
        <v>0</v>
      </c>
      <c r="Z329" s="218"/>
      <c r="AA329" s="218"/>
      <c r="AB329" s="335">
        <f>AB289-AB326</f>
        <v>0</v>
      </c>
      <c r="AC329" s="218"/>
      <c r="AD329" s="218"/>
      <c r="AE329" s="335">
        <f>AE289-AE326</f>
        <v>0</v>
      </c>
      <c r="AF329" s="336"/>
      <c r="AG329" s="139"/>
      <c r="AH329" s="139"/>
      <c r="AI329" s="139"/>
      <c r="AJ329" s="139"/>
    </row>
    <row r="330" spans="1:36" ht="9" customHeight="1">
      <c r="A330" s="139"/>
      <c r="B330" s="178"/>
      <c r="C330" s="178"/>
      <c r="D330" s="182"/>
      <c r="E330" s="182"/>
      <c r="F330" s="182"/>
      <c r="G330" s="335"/>
      <c r="H330" s="218"/>
      <c r="I330" s="335"/>
      <c r="J330" s="335"/>
      <c r="K330" s="218"/>
      <c r="L330" s="335"/>
      <c r="M330" s="335"/>
      <c r="N330" s="218"/>
      <c r="O330" s="335"/>
      <c r="P330" s="335"/>
      <c r="Q330" s="218"/>
      <c r="R330" s="335"/>
      <c r="S330" s="335"/>
      <c r="T330" s="218"/>
      <c r="U330" s="335"/>
      <c r="V330" s="218"/>
      <c r="W330" s="218"/>
      <c r="X330" s="335"/>
      <c r="Y330" s="218"/>
      <c r="Z330" s="218"/>
      <c r="AA330" s="335"/>
      <c r="AB330" s="218"/>
      <c r="AC330" s="218"/>
      <c r="AD330" s="335"/>
      <c r="AE330" s="218"/>
      <c r="AF330" s="336"/>
      <c r="AG330" s="139"/>
      <c r="AH330" s="139"/>
      <c r="AI330" s="139"/>
      <c r="AJ330" s="139"/>
    </row>
    <row r="331" spans="1:36" ht="15">
      <c r="A331" s="139"/>
      <c r="B331" s="178" t="s">
        <v>464</v>
      </c>
      <c r="C331" s="178"/>
      <c r="D331" s="182"/>
      <c r="E331" s="182"/>
      <c r="F331" s="182"/>
      <c r="G331" s="335">
        <f>G290-G315</f>
        <v>62.707546709095105</v>
      </c>
      <c r="H331" s="218"/>
      <c r="I331" s="218"/>
      <c r="J331" s="335">
        <f>J290-J315</f>
        <v>62.54853385242335</v>
      </c>
      <c r="K331" s="218"/>
      <c r="L331" s="218"/>
      <c r="M331" s="335">
        <f>M290-M315</f>
        <v>39.65658836385701</v>
      </c>
      <c r="N331" s="218"/>
      <c r="O331" s="218"/>
      <c r="P331" s="335">
        <f>P290-P315</f>
        <v>26.274204859923344</v>
      </c>
      <c r="Q331" s="335"/>
      <c r="R331" s="218"/>
      <c r="S331" s="335">
        <f>S290-S315</f>
        <v>-13.740088935439559</v>
      </c>
      <c r="T331" s="218"/>
      <c r="U331" s="218"/>
      <c r="V331" s="335">
        <f>V290-V315</f>
        <v>0</v>
      </c>
      <c r="W331" s="218"/>
      <c r="X331" s="218"/>
      <c r="Y331" s="335">
        <f>Y290-Y315</f>
        <v>0</v>
      </c>
      <c r="Z331" s="218"/>
      <c r="AA331" s="218"/>
      <c r="AB331" s="335">
        <f>AB290-AB315</f>
        <v>0</v>
      </c>
      <c r="AC331" s="218"/>
      <c r="AD331" s="218"/>
      <c r="AE331" s="335">
        <f>AE290-AE315</f>
        <v>0</v>
      </c>
      <c r="AF331" s="336"/>
      <c r="AG331" s="139"/>
      <c r="AH331" s="139"/>
      <c r="AI331" s="139"/>
      <c r="AJ331" s="139"/>
    </row>
    <row r="332" spans="1:36" ht="15">
      <c r="A332" s="139"/>
      <c r="B332" s="178" t="s">
        <v>461</v>
      </c>
      <c r="C332" s="178"/>
      <c r="D332" s="182"/>
      <c r="E332" s="182"/>
      <c r="F332" s="182"/>
      <c r="G332" s="335">
        <f>G290-G326</f>
        <v>17.0596575331125</v>
      </c>
      <c r="H332" s="218"/>
      <c r="I332" s="218"/>
      <c r="J332" s="335">
        <f>J290-J326</f>
        <v>21.432849041520114</v>
      </c>
      <c r="K332" s="218"/>
      <c r="L332" s="218"/>
      <c r="M332" s="335">
        <f>M290-M326</f>
        <v>-3.7781311692684483</v>
      </c>
      <c r="N332" s="218"/>
      <c r="O332" s="218"/>
      <c r="P332" s="335">
        <f>P290-P326</f>
        <v>-15.462042450979894</v>
      </c>
      <c r="Q332" s="335"/>
      <c r="R332" s="218"/>
      <c r="S332" s="335">
        <f>S290-S326</f>
        <v>-40.25102368863021</v>
      </c>
      <c r="T332" s="218"/>
      <c r="U332" s="218"/>
      <c r="V332" s="335">
        <f>V290-V326</f>
        <v>0</v>
      </c>
      <c r="W332" s="218"/>
      <c r="X332" s="218"/>
      <c r="Y332" s="335">
        <f>Y290-Y326</f>
        <v>0</v>
      </c>
      <c r="Z332" s="218"/>
      <c r="AA332" s="218"/>
      <c r="AB332" s="335">
        <f>AB290-AB326</f>
        <v>0</v>
      </c>
      <c r="AC332" s="218"/>
      <c r="AD332" s="218"/>
      <c r="AE332" s="335">
        <f>AE290-AE326</f>
        <v>0</v>
      </c>
      <c r="AF332" s="336"/>
      <c r="AG332" s="139"/>
      <c r="AH332" s="139"/>
      <c r="AI332" s="139"/>
      <c r="AJ332" s="139"/>
    </row>
    <row r="333" spans="1:36" ht="7.5" customHeight="1">
      <c r="A333" s="139"/>
      <c r="B333" s="178"/>
      <c r="C333" s="178"/>
      <c r="D333" s="182"/>
      <c r="E333" s="182"/>
      <c r="F333" s="182"/>
      <c r="G333" s="218"/>
      <c r="H333" s="218"/>
      <c r="I333" s="218"/>
      <c r="J333" s="218"/>
      <c r="K333" s="218"/>
      <c r="L333" s="218"/>
      <c r="M333" s="218"/>
      <c r="N333" s="218"/>
      <c r="O333" s="218"/>
      <c r="P333" s="218"/>
      <c r="Q333" s="218"/>
      <c r="R333" s="218"/>
      <c r="S333" s="218"/>
      <c r="T333" s="218"/>
      <c r="U333" s="218"/>
      <c r="V333" s="218"/>
      <c r="W333" s="218"/>
      <c r="X333" s="218"/>
      <c r="Y333" s="218"/>
      <c r="Z333" s="218"/>
      <c r="AA333" s="218"/>
      <c r="AB333" s="218"/>
      <c r="AC333" s="218"/>
      <c r="AD333" s="218"/>
      <c r="AE333" s="218"/>
      <c r="AF333" s="336"/>
      <c r="AG333" s="139"/>
      <c r="AH333" s="139"/>
      <c r="AI333" s="139"/>
      <c r="AJ333" s="139"/>
    </row>
    <row r="334" spans="1:36" ht="15">
      <c r="A334" s="139"/>
      <c r="B334" s="153" t="s">
        <v>56</v>
      </c>
      <c r="C334" s="153"/>
      <c r="D334" s="155"/>
      <c r="E334" s="155"/>
      <c r="F334" s="155"/>
      <c r="G334" s="196"/>
      <c r="H334" s="196"/>
      <c r="I334" s="196"/>
      <c r="J334" s="196"/>
      <c r="K334" s="196"/>
      <c r="L334" s="196"/>
      <c r="M334" s="196"/>
      <c r="N334" s="196"/>
      <c r="O334" s="196"/>
      <c r="P334" s="196"/>
      <c r="Q334" s="196"/>
      <c r="R334" s="196"/>
      <c r="S334" s="196"/>
      <c r="T334" s="196"/>
      <c r="U334" s="196"/>
      <c r="V334" s="196"/>
      <c r="W334" s="196"/>
      <c r="X334" s="196"/>
      <c r="Y334" s="196"/>
      <c r="Z334" s="196"/>
      <c r="AA334" s="196"/>
      <c r="AB334" s="196"/>
      <c r="AC334" s="196"/>
      <c r="AD334" s="196"/>
      <c r="AE334" s="196"/>
      <c r="AF334" s="344"/>
      <c r="AG334" s="139"/>
      <c r="AH334" s="139"/>
      <c r="AI334" s="139"/>
      <c r="AJ334" s="139"/>
    </row>
    <row r="335" spans="1:36" ht="15">
      <c r="A335" s="139"/>
      <c r="B335" s="153" t="s">
        <v>57</v>
      </c>
      <c r="C335" s="153"/>
      <c r="D335" s="155"/>
      <c r="E335" s="155"/>
      <c r="F335" s="155"/>
      <c r="G335" s="345">
        <f>G315/IF(G286=0,1,G286)</f>
        <v>1.7083558083115684</v>
      </c>
      <c r="H335" s="196"/>
      <c r="I335" s="196"/>
      <c r="J335" s="345">
        <f>J315/IF(J286=0,1,J286)</f>
        <v>1.9150488715858884</v>
      </c>
      <c r="K335" s="196"/>
      <c r="L335" s="196"/>
      <c r="M335" s="345">
        <f>M315/IF(M286=0,1,M286)</f>
        <v>1.5085852909035746</v>
      </c>
      <c r="N335" s="196"/>
      <c r="O335" s="196"/>
      <c r="P335" s="345">
        <f>P315/IF(P286=0,1,P286)</f>
        <v>1.6241931713358886</v>
      </c>
      <c r="Q335" s="196"/>
      <c r="R335" s="196"/>
      <c r="S335" s="345">
        <f>S315/IF(S286=0,1,S286)</f>
        <v>13.740088935439559</v>
      </c>
      <c r="T335" s="196"/>
      <c r="U335" s="196"/>
      <c r="V335" s="345">
        <f>V315/IF(V286=0,1,V286)</f>
        <v>0</v>
      </c>
      <c r="W335" s="196"/>
      <c r="X335" s="196"/>
      <c r="Y335" s="345">
        <f>Y315/IF(Y286=0,1,Y286)</f>
        <v>0</v>
      </c>
      <c r="Z335" s="196"/>
      <c r="AA335" s="196"/>
      <c r="AB335" s="345">
        <f>AB315/IF(AB286=0,1,AB286)</f>
        <v>0</v>
      </c>
      <c r="AC335" s="196"/>
      <c r="AD335" s="196"/>
      <c r="AE335" s="345">
        <f>AE315/IF(AE286=0,1,AE286)</f>
        <v>0</v>
      </c>
      <c r="AF335" s="344"/>
      <c r="AG335" s="139"/>
      <c r="AH335" s="139"/>
      <c r="AI335" s="139"/>
      <c r="AJ335" s="139"/>
    </row>
    <row r="336" spans="1:36" ht="15">
      <c r="A336" s="139"/>
      <c r="B336" s="153" t="s">
        <v>468</v>
      </c>
      <c r="C336" s="153"/>
      <c r="D336" s="155"/>
      <c r="E336" s="155"/>
      <c r="F336" s="155"/>
      <c r="G336" s="345">
        <f>G326/IF(G286=0,1,G286)</f>
        <v>3.012581213339643</v>
      </c>
      <c r="H336" s="196"/>
      <c r="I336" s="196"/>
      <c r="J336" s="345">
        <f>J326/IF(J286=0,1,J286)</f>
        <v>3.285571698615996</v>
      </c>
      <c r="K336" s="196"/>
      <c r="L336" s="196"/>
      <c r="M336" s="345">
        <f>M326/IF(M286=0,1,M286)</f>
        <v>2.594453279231711</v>
      </c>
      <c r="N336" s="196"/>
      <c r="O336" s="196"/>
      <c r="P336" s="345">
        <f>P326/IF(P286=0,1,P286)</f>
        <v>3.015401415032663</v>
      </c>
      <c r="Q336" s="196"/>
      <c r="R336" s="196"/>
      <c r="S336" s="345">
        <f>S326/IF(S286=0,1,S286)</f>
        <v>40.25102368863021</v>
      </c>
      <c r="T336" s="196"/>
      <c r="U336" s="196"/>
      <c r="V336" s="345">
        <f>V326/IF(V286=0,1,V286)</f>
        <v>0</v>
      </c>
      <c r="W336" s="196"/>
      <c r="X336" s="196"/>
      <c r="Y336" s="345">
        <f>Y326/IF(Y286=0,1,Y286)</f>
        <v>0</v>
      </c>
      <c r="Z336" s="196"/>
      <c r="AA336" s="196"/>
      <c r="AB336" s="345">
        <f>AB326/IF(AB286=0,1,AB286)</f>
        <v>0</v>
      </c>
      <c r="AC336" s="196"/>
      <c r="AD336" s="196"/>
      <c r="AE336" s="345">
        <f>AE326/IF(AE286=0,1,AE286)</f>
        <v>0</v>
      </c>
      <c r="AF336" s="344"/>
      <c r="AG336" s="139"/>
      <c r="AH336" s="139"/>
      <c r="AI336" s="139"/>
      <c r="AJ336" s="139"/>
    </row>
    <row r="337" spans="1:36" ht="15">
      <c r="A337" s="139"/>
      <c r="B337" s="153"/>
      <c r="C337" s="153"/>
      <c r="D337" s="155"/>
      <c r="E337" s="155"/>
      <c r="F337" s="155"/>
      <c r="G337" s="215"/>
      <c r="H337" s="215"/>
      <c r="I337" s="215"/>
      <c r="J337" s="215"/>
      <c r="K337" s="215"/>
      <c r="L337" s="215"/>
      <c r="M337" s="215"/>
      <c r="N337" s="215"/>
      <c r="O337" s="215"/>
      <c r="P337" s="215"/>
      <c r="Q337" s="215"/>
      <c r="R337" s="215"/>
      <c r="S337" s="215"/>
      <c r="T337" s="215"/>
      <c r="U337" s="215"/>
      <c r="V337" s="215"/>
      <c r="W337" s="215"/>
      <c r="X337" s="215"/>
      <c r="Y337" s="215"/>
      <c r="Z337" s="215"/>
      <c r="AA337" s="215"/>
      <c r="AB337" s="215"/>
      <c r="AC337" s="215"/>
      <c r="AD337" s="215"/>
      <c r="AE337" s="215"/>
      <c r="AF337" s="346"/>
      <c r="AG337" s="139"/>
      <c r="AH337" s="139"/>
      <c r="AI337" s="139"/>
      <c r="AJ337" s="139"/>
    </row>
    <row r="338" spans="1:36" ht="15">
      <c r="A338" s="139"/>
      <c r="B338" s="153"/>
      <c r="C338" s="153"/>
      <c r="D338" s="155"/>
      <c r="E338" s="155"/>
      <c r="F338" s="155"/>
      <c r="G338" s="215"/>
      <c r="H338" s="215"/>
      <c r="I338" s="215"/>
      <c r="J338" s="215"/>
      <c r="K338" s="215"/>
      <c r="L338" s="215"/>
      <c r="M338" s="215"/>
      <c r="N338" s="215"/>
      <c r="O338" s="215"/>
      <c r="P338" s="215"/>
      <c r="Q338" s="215"/>
      <c r="R338" s="215"/>
      <c r="S338" s="215"/>
      <c r="T338" s="215"/>
      <c r="U338" s="215"/>
      <c r="V338" s="215"/>
      <c r="W338" s="215"/>
      <c r="X338" s="215"/>
      <c r="Y338" s="215"/>
      <c r="Z338" s="215"/>
      <c r="AA338" s="215"/>
      <c r="AB338" s="215"/>
      <c r="AC338" s="215"/>
      <c r="AD338" s="215"/>
      <c r="AE338" s="215"/>
      <c r="AF338" s="346"/>
      <c r="AG338" s="139"/>
      <c r="AH338" s="139"/>
      <c r="AI338" s="139"/>
      <c r="AJ338" s="139"/>
    </row>
    <row r="339" spans="1:36" ht="15">
      <c r="A339" s="139"/>
      <c r="B339" s="153"/>
      <c r="C339" s="153"/>
      <c r="D339" s="155"/>
      <c r="E339" s="155"/>
      <c r="F339" s="155"/>
      <c r="G339" s="215"/>
      <c r="H339" s="215"/>
      <c r="I339" s="215"/>
      <c r="J339" s="215"/>
      <c r="K339" s="215"/>
      <c r="L339" s="215"/>
      <c r="M339" s="215"/>
      <c r="N339" s="215"/>
      <c r="O339" s="215"/>
      <c r="P339" s="215"/>
      <c r="Q339" s="215"/>
      <c r="R339" s="215"/>
      <c r="S339" s="215"/>
      <c r="T339" s="215"/>
      <c r="U339" s="215"/>
      <c r="V339" s="215"/>
      <c r="W339" s="215"/>
      <c r="X339" s="215"/>
      <c r="Y339" s="215"/>
      <c r="Z339" s="215"/>
      <c r="AA339" s="215"/>
      <c r="AB339" s="215"/>
      <c r="AC339" s="215"/>
      <c r="AD339" s="215"/>
      <c r="AE339" s="215"/>
      <c r="AF339" s="346"/>
      <c r="AG339" s="139"/>
      <c r="AH339" s="139"/>
      <c r="AI339" s="139"/>
      <c r="AJ339" s="139"/>
    </row>
    <row r="340" spans="1:19" ht="16.5" thickBot="1">
      <c r="A340" s="139"/>
      <c r="B340" s="465" t="s">
        <v>556</v>
      </c>
      <c r="C340" s="466"/>
      <c r="D340" s="467"/>
      <c r="E340" s="467"/>
      <c r="F340" s="139"/>
      <c r="G340" s="139"/>
      <c r="H340" s="139"/>
      <c r="I340" s="139"/>
      <c r="J340" s="139"/>
      <c r="K340" s="139"/>
      <c r="L340" s="139"/>
      <c r="M340" s="139"/>
      <c r="N340" s="139"/>
      <c r="O340" s="346"/>
      <c r="P340" s="139"/>
      <c r="Q340" s="139"/>
      <c r="R340" s="139"/>
      <c r="S340" s="139"/>
    </row>
    <row r="341" spans="1:19" ht="39.75" thickBot="1" thickTop="1">
      <c r="A341" s="139"/>
      <c r="B341" s="327" t="s">
        <v>452</v>
      </c>
      <c r="C341" s="293"/>
      <c r="D341" s="155"/>
      <c r="E341" s="155"/>
      <c r="F341" s="354" t="str">
        <f>G281</f>
        <v>WW on Fallow</v>
      </c>
      <c r="G341" s="354" t="str">
        <f>J281</f>
        <v>SW on Fallow</v>
      </c>
      <c r="H341" s="354" t="str">
        <f>M281</f>
        <v>WW on Recrop</v>
      </c>
      <c r="I341" s="354" t="str">
        <f>P281</f>
        <v>Barley on Recrop</v>
      </c>
      <c r="J341" s="354" t="str">
        <f>S281</f>
        <v>Summer Fallow</v>
      </c>
      <c r="K341" s="354" t="str">
        <f>V281</f>
        <v>Not Used</v>
      </c>
      <c r="L341" s="354" t="str">
        <f>Y281</f>
        <v>Not Used</v>
      </c>
      <c r="M341" s="354" t="str">
        <f>AB281</f>
        <v>Not Used</v>
      </c>
      <c r="N341" s="354" t="str">
        <f>AE281</f>
        <v>Not Used</v>
      </c>
      <c r="O341" s="346"/>
      <c r="P341" s="139"/>
      <c r="Q341" s="139"/>
      <c r="R341" s="139"/>
      <c r="S341" s="139"/>
    </row>
    <row r="342" spans="1:35" ht="15.75" thickTop="1">
      <c r="A342" s="139"/>
      <c r="B342" s="468" t="s">
        <v>304</v>
      </c>
      <c r="C342" s="468"/>
      <c r="D342" s="469"/>
      <c r="E342" s="155"/>
      <c r="F342" s="241">
        <f aca="true" t="shared" si="125" ref="F342:F350">G283</f>
        <v>420</v>
      </c>
      <c r="G342" s="241">
        <f aca="true" t="shared" si="126" ref="G342:G350">J283</f>
        <v>840</v>
      </c>
      <c r="H342" s="241">
        <f aca="true" t="shared" si="127" ref="H342:H350">M283</f>
        <v>180</v>
      </c>
      <c r="I342" s="241">
        <f aca="true" t="shared" si="128" ref="I342:I350">P283</f>
        <v>300</v>
      </c>
      <c r="J342" s="241">
        <f aca="true" t="shared" si="129" ref="J342:J350">S283</f>
        <v>1260</v>
      </c>
      <c r="K342" s="241">
        <f aca="true" t="shared" si="130" ref="K342:K350">V283</f>
        <v>0</v>
      </c>
      <c r="L342" s="241">
        <f aca="true" t="shared" si="131" ref="L342:L350">Y283</f>
        <v>0</v>
      </c>
      <c r="M342" s="241">
        <f aca="true" t="shared" si="132" ref="M342:M350">AB283</f>
        <v>0</v>
      </c>
      <c r="N342" s="241">
        <f aca="true" t="shared" si="133" ref="N342:N350">AE283</f>
        <v>0</v>
      </c>
      <c r="O342" s="215"/>
      <c r="P342" s="215"/>
      <c r="Q342" s="215"/>
      <c r="R342" s="215"/>
      <c r="S342" s="215"/>
      <c r="T342" s="215"/>
      <c r="U342" s="215"/>
      <c r="V342" s="215"/>
      <c r="W342" s="215"/>
      <c r="X342" s="215"/>
      <c r="Y342" s="215"/>
      <c r="Z342" s="215"/>
      <c r="AA342" s="215"/>
      <c r="AB342" s="215"/>
      <c r="AC342" s="215"/>
      <c r="AD342" s="215"/>
      <c r="AE342" s="346"/>
      <c r="AF342" s="139"/>
      <c r="AG342" s="139"/>
      <c r="AH342" s="139"/>
      <c r="AI342" s="139"/>
    </row>
    <row r="343" spans="1:35" ht="15">
      <c r="A343" s="139"/>
      <c r="B343" s="470" t="s">
        <v>306</v>
      </c>
      <c r="C343" s="470"/>
      <c r="D343" s="469"/>
      <c r="E343" s="155"/>
      <c r="F343" s="356">
        <f t="shared" si="125"/>
        <v>35</v>
      </c>
      <c r="G343" s="356">
        <f t="shared" si="126"/>
        <v>30</v>
      </c>
      <c r="H343" s="356">
        <f t="shared" si="127"/>
        <v>40</v>
      </c>
      <c r="I343" s="356">
        <f t="shared" si="128"/>
        <v>30</v>
      </c>
      <c r="J343" s="356">
        <f t="shared" si="129"/>
        <v>0</v>
      </c>
      <c r="K343" s="356">
        <f t="shared" si="130"/>
        <v>0</v>
      </c>
      <c r="L343" s="356">
        <f t="shared" si="131"/>
        <v>0</v>
      </c>
      <c r="M343" s="356">
        <f t="shared" si="132"/>
        <v>0</v>
      </c>
      <c r="N343" s="356">
        <f t="shared" si="133"/>
        <v>0</v>
      </c>
      <c r="O343" s="215"/>
      <c r="P343" s="215"/>
      <c r="Q343" s="215"/>
      <c r="R343" s="215"/>
      <c r="S343" s="215"/>
      <c r="T343" s="215"/>
      <c r="U343" s="215"/>
      <c r="V343" s="215"/>
      <c r="W343" s="215"/>
      <c r="X343" s="215"/>
      <c r="Y343" s="215"/>
      <c r="Z343" s="215"/>
      <c r="AA343" s="215"/>
      <c r="AB343" s="215"/>
      <c r="AC343" s="215"/>
      <c r="AD343" s="215"/>
      <c r="AE343" s="346"/>
      <c r="AF343" s="139"/>
      <c r="AG343" s="139"/>
      <c r="AH343" s="139"/>
      <c r="AI343" s="139"/>
    </row>
    <row r="344" spans="1:35" ht="15">
      <c r="A344" s="139"/>
      <c r="B344" s="470" t="s">
        <v>307</v>
      </c>
      <c r="C344" s="470"/>
      <c r="D344" s="469"/>
      <c r="E344" s="155"/>
      <c r="F344" s="355">
        <f t="shared" si="125"/>
        <v>0.5</v>
      </c>
      <c r="G344" s="355">
        <f t="shared" si="126"/>
        <v>0.75</v>
      </c>
      <c r="H344" s="355">
        <f t="shared" si="127"/>
        <v>0.5</v>
      </c>
      <c r="I344" s="355">
        <f t="shared" si="128"/>
        <v>0.25</v>
      </c>
      <c r="J344" s="355">
        <f t="shared" si="129"/>
        <v>0</v>
      </c>
      <c r="K344" s="355">
        <f t="shared" si="130"/>
        <v>0</v>
      </c>
      <c r="L344" s="355">
        <f t="shared" si="131"/>
        <v>0</v>
      </c>
      <c r="M344" s="355">
        <f t="shared" si="132"/>
        <v>0</v>
      </c>
      <c r="N344" s="355">
        <f t="shared" si="133"/>
        <v>0</v>
      </c>
      <c r="O344" s="215"/>
      <c r="P344" s="215"/>
      <c r="Q344" s="215"/>
      <c r="R344" s="215"/>
      <c r="S344" s="215"/>
      <c r="T344" s="215"/>
      <c r="U344" s="215"/>
      <c r="V344" s="215"/>
      <c r="W344" s="215"/>
      <c r="X344" s="215"/>
      <c r="Y344" s="215"/>
      <c r="Z344" s="215"/>
      <c r="AA344" s="215"/>
      <c r="AB344" s="215"/>
      <c r="AC344" s="215"/>
      <c r="AD344" s="215"/>
      <c r="AE344" s="346"/>
      <c r="AF344" s="139"/>
      <c r="AG344" s="139"/>
      <c r="AH344" s="139"/>
      <c r="AI344" s="139"/>
    </row>
    <row r="345" spans="1:35" ht="15">
      <c r="A345" s="139"/>
      <c r="B345" s="470" t="s">
        <v>305</v>
      </c>
      <c r="C345" s="470"/>
      <c r="D345" s="469"/>
      <c r="E345" s="155"/>
      <c r="F345" s="241">
        <f t="shared" si="125"/>
        <v>35</v>
      </c>
      <c r="G345" s="241">
        <f t="shared" si="126"/>
        <v>30</v>
      </c>
      <c r="H345" s="241">
        <f t="shared" si="127"/>
        <v>40</v>
      </c>
      <c r="I345" s="241">
        <f t="shared" si="128"/>
        <v>30</v>
      </c>
      <c r="J345" s="241">
        <f t="shared" si="129"/>
        <v>0</v>
      </c>
      <c r="K345" s="241">
        <f t="shared" si="130"/>
        <v>0</v>
      </c>
      <c r="L345" s="241">
        <f t="shared" si="131"/>
        <v>0</v>
      </c>
      <c r="M345" s="241">
        <f t="shared" si="132"/>
        <v>0</v>
      </c>
      <c r="N345" s="241">
        <f t="shared" si="133"/>
        <v>0</v>
      </c>
      <c r="O345" s="215"/>
      <c r="P345" s="215"/>
      <c r="Q345" s="215"/>
      <c r="R345" s="215"/>
      <c r="S345" s="215"/>
      <c r="T345" s="215"/>
      <c r="U345" s="215"/>
      <c r="V345" s="215"/>
      <c r="W345" s="215"/>
      <c r="X345" s="215"/>
      <c r="Y345" s="215"/>
      <c r="Z345" s="215"/>
      <c r="AA345" s="215"/>
      <c r="AB345" s="215"/>
      <c r="AC345" s="215"/>
      <c r="AD345" s="215"/>
      <c r="AE345" s="346"/>
      <c r="AF345" s="139"/>
      <c r="AG345" s="139"/>
      <c r="AH345" s="139"/>
      <c r="AI345" s="139"/>
    </row>
    <row r="346" spans="1:35" ht="15">
      <c r="A346" s="139"/>
      <c r="B346" s="470" t="s">
        <v>308</v>
      </c>
      <c r="C346" s="470"/>
      <c r="D346" s="469"/>
      <c r="E346" s="155"/>
      <c r="F346" s="355">
        <f t="shared" si="125"/>
        <v>3.5</v>
      </c>
      <c r="G346" s="355">
        <f t="shared" si="126"/>
        <v>4</v>
      </c>
      <c r="H346" s="355">
        <f t="shared" si="127"/>
        <v>2.5</v>
      </c>
      <c r="I346" s="355">
        <f t="shared" si="128"/>
        <v>2.5</v>
      </c>
      <c r="J346" s="355">
        <f t="shared" si="129"/>
        <v>0</v>
      </c>
      <c r="K346" s="355">
        <f t="shared" si="130"/>
        <v>0</v>
      </c>
      <c r="L346" s="355">
        <f t="shared" si="131"/>
        <v>0</v>
      </c>
      <c r="M346" s="355">
        <f t="shared" si="132"/>
        <v>0</v>
      </c>
      <c r="N346" s="355">
        <f t="shared" si="133"/>
        <v>0</v>
      </c>
      <c r="O346" s="215"/>
      <c r="P346" s="215"/>
      <c r="Q346" s="215"/>
      <c r="R346" s="215"/>
      <c r="S346" s="215"/>
      <c r="T346" s="215"/>
      <c r="U346" s="215"/>
      <c r="V346" s="215"/>
      <c r="W346" s="215"/>
      <c r="X346" s="215"/>
      <c r="Y346" s="215"/>
      <c r="Z346" s="215"/>
      <c r="AA346" s="215"/>
      <c r="AB346" s="215"/>
      <c r="AC346" s="215"/>
      <c r="AD346" s="215"/>
      <c r="AE346" s="346"/>
      <c r="AF346" s="139"/>
      <c r="AG346" s="139"/>
      <c r="AH346" s="139"/>
      <c r="AI346" s="139"/>
    </row>
    <row r="347" spans="1:35" ht="15.75" thickBot="1">
      <c r="A347" s="139"/>
      <c r="B347" s="471" t="s">
        <v>389</v>
      </c>
      <c r="C347" s="471"/>
      <c r="D347" s="469"/>
      <c r="E347" s="155"/>
      <c r="F347" s="355">
        <f t="shared" si="125"/>
        <v>0</v>
      </c>
      <c r="G347" s="355">
        <f t="shared" si="126"/>
        <v>0</v>
      </c>
      <c r="H347" s="355">
        <f t="shared" si="127"/>
        <v>0</v>
      </c>
      <c r="I347" s="355">
        <f t="shared" si="128"/>
        <v>0</v>
      </c>
      <c r="J347" s="355">
        <f t="shared" si="129"/>
        <v>0</v>
      </c>
      <c r="K347" s="355">
        <f t="shared" si="130"/>
        <v>0</v>
      </c>
      <c r="L347" s="355">
        <f t="shared" si="131"/>
        <v>0</v>
      </c>
      <c r="M347" s="355">
        <f t="shared" si="132"/>
        <v>0</v>
      </c>
      <c r="N347" s="355">
        <f t="shared" si="133"/>
        <v>0</v>
      </c>
      <c r="O347" s="215"/>
      <c r="P347" s="215"/>
      <c r="Q347" s="215"/>
      <c r="R347" s="215"/>
      <c r="S347" s="215"/>
      <c r="T347" s="215"/>
      <c r="U347" s="215"/>
      <c r="V347" s="215"/>
      <c r="W347" s="215"/>
      <c r="X347" s="215"/>
      <c r="Y347" s="215"/>
      <c r="Z347" s="215"/>
      <c r="AA347" s="215"/>
      <c r="AB347" s="215"/>
      <c r="AC347" s="215"/>
      <c r="AD347" s="215"/>
      <c r="AE347" s="346"/>
      <c r="AF347" s="139"/>
      <c r="AG347" s="139"/>
      <c r="AH347" s="139"/>
      <c r="AI347" s="139"/>
    </row>
    <row r="348" spans="1:35" ht="15.75" thickTop="1">
      <c r="A348" s="139"/>
      <c r="B348" s="470" t="s">
        <v>309</v>
      </c>
      <c r="C348" s="470"/>
      <c r="D348" s="469"/>
      <c r="E348" s="155"/>
      <c r="F348" s="355">
        <f t="shared" si="125"/>
        <v>140</v>
      </c>
      <c r="G348" s="355">
        <f t="shared" si="126"/>
        <v>142.5</v>
      </c>
      <c r="H348" s="355">
        <f t="shared" si="127"/>
        <v>120</v>
      </c>
      <c r="I348" s="355">
        <f t="shared" si="128"/>
        <v>82.5</v>
      </c>
      <c r="J348" s="355">
        <f t="shared" si="129"/>
        <v>0</v>
      </c>
      <c r="K348" s="355">
        <f t="shared" si="130"/>
        <v>0</v>
      </c>
      <c r="L348" s="355">
        <f t="shared" si="131"/>
        <v>0</v>
      </c>
      <c r="M348" s="355">
        <f t="shared" si="132"/>
        <v>0</v>
      </c>
      <c r="N348" s="355">
        <f t="shared" si="133"/>
        <v>0</v>
      </c>
      <c r="O348" s="215"/>
      <c r="P348" s="215"/>
      <c r="Q348" s="215"/>
      <c r="R348" s="215"/>
      <c r="S348" s="215"/>
      <c r="T348" s="215"/>
      <c r="U348" s="215"/>
      <c r="V348" s="215"/>
      <c r="W348" s="215"/>
      <c r="X348" s="215"/>
      <c r="Y348" s="215"/>
      <c r="Z348" s="215"/>
      <c r="AA348" s="215"/>
      <c r="AB348" s="215"/>
      <c r="AC348" s="215"/>
      <c r="AD348" s="215"/>
      <c r="AE348" s="346"/>
      <c r="AF348" s="139"/>
      <c r="AG348" s="139"/>
      <c r="AH348" s="139"/>
      <c r="AI348" s="139"/>
    </row>
    <row r="349" spans="1:35" ht="15">
      <c r="A349" s="139"/>
      <c r="B349" s="470" t="s">
        <v>310</v>
      </c>
      <c r="C349" s="470"/>
      <c r="D349" s="469"/>
      <c r="E349" s="155"/>
      <c r="F349" s="355">
        <f t="shared" si="125"/>
        <v>122.5</v>
      </c>
      <c r="G349" s="355">
        <f t="shared" si="126"/>
        <v>120</v>
      </c>
      <c r="H349" s="355">
        <f t="shared" si="127"/>
        <v>100</v>
      </c>
      <c r="I349" s="355">
        <f t="shared" si="128"/>
        <v>75</v>
      </c>
      <c r="J349" s="355">
        <f t="shared" si="129"/>
        <v>0</v>
      </c>
      <c r="K349" s="355">
        <f t="shared" si="130"/>
        <v>0</v>
      </c>
      <c r="L349" s="355">
        <f t="shared" si="131"/>
        <v>0</v>
      </c>
      <c r="M349" s="355">
        <f t="shared" si="132"/>
        <v>0</v>
      </c>
      <c r="N349" s="355">
        <f t="shared" si="133"/>
        <v>0</v>
      </c>
      <c r="O349" s="215"/>
      <c r="P349" s="215"/>
      <c r="Q349" s="215"/>
      <c r="R349" s="215"/>
      <c r="S349" s="215"/>
      <c r="T349" s="215"/>
      <c r="U349" s="215"/>
      <c r="V349" s="215"/>
      <c r="W349" s="215"/>
      <c r="X349" s="215"/>
      <c r="Y349" s="215"/>
      <c r="Z349" s="215"/>
      <c r="AA349" s="215"/>
      <c r="AB349" s="215"/>
      <c r="AC349" s="215"/>
      <c r="AD349" s="215"/>
      <c r="AE349" s="346"/>
      <c r="AF349" s="139"/>
      <c r="AG349" s="139"/>
      <c r="AH349" s="139"/>
      <c r="AI349" s="139"/>
    </row>
    <row r="350" spans="1:35" ht="15">
      <c r="A350" s="139"/>
      <c r="B350" s="470" t="s">
        <v>311</v>
      </c>
      <c r="C350" s="470"/>
      <c r="D350" s="469"/>
      <c r="E350" s="155"/>
      <c r="F350" s="357">
        <f t="shared" si="125"/>
        <v>8</v>
      </c>
      <c r="G350" s="357">
        <f t="shared" si="126"/>
        <v>4</v>
      </c>
      <c r="H350" s="357">
        <f t="shared" si="127"/>
        <v>8</v>
      </c>
      <c r="I350" s="357">
        <f t="shared" si="128"/>
        <v>4</v>
      </c>
      <c r="J350" s="357">
        <f t="shared" si="129"/>
        <v>4</v>
      </c>
      <c r="K350" s="357">
        <f t="shared" si="130"/>
        <v>0</v>
      </c>
      <c r="L350" s="357">
        <f t="shared" si="131"/>
        <v>0</v>
      </c>
      <c r="M350" s="357">
        <f t="shared" si="132"/>
        <v>0</v>
      </c>
      <c r="N350" s="357">
        <f t="shared" si="133"/>
        <v>0</v>
      </c>
      <c r="O350" s="215"/>
      <c r="P350" s="215"/>
      <c r="Q350" s="215"/>
      <c r="R350" s="215"/>
      <c r="S350" s="215"/>
      <c r="T350" s="215"/>
      <c r="U350" s="215"/>
      <c r="V350" s="215"/>
      <c r="W350" s="215"/>
      <c r="X350" s="215"/>
      <c r="Y350" s="215"/>
      <c r="Z350" s="215"/>
      <c r="AA350" s="215"/>
      <c r="AB350" s="215"/>
      <c r="AC350" s="215"/>
      <c r="AD350" s="215"/>
      <c r="AE350" s="346"/>
      <c r="AF350" s="139"/>
      <c r="AG350" s="139"/>
      <c r="AH350" s="139"/>
      <c r="AI350" s="139"/>
    </row>
    <row r="351" spans="1:35" ht="15">
      <c r="A351" s="139"/>
      <c r="B351" s="178"/>
      <c r="C351" s="178"/>
      <c r="D351" s="155"/>
      <c r="E351" s="155"/>
      <c r="F351" s="241"/>
      <c r="G351" s="241"/>
      <c r="H351" s="241"/>
      <c r="I351" s="241"/>
      <c r="J351" s="241"/>
      <c r="K351" s="241"/>
      <c r="L351" s="241"/>
      <c r="M351" s="241"/>
      <c r="N351" s="241"/>
      <c r="O351" s="215"/>
      <c r="P351" s="215"/>
      <c r="Q351" s="215"/>
      <c r="R351" s="215"/>
      <c r="S351" s="215"/>
      <c r="T351" s="215"/>
      <c r="U351" s="215"/>
      <c r="V351" s="215"/>
      <c r="W351" s="215"/>
      <c r="X351" s="215"/>
      <c r="Y351" s="215"/>
      <c r="Z351" s="215"/>
      <c r="AA351" s="215"/>
      <c r="AB351" s="215"/>
      <c r="AC351" s="215"/>
      <c r="AD351" s="215"/>
      <c r="AE351" s="346"/>
      <c r="AF351" s="139"/>
      <c r="AG351" s="139"/>
      <c r="AH351" s="139"/>
      <c r="AI351" s="139"/>
    </row>
    <row r="352" spans="1:35" ht="15">
      <c r="A352" s="139"/>
      <c r="B352" s="178"/>
      <c r="C352" s="178"/>
      <c r="D352" s="155"/>
      <c r="E352" s="155"/>
      <c r="F352" s="241">
        <f aca="true" t="shared" si="134" ref="F352:F374">G293</f>
        <v>0</v>
      </c>
      <c r="G352" s="241">
        <f aca="true" t="shared" si="135" ref="G352:G374">J293</f>
        <v>0</v>
      </c>
      <c r="H352" s="241">
        <f aca="true" t="shared" si="136" ref="H352:H374">M293</f>
        <v>0</v>
      </c>
      <c r="I352" s="241">
        <f aca="true" t="shared" si="137" ref="I352:I374">P293</f>
        <v>0</v>
      </c>
      <c r="J352" s="241">
        <f aca="true" t="shared" si="138" ref="J352:J374">S293</f>
        <v>0</v>
      </c>
      <c r="K352" s="241">
        <f aca="true" t="shared" si="139" ref="K352:K374">V293</f>
        <v>0</v>
      </c>
      <c r="L352" s="241">
        <f aca="true" t="shared" si="140" ref="L352:L374">Y293</f>
        <v>0</v>
      </c>
      <c r="M352" s="241">
        <f aca="true" t="shared" si="141" ref="M352:M374">AB293</f>
        <v>0</v>
      </c>
      <c r="N352" s="241">
        <f aca="true" t="shared" si="142" ref="N352:N374">AE293</f>
        <v>0</v>
      </c>
      <c r="O352" s="215"/>
      <c r="P352" s="215"/>
      <c r="Q352" s="215"/>
      <c r="R352" s="215"/>
      <c r="S352" s="215"/>
      <c r="T352" s="215"/>
      <c r="U352" s="215"/>
      <c r="V352" s="215"/>
      <c r="W352" s="215"/>
      <c r="X352" s="215"/>
      <c r="Y352" s="215"/>
      <c r="Z352" s="215"/>
      <c r="AA352" s="215"/>
      <c r="AB352" s="215"/>
      <c r="AC352" s="215"/>
      <c r="AD352" s="215"/>
      <c r="AE352" s="346"/>
      <c r="AF352" s="139"/>
      <c r="AG352" s="139"/>
      <c r="AH352" s="139"/>
      <c r="AI352" s="139"/>
    </row>
    <row r="353" spans="1:35" ht="15">
      <c r="A353" s="139"/>
      <c r="B353" s="316" t="s">
        <v>466</v>
      </c>
      <c r="C353" s="178"/>
      <c r="D353" s="155"/>
      <c r="E353" s="155"/>
      <c r="F353" s="241" t="str">
        <f t="shared" si="134"/>
        <v>Cost This Enterprise</v>
      </c>
      <c r="G353" s="241" t="str">
        <f t="shared" si="135"/>
        <v>Cost This Enterprise</v>
      </c>
      <c r="H353" s="241" t="str">
        <f t="shared" si="136"/>
        <v>Cost This Enterprise</v>
      </c>
      <c r="I353" s="241" t="str">
        <f t="shared" si="137"/>
        <v>Cost This Enterprise</v>
      </c>
      <c r="J353" s="241" t="str">
        <f t="shared" si="138"/>
        <v>Cost This Enterprise</v>
      </c>
      <c r="K353" s="241" t="str">
        <f t="shared" si="139"/>
        <v>Cost This Enterprise</v>
      </c>
      <c r="L353" s="241" t="str">
        <f t="shared" si="140"/>
        <v>Cost This Enterprise</v>
      </c>
      <c r="M353" s="241" t="str">
        <f t="shared" si="141"/>
        <v>Cost This Enterprise</v>
      </c>
      <c r="N353" s="241" t="str">
        <f t="shared" si="142"/>
        <v>Cost This Enterprise</v>
      </c>
      <c r="O353" s="215"/>
      <c r="P353" s="215"/>
      <c r="Q353" s="215"/>
      <c r="R353" s="215"/>
      <c r="S353" s="215"/>
      <c r="T353" s="215"/>
      <c r="U353" s="215"/>
      <c r="V353" s="215"/>
      <c r="W353" s="215"/>
      <c r="X353" s="215"/>
      <c r="Y353" s="215"/>
      <c r="Z353" s="215"/>
      <c r="AA353" s="215"/>
      <c r="AB353" s="215"/>
      <c r="AC353" s="215"/>
      <c r="AD353" s="215"/>
      <c r="AE353" s="346"/>
      <c r="AF353" s="139"/>
      <c r="AG353" s="139"/>
      <c r="AH353" s="139"/>
      <c r="AI353" s="139"/>
    </row>
    <row r="354" spans="1:35" ht="15">
      <c r="A354" s="139"/>
      <c r="B354" s="375" t="s">
        <v>49</v>
      </c>
      <c r="C354" s="376"/>
      <c r="D354" s="155"/>
      <c r="E354" s="155"/>
      <c r="F354" s="355">
        <f t="shared" si="134"/>
        <v>4.5</v>
      </c>
      <c r="G354" s="355">
        <f t="shared" si="135"/>
        <v>5</v>
      </c>
      <c r="H354" s="355">
        <f t="shared" si="136"/>
        <v>4.5</v>
      </c>
      <c r="I354" s="355">
        <f t="shared" si="137"/>
        <v>3.12</v>
      </c>
      <c r="J354" s="355">
        <f t="shared" si="138"/>
        <v>0</v>
      </c>
      <c r="K354" s="355">
        <f t="shared" si="139"/>
        <v>0</v>
      </c>
      <c r="L354" s="355">
        <f t="shared" si="140"/>
        <v>0</v>
      </c>
      <c r="M354" s="355">
        <f t="shared" si="141"/>
        <v>0</v>
      </c>
      <c r="N354" s="355">
        <f t="shared" si="142"/>
        <v>0</v>
      </c>
      <c r="O354" s="215"/>
      <c r="P354" s="215"/>
      <c r="Q354" s="215"/>
      <c r="R354" s="215"/>
      <c r="S354" s="215"/>
      <c r="T354" s="215"/>
      <c r="U354" s="215"/>
      <c r="V354" s="215"/>
      <c r="W354" s="215"/>
      <c r="X354" s="215"/>
      <c r="Y354" s="215"/>
      <c r="Z354" s="215"/>
      <c r="AA354" s="215"/>
      <c r="AB354" s="215"/>
      <c r="AC354" s="215"/>
      <c r="AD354" s="215"/>
      <c r="AE354" s="346"/>
      <c r="AF354" s="139"/>
      <c r="AG354" s="139"/>
      <c r="AH354" s="139"/>
      <c r="AI354" s="139"/>
    </row>
    <row r="355" spans="1:35" ht="15">
      <c r="A355" s="139"/>
      <c r="B355" s="377" t="s">
        <v>527</v>
      </c>
      <c r="C355" s="378"/>
      <c r="D355" s="155"/>
      <c r="E355" s="155"/>
      <c r="F355" s="355">
        <f t="shared" si="134"/>
        <v>2.886</v>
      </c>
      <c r="G355" s="355">
        <f t="shared" si="135"/>
        <v>2.886</v>
      </c>
      <c r="H355" s="355">
        <f t="shared" si="136"/>
        <v>2.886</v>
      </c>
      <c r="I355" s="355">
        <f t="shared" si="137"/>
        <v>2.886</v>
      </c>
      <c r="J355" s="355">
        <f t="shared" si="138"/>
        <v>3.478</v>
      </c>
      <c r="K355" s="355">
        <f t="shared" si="139"/>
        <v>0</v>
      </c>
      <c r="L355" s="355">
        <f t="shared" si="140"/>
        <v>0</v>
      </c>
      <c r="M355" s="355">
        <f t="shared" si="141"/>
        <v>0</v>
      </c>
      <c r="N355" s="355">
        <f t="shared" si="142"/>
        <v>0</v>
      </c>
      <c r="O355" s="215"/>
      <c r="P355" s="215"/>
      <c r="Q355" s="215"/>
      <c r="R355" s="215"/>
      <c r="S355" s="215"/>
      <c r="T355" s="215"/>
      <c r="U355" s="215"/>
      <c r="V355" s="215"/>
      <c r="W355" s="215"/>
      <c r="X355" s="215"/>
      <c r="Y355" s="215"/>
      <c r="Z355" s="215"/>
      <c r="AA355" s="215"/>
      <c r="AB355" s="215"/>
      <c r="AC355" s="215"/>
      <c r="AD355" s="215"/>
      <c r="AE355" s="346"/>
      <c r="AF355" s="139"/>
      <c r="AG355" s="139"/>
      <c r="AH355" s="139"/>
      <c r="AI355" s="139"/>
    </row>
    <row r="356" spans="1:35" ht="15">
      <c r="A356" s="139"/>
      <c r="B356" s="377" t="s">
        <v>529</v>
      </c>
      <c r="C356" s="378"/>
      <c r="D356" s="155"/>
      <c r="E356" s="155"/>
      <c r="F356" s="355">
        <f t="shared" si="134"/>
        <v>1.125</v>
      </c>
      <c r="G356" s="355">
        <f t="shared" si="135"/>
        <v>1.134</v>
      </c>
      <c r="H356" s="355">
        <f t="shared" si="136"/>
        <v>1.134</v>
      </c>
      <c r="I356" s="355">
        <f t="shared" si="137"/>
        <v>1.134</v>
      </c>
      <c r="J356" s="355">
        <f t="shared" si="138"/>
        <v>1.134</v>
      </c>
      <c r="K356" s="355">
        <f t="shared" si="139"/>
        <v>0</v>
      </c>
      <c r="L356" s="355">
        <f t="shared" si="140"/>
        <v>0</v>
      </c>
      <c r="M356" s="355">
        <f t="shared" si="141"/>
        <v>0</v>
      </c>
      <c r="N356" s="355">
        <f t="shared" si="142"/>
        <v>0</v>
      </c>
      <c r="O356" s="215"/>
      <c r="P356" s="215"/>
      <c r="Q356" s="215"/>
      <c r="R356" s="215"/>
      <c r="S356" s="215"/>
      <c r="T356" s="215"/>
      <c r="U356" s="215"/>
      <c r="V356" s="215"/>
      <c r="W356" s="215"/>
      <c r="X356" s="215"/>
      <c r="Y356" s="215"/>
      <c r="Z356" s="215"/>
      <c r="AA356" s="215"/>
      <c r="AB356" s="215"/>
      <c r="AC356" s="215"/>
      <c r="AD356" s="215"/>
      <c r="AE356" s="346"/>
      <c r="AF356" s="139"/>
      <c r="AG356" s="139"/>
      <c r="AH356" s="139"/>
      <c r="AI356" s="139"/>
    </row>
    <row r="357" spans="1:35" ht="15">
      <c r="A357" s="139"/>
      <c r="B357" s="377" t="s">
        <v>530</v>
      </c>
      <c r="C357" s="378"/>
      <c r="D357" s="155"/>
      <c r="E357" s="155"/>
      <c r="F357" s="355">
        <f t="shared" si="134"/>
        <v>0.3</v>
      </c>
      <c r="G357" s="355">
        <f t="shared" si="135"/>
        <v>0.3</v>
      </c>
      <c r="H357" s="355">
        <f t="shared" si="136"/>
        <v>0.3</v>
      </c>
      <c r="I357" s="355">
        <f t="shared" si="137"/>
        <v>0.3</v>
      </c>
      <c r="J357" s="355">
        <f t="shared" si="138"/>
        <v>0.3</v>
      </c>
      <c r="K357" s="355">
        <f t="shared" si="139"/>
        <v>0</v>
      </c>
      <c r="L357" s="355">
        <f t="shared" si="140"/>
        <v>0</v>
      </c>
      <c r="M357" s="355">
        <f t="shared" si="141"/>
        <v>0</v>
      </c>
      <c r="N357" s="355">
        <f t="shared" si="142"/>
        <v>0</v>
      </c>
      <c r="O357" s="215"/>
      <c r="P357" s="215"/>
      <c r="Q357" s="215"/>
      <c r="R357" s="215"/>
      <c r="S357" s="215"/>
      <c r="T357" s="215"/>
      <c r="U357" s="215"/>
      <c r="V357" s="215"/>
      <c r="W357" s="215"/>
      <c r="X357" s="215"/>
      <c r="Y357" s="215"/>
      <c r="Z357" s="215"/>
      <c r="AA357" s="215"/>
      <c r="AB357" s="215"/>
      <c r="AC357" s="215"/>
      <c r="AD357" s="215"/>
      <c r="AE357" s="346"/>
      <c r="AF357" s="139"/>
      <c r="AG357" s="139"/>
      <c r="AH357" s="139"/>
      <c r="AI357" s="139"/>
    </row>
    <row r="358" spans="1:35" ht="15">
      <c r="A358" s="139"/>
      <c r="B358" s="377" t="s">
        <v>532</v>
      </c>
      <c r="C358" s="378"/>
      <c r="D358" s="155"/>
      <c r="E358" s="155"/>
      <c r="F358" s="355">
        <f t="shared" si="134"/>
        <v>0.5625</v>
      </c>
      <c r="G358" s="355">
        <f t="shared" si="135"/>
        <v>1.546875</v>
      </c>
      <c r="H358" s="355">
        <f t="shared" si="136"/>
        <v>0.5625</v>
      </c>
      <c r="I358" s="355">
        <f t="shared" si="137"/>
        <v>0</v>
      </c>
      <c r="J358" s="355">
        <f t="shared" si="138"/>
        <v>0</v>
      </c>
      <c r="K358" s="355">
        <f t="shared" si="139"/>
        <v>0</v>
      </c>
      <c r="L358" s="355">
        <f t="shared" si="140"/>
        <v>0</v>
      </c>
      <c r="M358" s="355">
        <f t="shared" si="141"/>
        <v>0</v>
      </c>
      <c r="N358" s="355">
        <f t="shared" si="142"/>
        <v>0</v>
      </c>
      <c r="O358" s="215"/>
      <c r="P358" s="215"/>
      <c r="Q358" s="215"/>
      <c r="R358" s="215"/>
      <c r="S358" s="215"/>
      <c r="T358" s="215"/>
      <c r="U358" s="215"/>
      <c r="V358" s="215"/>
      <c r="W358" s="215"/>
      <c r="X358" s="215"/>
      <c r="Y358" s="215"/>
      <c r="Z358" s="215"/>
      <c r="AA358" s="215"/>
      <c r="AB358" s="215"/>
      <c r="AC358" s="215"/>
      <c r="AD358" s="215"/>
      <c r="AE358" s="346"/>
      <c r="AF358" s="139"/>
      <c r="AG358" s="139"/>
      <c r="AH358" s="139"/>
      <c r="AI358" s="139"/>
    </row>
    <row r="359" spans="1:35" ht="15">
      <c r="A359" s="139"/>
      <c r="B359" s="377" t="s">
        <v>533</v>
      </c>
      <c r="C359" s="378"/>
      <c r="D359" s="155"/>
      <c r="E359" s="155"/>
      <c r="F359" s="355">
        <f t="shared" si="134"/>
        <v>0</v>
      </c>
      <c r="G359" s="355">
        <f t="shared" si="135"/>
        <v>0</v>
      </c>
      <c r="H359" s="355">
        <f t="shared" si="136"/>
        <v>0</v>
      </c>
      <c r="I359" s="355">
        <f t="shared" si="137"/>
        <v>1.171875</v>
      </c>
      <c r="J359" s="355">
        <f t="shared" si="138"/>
        <v>0</v>
      </c>
      <c r="K359" s="355">
        <f t="shared" si="139"/>
        <v>0</v>
      </c>
      <c r="L359" s="355">
        <f t="shared" si="140"/>
        <v>0</v>
      </c>
      <c r="M359" s="355">
        <f t="shared" si="141"/>
        <v>0</v>
      </c>
      <c r="N359" s="355">
        <f t="shared" si="142"/>
        <v>0</v>
      </c>
      <c r="O359" s="215"/>
      <c r="P359" s="215"/>
      <c r="Q359" s="215"/>
      <c r="R359" s="215"/>
      <c r="S359" s="215"/>
      <c r="T359" s="215"/>
      <c r="U359" s="215"/>
      <c r="V359" s="215"/>
      <c r="W359" s="215"/>
      <c r="X359" s="215"/>
      <c r="Y359" s="215"/>
      <c r="Z359" s="215"/>
      <c r="AA359" s="215"/>
      <c r="AB359" s="215"/>
      <c r="AC359" s="215"/>
      <c r="AD359" s="215"/>
      <c r="AE359" s="346"/>
      <c r="AF359" s="139"/>
      <c r="AG359" s="139"/>
      <c r="AH359" s="139"/>
      <c r="AI359" s="139"/>
    </row>
    <row r="360" spans="1:35" ht="15">
      <c r="A360" s="139"/>
      <c r="B360" s="377" t="s">
        <v>534</v>
      </c>
      <c r="C360" s="378"/>
      <c r="D360" s="155"/>
      <c r="E360" s="155"/>
      <c r="F360" s="355">
        <f t="shared" si="134"/>
        <v>0.3</v>
      </c>
      <c r="G360" s="355">
        <f t="shared" si="135"/>
        <v>0</v>
      </c>
      <c r="H360" s="355">
        <f t="shared" si="136"/>
        <v>0.3</v>
      </c>
      <c r="I360" s="355">
        <f t="shared" si="137"/>
        <v>0</v>
      </c>
      <c r="J360" s="355">
        <f t="shared" si="138"/>
        <v>0</v>
      </c>
      <c r="K360" s="355">
        <f t="shared" si="139"/>
        <v>0</v>
      </c>
      <c r="L360" s="355">
        <f t="shared" si="140"/>
        <v>0</v>
      </c>
      <c r="M360" s="355">
        <f t="shared" si="141"/>
        <v>0</v>
      </c>
      <c r="N360" s="355">
        <f t="shared" si="142"/>
        <v>0</v>
      </c>
      <c r="O360" s="215"/>
      <c r="P360" s="215"/>
      <c r="Q360" s="215"/>
      <c r="R360" s="215"/>
      <c r="S360" s="215"/>
      <c r="T360" s="215"/>
      <c r="U360" s="215"/>
      <c r="V360" s="215"/>
      <c r="W360" s="215"/>
      <c r="X360" s="215"/>
      <c r="Y360" s="215"/>
      <c r="Z360" s="215"/>
      <c r="AA360" s="215"/>
      <c r="AB360" s="215"/>
      <c r="AC360" s="215"/>
      <c r="AD360" s="215"/>
      <c r="AE360" s="346"/>
      <c r="AF360" s="139"/>
      <c r="AG360" s="139"/>
      <c r="AH360" s="139"/>
      <c r="AI360" s="139"/>
    </row>
    <row r="361" spans="1:35" ht="15">
      <c r="A361" s="139"/>
      <c r="B361" s="377" t="s">
        <v>535</v>
      </c>
      <c r="C361" s="378"/>
      <c r="D361" s="155"/>
      <c r="E361" s="155"/>
      <c r="F361" s="355">
        <f t="shared" si="134"/>
        <v>5.5</v>
      </c>
      <c r="G361" s="355">
        <f t="shared" si="135"/>
        <v>4.4</v>
      </c>
      <c r="H361" s="355">
        <f t="shared" si="136"/>
        <v>7.700000000000001</v>
      </c>
      <c r="I361" s="355">
        <f t="shared" si="137"/>
        <v>6.6</v>
      </c>
      <c r="J361" s="355">
        <f t="shared" si="138"/>
        <v>0</v>
      </c>
      <c r="K361" s="355">
        <f t="shared" si="139"/>
        <v>0</v>
      </c>
      <c r="L361" s="355">
        <f t="shared" si="140"/>
        <v>0</v>
      </c>
      <c r="M361" s="355">
        <f t="shared" si="141"/>
        <v>0</v>
      </c>
      <c r="N361" s="355">
        <f t="shared" si="142"/>
        <v>0</v>
      </c>
      <c r="O361" s="215"/>
      <c r="P361" s="215"/>
      <c r="Q361" s="215"/>
      <c r="R361" s="215"/>
      <c r="S361" s="215"/>
      <c r="T361" s="215"/>
      <c r="U361" s="215"/>
      <c r="V361" s="215"/>
      <c r="W361" s="215"/>
      <c r="X361" s="215"/>
      <c r="Y361" s="215"/>
      <c r="Z361" s="215"/>
      <c r="AA361" s="215"/>
      <c r="AB361" s="215"/>
      <c r="AC361" s="215"/>
      <c r="AD361" s="215"/>
      <c r="AE361" s="346"/>
      <c r="AF361" s="139"/>
      <c r="AG361" s="139"/>
      <c r="AH361" s="139"/>
      <c r="AI361" s="139"/>
    </row>
    <row r="362" spans="1:35" ht="15">
      <c r="A362" s="139"/>
      <c r="B362" s="377" t="s">
        <v>537</v>
      </c>
      <c r="C362" s="378"/>
      <c r="D362" s="155"/>
      <c r="E362" s="155"/>
      <c r="F362" s="355">
        <f t="shared" si="134"/>
        <v>7.000000000000001</v>
      </c>
      <c r="G362" s="355">
        <f t="shared" si="135"/>
        <v>11</v>
      </c>
      <c r="H362" s="355">
        <f t="shared" si="136"/>
        <v>9</v>
      </c>
      <c r="I362" s="355">
        <f t="shared" si="137"/>
        <v>5</v>
      </c>
      <c r="J362" s="355">
        <f t="shared" si="138"/>
        <v>0</v>
      </c>
      <c r="K362" s="355">
        <f t="shared" si="139"/>
        <v>0</v>
      </c>
      <c r="L362" s="355">
        <f t="shared" si="140"/>
        <v>0</v>
      </c>
      <c r="M362" s="355">
        <f t="shared" si="141"/>
        <v>0</v>
      </c>
      <c r="N362" s="355">
        <f t="shared" si="142"/>
        <v>0</v>
      </c>
      <c r="O362" s="215"/>
      <c r="P362" s="215"/>
      <c r="Q362" s="215"/>
      <c r="R362" s="215"/>
      <c r="S362" s="215"/>
      <c r="T362" s="215"/>
      <c r="U362" s="215"/>
      <c r="V362" s="215"/>
      <c r="W362" s="215"/>
      <c r="X362" s="215"/>
      <c r="Y362" s="215"/>
      <c r="Z362" s="215"/>
      <c r="AA362" s="215"/>
      <c r="AB362" s="215"/>
      <c r="AC362" s="215"/>
      <c r="AD362" s="215"/>
      <c r="AE362" s="346"/>
      <c r="AF362" s="139"/>
      <c r="AG362" s="139"/>
      <c r="AH362" s="139"/>
      <c r="AI362" s="139"/>
    </row>
    <row r="363" spans="1:35" ht="15">
      <c r="A363" s="139"/>
      <c r="B363" s="377" t="s">
        <v>538</v>
      </c>
      <c r="C363" s="378"/>
      <c r="D363" s="155"/>
      <c r="E363" s="155"/>
      <c r="F363" s="355">
        <f t="shared" si="134"/>
        <v>0</v>
      </c>
      <c r="G363" s="355">
        <f t="shared" si="135"/>
        <v>1.404</v>
      </c>
      <c r="H363" s="355">
        <f t="shared" si="136"/>
        <v>0</v>
      </c>
      <c r="I363" s="355">
        <f t="shared" si="137"/>
        <v>0</v>
      </c>
      <c r="J363" s="355">
        <f t="shared" si="138"/>
        <v>0</v>
      </c>
      <c r="K363" s="355">
        <f t="shared" si="139"/>
        <v>0</v>
      </c>
      <c r="L363" s="355">
        <f t="shared" si="140"/>
        <v>0</v>
      </c>
      <c r="M363" s="355">
        <f t="shared" si="141"/>
        <v>0</v>
      </c>
      <c r="N363" s="355">
        <f t="shared" si="142"/>
        <v>0</v>
      </c>
      <c r="O363" s="215"/>
      <c r="P363" s="215"/>
      <c r="Q363" s="215"/>
      <c r="R363" s="215"/>
      <c r="S363" s="215"/>
      <c r="T363" s="215"/>
      <c r="U363" s="215"/>
      <c r="V363" s="215"/>
      <c r="W363" s="215"/>
      <c r="X363" s="215"/>
      <c r="Y363" s="215"/>
      <c r="Z363" s="215"/>
      <c r="AA363" s="215"/>
      <c r="AB363" s="215"/>
      <c r="AC363" s="215"/>
      <c r="AD363" s="215"/>
      <c r="AE363" s="346"/>
      <c r="AF363" s="139"/>
      <c r="AG363" s="139"/>
      <c r="AH363" s="139"/>
      <c r="AI363" s="139"/>
    </row>
    <row r="364" spans="1:35" ht="15">
      <c r="A364" s="139"/>
      <c r="B364" s="377" t="s">
        <v>50</v>
      </c>
      <c r="C364" s="378"/>
      <c r="D364" s="155"/>
      <c r="E364" s="155"/>
      <c r="F364" s="355">
        <f t="shared" si="134"/>
        <v>0</v>
      </c>
      <c r="G364" s="355">
        <f t="shared" si="135"/>
        <v>0</v>
      </c>
      <c r="H364" s="355">
        <f t="shared" si="136"/>
        <v>0</v>
      </c>
      <c r="I364" s="355">
        <f t="shared" si="137"/>
        <v>0</v>
      </c>
      <c r="J364" s="355">
        <f t="shared" si="138"/>
        <v>0</v>
      </c>
      <c r="K364" s="355">
        <f t="shared" si="139"/>
        <v>0</v>
      </c>
      <c r="L364" s="355">
        <f t="shared" si="140"/>
        <v>0</v>
      </c>
      <c r="M364" s="355">
        <f t="shared" si="141"/>
        <v>0</v>
      </c>
      <c r="N364" s="355">
        <f t="shared" si="142"/>
        <v>0</v>
      </c>
      <c r="O364" s="215"/>
      <c r="P364" s="215"/>
      <c r="Q364" s="215"/>
      <c r="R364" s="215"/>
      <c r="S364" s="215"/>
      <c r="T364" s="215"/>
      <c r="U364" s="215"/>
      <c r="V364" s="215"/>
      <c r="W364" s="215"/>
      <c r="X364" s="215"/>
      <c r="Y364" s="215"/>
      <c r="Z364" s="215"/>
      <c r="AA364" s="215"/>
      <c r="AB364" s="215"/>
      <c r="AC364" s="215"/>
      <c r="AD364" s="215"/>
      <c r="AE364" s="346"/>
      <c r="AF364" s="139"/>
      <c r="AG364" s="139"/>
      <c r="AH364" s="139"/>
      <c r="AI364" s="139"/>
    </row>
    <row r="365" spans="1:35" ht="15">
      <c r="A365" s="139"/>
      <c r="B365" s="377" t="s">
        <v>51</v>
      </c>
      <c r="C365" s="378"/>
      <c r="D365" s="155"/>
      <c r="E365" s="155"/>
      <c r="F365" s="355">
        <f t="shared" si="134"/>
        <v>0</v>
      </c>
      <c r="G365" s="355">
        <f t="shared" si="135"/>
        <v>0</v>
      </c>
      <c r="H365" s="355">
        <f t="shared" si="136"/>
        <v>0</v>
      </c>
      <c r="I365" s="355">
        <f t="shared" si="137"/>
        <v>0</v>
      </c>
      <c r="J365" s="355">
        <f t="shared" si="138"/>
        <v>0</v>
      </c>
      <c r="K365" s="355">
        <f t="shared" si="139"/>
        <v>0</v>
      </c>
      <c r="L365" s="355">
        <f t="shared" si="140"/>
        <v>0</v>
      </c>
      <c r="M365" s="355">
        <f t="shared" si="141"/>
        <v>0</v>
      </c>
      <c r="N365" s="355">
        <f t="shared" si="142"/>
        <v>0</v>
      </c>
      <c r="O365" s="215"/>
      <c r="P365" s="215"/>
      <c r="Q365" s="215"/>
      <c r="R365" s="215"/>
      <c r="S365" s="215"/>
      <c r="T365" s="215"/>
      <c r="U365" s="215"/>
      <c r="V365" s="215"/>
      <c r="W365" s="215"/>
      <c r="X365" s="215"/>
      <c r="Y365" s="215"/>
      <c r="Z365" s="215"/>
      <c r="AA365" s="215"/>
      <c r="AB365" s="215"/>
      <c r="AC365" s="215"/>
      <c r="AD365" s="215"/>
      <c r="AE365" s="346"/>
      <c r="AF365" s="139"/>
      <c r="AG365" s="139"/>
      <c r="AH365" s="139"/>
      <c r="AI365" s="139"/>
    </row>
    <row r="366" spans="1:35" ht="15">
      <c r="A366" s="139"/>
      <c r="B366" s="377" t="s">
        <v>52</v>
      </c>
      <c r="C366" s="378"/>
      <c r="D366" s="155"/>
      <c r="E366" s="155"/>
      <c r="F366" s="355">
        <f t="shared" si="134"/>
        <v>0</v>
      </c>
      <c r="G366" s="355">
        <f t="shared" si="135"/>
        <v>0</v>
      </c>
      <c r="H366" s="355">
        <f t="shared" si="136"/>
        <v>0</v>
      </c>
      <c r="I366" s="355">
        <f t="shared" si="137"/>
        <v>0</v>
      </c>
      <c r="J366" s="355">
        <f t="shared" si="138"/>
        <v>0</v>
      </c>
      <c r="K366" s="355">
        <f t="shared" si="139"/>
        <v>0</v>
      </c>
      <c r="L366" s="355">
        <f t="shared" si="140"/>
        <v>0</v>
      </c>
      <c r="M366" s="355">
        <f t="shared" si="141"/>
        <v>0</v>
      </c>
      <c r="N366" s="355">
        <f t="shared" si="142"/>
        <v>0</v>
      </c>
      <c r="O366" s="215"/>
      <c r="P366" s="215"/>
      <c r="Q366" s="215"/>
      <c r="R366" s="215"/>
      <c r="S366" s="215"/>
      <c r="T366" s="215"/>
      <c r="U366" s="215"/>
      <c r="V366" s="215"/>
      <c r="W366" s="215"/>
      <c r="X366" s="215"/>
      <c r="Y366" s="215"/>
      <c r="Z366" s="215"/>
      <c r="AA366" s="215"/>
      <c r="AB366" s="215"/>
      <c r="AC366" s="215"/>
      <c r="AD366" s="215"/>
      <c r="AE366" s="346"/>
      <c r="AF366" s="139"/>
      <c r="AG366" s="139"/>
      <c r="AH366" s="139"/>
      <c r="AI366" s="139"/>
    </row>
    <row r="367" spans="1:35" ht="15">
      <c r="A367" s="139"/>
      <c r="B367" s="377" t="s">
        <v>539</v>
      </c>
      <c r="C367" s="378"/>
      <c r="D367" s="155"/>
      <c r="E367" s="155"/>
      <c r="F367" s="355">
        <f t="shared" si="134"/>
        <v>0</v>
      </c>
      <c r="G367" s="355">
        <f t="shared" si="135"/>
        <v>0</v>
      </c>
      <c r="H367" s="355">
        <f t="shared" si="136"/>
        <v>0</v>
      </c>
      <c r="I367" s="355">
        <f t="shared" si="137"/>
        <v>0</v>
      </c>
      <c r="J367" s="355">
        <f t="shared" si="138"/>
        <v>0</v>
      </c>
      <c r="K367" s="355">
        <f t="shared" si="139"/>
        <v>0</v>
      </c>
      <c r="L367" s="355">
        <f t="shared" si="140"/>
        <v>0</v>
      </c>
      <c r="M367" s="355">
        <f t="shared" si="141"/>
        <v>0</v>
      </c>
      <c r="N367" s="355">
        <f t="shared" si="142"/>
        <v>0</v>
      </c>
      <c r="O367" s="215"/>
      <c r="P367" s="215"/>
      <c r="Q367" s="215"/>
      <c r="R367" s="215"/>
      <c r="S367" s="215"/>
      <c r="T367" s="215"/>
      <c r="U367" s="215"/>
      <c r="V367" s="215"/>
      <c r="W367" s="215"/>
      <c r="X367" s="215"/>
      <c r="Y367" s="215"/>
      <c r="Z367" s="215"/>
      <c r="AA367" s="215"/>
      <c r="AB367" s="215"/>
      <c r="AC367" s="215"/>
      <c r="AD367" s="215"/>
      <c r="AE367" s="346"/>
      <c r="AF367" s="139"/>
      <c r="AG367" s="139"/>
      <c r="AH367" s="139"/>
      <c r="AI367" s="139"/>
    </row>
    <row r="368" spans="1:35" ht="15">
      <c r="A368" s="139"/>
      <c r="B368" s="377" t="s">
        <v>53</v>
      </c>
      <c r="C368" s="378"/>
      <c r="D368" s="155"/>
      <c r="E368" s="155"/>
      <c r="F368" s="355">
        <f t="shared" si="134"/>
        <v>8.05</v>
      </c>
      <c r="G368" s="355">
        <f t="shared" si="135"/>
        <v>8.05</v>
      </c>
      <c r="H368" s="355">
        <f t="shared" si="136"/>
        <v>9.4</v>
      </c>
      <c r="I368" s="355">
        <f t="shared" si="137"/>
        <v>6</v>
      </c>
      <c r="J368" s="355">
        <f t="shared" si="138"/>
        <v>0</v>
      </c>
      <c r="K368" s="355">
        <f t="shared" si="139"/>
        <v>0</v>
      </c>
      <c r="L368" s="355">
        <f t="shared" si="140"/>
        <v>0</v>
      </c>
      <c r="M368" s="355">
        <f t="shared" si="141"/>
        <v>0</v>
      </c>
      <c r="N368" s="355">
        <f t="shared" si="142"/>
        <v>0</v>
      </c>
      <c r="O368" s="215"/>
      <c r="P368" s="215"/>
      <c r="Q368" s="215"/>
      <c r="R368" s="215"/>
      <c r="S368" s="215"/>
      <c r="T368" s="215"/>
      <c r="U368" s="215"/>
      <c r="V368" s="215"/>
      <c r="W368" s="215"/>
      <c r="X368" s="215"/>
      <c r="Y368" s="215"/>
      <c r="Z368" s="215"/>
      <c r="AA368" s="215"/>
      <c r="AB368" s="215"/>
      <c r="AC368" s="215"/>
      <c r="AD368" s="215"/>
      <c r="AE368" s="346"/>
      <c r="AF368" s="139"/>
      <c r="AG368" s="139"/>
      <c r="AH368" s="139"/>
      <c r="AI368" s="139"/>
    </row>
    <row r="369" spans="1:35" ht="15">
      <c r="A369" s="139"/>
      <c r="B369" s="377" t="s">
        <v>540</v>
      </c>
      <c r="C369" s="378"/>
      <c r="D369" s="155"/>
      <c r="E369" s="155"/>
      <c r="F369" s="355">
        <f t="shared" si="134"/>
        <v>2</v>
      </c>
      <c r="G369" s="355">
        <f t="shared" si="135"/>
        <v>0</v>
      </c>
      <c r="H369" s="355">
        <f t="shared" si="136"/>
        <v>2</v>
      </c>
      <c r="I369" s="355">
        <f t="shared" si="137"/>
        <v>0</v>
      </c>
      <c r="J369" s="355">
        <f t="shared" si="138"/>
        <v>0</v>
      </c>
      <c r="K369" s="355">
        <f t="shared" si="139"/>
        <v>0</v>
      </c>
      <c r="L369" s="355">
        <f t="shared" si="140"/>
        <v>0</v>
      </c>
      <c r="M369" s="355">
        <f t="shared" si="141"/>
        <v>0</v>
      </c>
      <c r="N369" s="355">
        <f t="shared" si="142"/>
        <v>0</v>
      </c>
      <c r="O369" s="215"/>
      <c r="P369" s="215"/>
      <c r="Q369" s="215"/>
      <c r="R369" s="215"/>
      <c r="S369" s="215"/>
      <c r="T369" s="215"/>
      <c r="U369" s="215"/>
      <c r="V369" s="215"/>
      <c r="W369" s="215"/>
      <c r="X369" s="215"/>
      <c r="Y369" s="215"/>
      <c r="Z369" s="215"/>
      <c r="AA369" s="215"/>
      <c r="AB369" s="215"/>
      <c r="AC369" s="215"/>
      <c r="AD369" s="215"/>
      <c r="AE369" s="346"/>
      <c r="AF369" s="139"/>
      <c r="AG369" s="139"/>
      <c r="AH369" s="139"/>
      <c r="AI369" s="139"/>
    </row>
    <row r="370" spans="1:35" ht="15">
      <c r="A370" s="139"/>
      <c r="B370" s="499" t="s">
        <v>54</v>
      </c>
      <c r="C370" s="460"/>
      <c r="D370" s="155"/>
      <c r="E370" s="155"/>
      <c r="F370" s="355">
        <f t="shared" si="134"/>
        <v>0</v>
      </c>
      <c r="G370" s="355">
        <f t="shared" si="135"/>
        <v>0</v>
      </c>
      <c r="H370" s="355">
        <f t="shared" si="136"/>
        <v>0</v>
      </c>
      <c r="I370" s="355">
        <f t="shared" si="137"/>
        <v>0</v>
      </c>
      <c r="J370" s="355">
        <f t="shared" si="138"/>
        <v>0</v>
      </c>
      <c r="K370" s="355">
        <f t="shared" si="139"/>
        <v>0</v>
      </c>
      <c r="L370" s="355">
        <f t="shared" si="140"/>
        <v>0</v>
      </c>
      <c r="M370" s="355">
        <f t="shared" si="141"/>
        <v>0</v>
      </c>
      <c r="N370" s="355">
        <f t="shared" si="142"/>
        <v>0</v>
      </c>
      <c r="O370" s="215"/>
      <c r="P370" s="215"/>
      <c r="Q370" s="215"/>
      <c r="R370" s="215"/>
      <c r="S370" s="215"/>
      <c r="T370" s="215"/>
      <c r="U370" s="215"/>
      <c r="V370" s="215"/>
      <c r="W370" s="215"/>
      <c r="X370" s="215"/>
      <c r="Y370" s="215"/>
      <c r="Z370" s="215"/>
      <c r="AA370" s="215"/>
      <c r="AB370" s="215"/>
      <c r="AC370" s="215"/>
      <c r="AD370" s="215"/>
      <c r="AE370" s="346"/>
      <c r="AF370" s="139"/>
      <c r="AG370" s="139"/>
      <c r="AH370" s="139"/>
      <c r="AI370" s="139"/>
    </row>
    <row r="371" spans="1:35" ht="15">
      <c r="A371" s="139"/>
      <c r="B371" s="500" t="s">
        <v>55</v>
      </c>
      <c r="C371" s="501"/>
      <c r="D371" s="155"/>
      <c r="E371" s="155"/>
      <c r="F371" s="355">
        <f t="shared" si="134"/>
        <v>0</v>
      </c>
      <c r="G371" s="355">
        <f t="shared" si="135"/>
        <v>0</v>
      </c>
      <c r="H371" s="355">
        <f t="shared" si="136"/>
        <v>0</v>
      </c>
      <c r="I371" s="355">
        <f t="shared" si="137"/>
        <v>0</v>
      </c>
      <c r="J371" s="355">
        <f t="shared" si="138"/>
        <v>0</v>
      </c>
      <c r="K371" s="355">
        <f t="shared" si="139"/>
        <v>0</v>
      </c>
      <c r="L371" s="355">
        <f t="shared" si="140"/>
        <v>0</v>
      </c>
      <c r="M371" s="355">
        <f t="shared" si="141"/>
        <v>0</v>
      </c>
      <c r="N371" s="355">
        <f t="shared" si="142"/>
        <v>0</v>
      </c>
      <c r="O371" s="215"/>
      <c r="P371" s="215"/>
      <c r="Q371" s="215"/>
      <c r="R371" s="215"/>
      <c r="S371" s="215"/>
      <c r="T371" s="215"/>
      <c r="U371" s="215"/>
      <c r="V371" s="215"/>
      <c r="W371" s="215"/>
      <c r="X371" s="215"/>
      <c r="Y371" s="215"/>
      <c r="Z371" s="215"/>
      <c r="AA371" s="215"/>
      <c r="AB371" s="215"/>
      <c r="AC371" s="215"/>
      <c r="AD371" s="215"/>
      <c r="AE371" s="346"/>
      <c r="AF371" s="139"/>
      <c r="AG371" s="139"/>
      <c r="AH371" s="139"/>
      <c r="AI371" s="139"/>
    </row>
    <row r="372" spans="1:35" ht="15">
      <c r="A372" s="139"/>
      <c r="B372" s="236" t="s">
        <v>291</v>
      </c>
      <c r="C372" s="178"/>
      <c r="D372" s="155"/>
      <c r="E372" s="155"/>
      <c r="F372" s="355">
        <f t="shared" si="134"/>
        <v>24.184474802740468</v>
      </c>
      <c r="G372" s="355">
        <f t="shared" si="135"/>
        <v>20.05724747337539</v>
      </c>
      <c r="H372" s="355">
        <f t="shared" si="136"/>
        <v>19.145246826549993</v>
      </c>
      <c r="I372" s="355">
        <f t="shared" si="137"/>
        <v>21.09472222337539</v>
      </c>
      <c r="J372" s="355">
        <f t="shared" si="138"/>
        <v>8.427892170329669</v>
      </c>
      <c r="K372" s="355">
        <f t="shared" si="139"/>
        <v>0</v>
      </c>
      <c r="L372" s="355">
        <f t="shared" si="140"/>
        <v>0</v>
      </c>
      <c r="M372" s="355">
        <f t="shared" si="141"/>
        <v>0</v>
      </c>
      <c r="N372" s="355">
        <f t="shared" si="142"/>
        <v>0</v>
      </c>
      <c r="O372" s="215"/>
      <c r="P372" s="215"/>
      <c r="Q372" s="215"/>
      <c r="R372" s="215"/>
      <c r="S372" s="215"/>
      <c r="T372" s="215"/>
      <c r="U372" s="215"/>
      <c r="V372" s="215"/>
      <c r="W372" s="215"/>
      <c r="X372" s="215"/>
      <c r="Y372" s="215"/>
      <c r="Z372" s="215"/>
      <c r="AA372" s="215"/>
      <c r="AB372" s="215"/>
      <c r="AC372" s="215"/>
      <c r="AD372" s="215"/>
      <c r="AE372" s="346"/>
      <c r="AF372" s="139"/>
      <c r="AG372" s="139"/>
      <c r="AH372" s="139"/>
      <c r="AI372" s="139"/>
    </row>
    <row r="373" spans="1:35" ht="15.75" thickBot="1">
      <c r="A373" s="139"/>
      <c r="B373" s="472" t="s">
        <v>292</v>
      </c>
      <c r="C373" s="359"/>
      <c r="D373" s="360"/>
      <c r="E373" s="360"/>
      <c r="F373" s="358">
        <f t="shared" si="134"/>
        <v>3.384478488164428</v>
      </c>
      <c r="G373" s="358">
        <f t="shared" si="135"/>
        <v>1.6733436742012617</v>
      </c>
      <c r="H373" s="358">
        <f t="shared" si="136"/>
        <v>3.415664809593</v>
      </c>
      <c r="I373" s="358">
        <f t="shared" si="137"/>
        <v>1.4191979167012618</v>
      </c>
      <c r="J373" s="358">
        <f t="shared" si="138"/>
        <v>0.40019676510989005</v>
      </c>
      <c r="K373" s="358">
        <f t="shared" si="139"/>
        <v>0</v>
      </c>
      <c r="L373" s="358">
        <f t="shared" si="140"/>
        <v>0</v>
      </c>
      <c r="M373" s="358">
        <f t="shared" si="141"/>
        <v>0</v>
      </c>
      <c r="N373" s="358">
        <f t="shared" si="142"/>
        <v>0</v>
      </c>
      <c r="O373" s="215"/>
      <c r="P373" s="215"/>
      <c r="Q373" s="215"/>
      <c r="R373" s="215"/>
      <c r="S373" s="215"/>
      <c r="T373" s="215"/>
      <c r="U373" s="215"/>
      <c r="V373" s="215"/>
      <c r="W373" s="215"/>
      <c r="X373" s="215"/>
      <c r="Y373" s="215"/>
      <c r="Z373" s="215"/>
      <c r="AA373" s="215"/>
      <c r="AB373" s="215"/>
      <c r="AC373" s="215"/>
      <c r="AD373" s="215"/>
      <c r="AE373" s="346"/>
      <c r="AF373" s="139"/>
      <c r="AG373" s="139"/>
      <c r="AH373" s="139"/>
      <c r="AI373" s="139"/>
    </row>
    <row r="374" spans="1:35" ht="15.75" thickTop="1">
      <c r="A374" s="139"/>
      <c r="B374" s="236" t="s">
        <v>293</v>
      </c>
      <c r="C374" s="178"/>
      <c r="D374" s="155"/>
      <c r="E374" s="155"/>
      <c r="F374" s="355">
        <f t="shared" si="134"/>
        <v>59.792453290904895</v>
      </c>
      <c r="G374" s="355">
        <f t="shared" si="135"/>
        <v>57.45146614757665</v>
      </c>
      <c r="H374" s="355">
        <f t="shared" si="136"/>
        <v>60.34341163614299</v>
      </c>
      <c r="I374" s="355">
        <f t="shared" si="137"/>
        <v>48.725795140076656</v>
      </c>
      <c r="J374" s="355">
        <f t="shared" si="138"/>
        <v>13.740088935439559</v>
      </c>
      <c r="K374" s="355">
        <f t="shared" si="139"/>
        <v>0</v>
      </c>
      <c r="L374" s="355">
        <f t="shared" si="140"/>
        <v>0</v>
      </c>
      <c r="M374" s="355">
        <f t="shared" si="141"/>
        <v>0</v>
      </c>
      <c r="N374" s="355">
        <f t="shared" si="142"/>
        <v>0</v>
      </c>
      <c r="O374" s="215"/>
      <c r="P374" s="215"/>
      <c r="Q374" s="215"/>
      <c r="R374" s="215"/>
      <c r="S374" s="215"/>
      <c r="T374" s="215"/>
      <c r="U374" s="215"/>
      <c r="V374" s="215"/>
      <c r="W374" s="215"/>
      <c r="X374" s="215"/>
      <c r="Y374" s="215"/>
      <c r="Z374" s="215"/>
      <c r="AA374" s="215"/>
      <c r="AB374" s="215"/>
      <c r="AC374" s="215"/>
      <c r="AD374" s="215"/>
      <c r="AE374" s="346"/>
      <c r="AF374" s="139"/>
      <c r="AG374" s="139"/>
      <c r="AH374" s="139"/>
      <c r="AI374" s="139"/>
    </row>
    <row r="375" spans="1:35" ht="15">
      <c r="A375" s="139"/>
      <c r="B375" s="236"/>
      <c r="C375" s="178"/>
      <c r="D375" s="155"/>
      <c r="E375" s="155"/>
      <c r="F375" s="241"/>
      <c r="G375" s="241"/>
      <c r="H375" s="241"/>
      <c r="I375" s="241"/>
      <c r="J375" s="241"/>
      <c r="K375" s="241"/>
      <c r="L375" s="241"/>
      <c r="M375" s="241"/>
      <c r="N375" s="241"/>
      <c r="O375" s="215"/>
      <c r="P375" s="215"/>
      <c r="Q375" s="215"/>
      <c r="R375" s="215"/>
      <c r="S375" s="215"/>
      <c r="T375" s="215"/>
      <c r="U375" s="215"/>
      <c r="V375" s="215"/>
      <c r="W375" s="215"/>
      <c r="X375" s="215"/>
      <c r="Y375" s="215"/>
      <c r="Z375" s="215"/>
      <c r="AA375" s="215"/>
      <c r="AB375" s="215"/>
      <c r="AC375" s="215"/>
      <c r="AD375" s="215"/>
      <c r="AE375" s="346"/>
      <c r="AF375" s="139"/>
      <c r="AG375" s="139"/>
      <c r="AH375" s="139"/>
      <c r="AI375" s="139"/>
    </row>
    <row r="376" spans="1:35" ht="15">
      <c r="A376" s="139"/>
      <c r="B376" s="473" t="s">
        <v>294</v>
      </c>
      <c r="C376" s="178"/>
      <c r="D376" s="155"/>
      <c r="E376" s="155"/>
      <c r="F376" s="355">
        <f aca="true" t="shared" si="143" ref="F376:F385">G317</f>
        <v>0</v>
      </c>
      <c r="G376" s="355">
        <f aca="true" t="shared" si="144" ref="G376:G385">J317</f>
        <v>0</v>
      </c>
      <c r="H376" s="355">
        <f aca="true" t="shared" si="145" ref="H376:H385">M317</f>
        <v>0</v>
      </c>
      <c r="I376" s="355">
        <f aca="true" t="shared" si="146" ref="I376:I385">P317</f>
        <v>0</v>
      </c>
      <c r="J376" s="355">
        <f aca="true" t="shared" si="147" ref="J376:J385">S317</f>
        <v>0</v>
      </c>
      <c r="K376" s="355">
        <f aca="true" t="shared" si="148" ref="K376:K385">V317</f>
        <v>0</v>
      </c>
      <c r="L376" s="355">
        <f aca="true" t="shared" si="149" ref="L376:L385">Y317</f>
        <v>0</v>
      </c>
      <c r="M376" s="355">
        <f aca="true" t="shared" si="150" ref="M376:M385">AB317</f>
        <v>0</v>
      </c>
      <c r="N376" s="355">
        <f aca="true" t="shared" si="151" ref="N376:N385">AE317</f>
        <v>0</v>
      </c>
      <c r="O376" s="215"/>
      <c r="P376" s="215"/>
      <c r="Q376" s="215"/>
      <c r="R376" s="215"/>
      <c r="S376" s="215"/>
      <c r="T376" s="215"/>
      <c r="U376" s="215"/>
      <c r="V376" s="215"/>
      <c r="W376" s="215"/>
      <c r="X376" s="215"/>
      <c r="Y376" s="215"/>
      <c r="Z376" s="215"/>
      <c r="AA376" s="215"/>
      <c r="AB376" s="215"/>
      <c r="AC376" s="215"/>
      <c r="AD376" s="215"/>
      <c r="AE376" s="346"/>
      <c r="AF376" s="139"/>
      <c r="AG376" s="139"/>
      <c r="AH376" s="139"/>
      <c r="AI376" s="139"/>
    </row>
    <row r="377" spans="1:35" ht="15">
      <c r="A377" s="139"/>
      <c r="B377" s="236" t="s">
        <v>298</v>
      </c>
      <c r="C377" s="178"/>
      <c r="D377" s="155"/>
      <c r="E377" s="155"/>
      <c r="F377" s="355">
        <f t="shared" si="143"/>
        <v>2</v>
      </c>
      <c r="G377" s="355">
        <f t="shared" si="144"/>
        <v>2</v>
      </c>
      <c r="H377" s="355">
        <f t="shared" si="145"/>
        <v>2</v>
      </c>
      <c r="I377" s="355">
        <f t="shared" si="146"/>
        <v>2</v>
      </c>
      <c r="J377" s="355">
        <f t="shared" si="147"/>
        <v>2</v>
      </c>
      <c r="K377" s="355">
        <f t="shared" si="148"/>
        <v>0</v>
      </c>
      <c r="L377" s="355">
        <f t="shared" si="149"/>
        <v>0</v>
      </c>
      <c r="M377" s="355">
        <f t="shared" si="150"/>
        <v>0</v>
      </c>
      <c r="N377" s="355">
        <f t="shared" si="151"/>
        <v>0</v>
      </c>
      <c r="O377" s="215"/>
      <c r="P377" s="215"/>
      <c r="Q377" s="215"/>
      <c r="R377" s="215"/>
      <c r="S377" s="215"/>
      <c r="T377" s="215"/>
      <c r="U377" s="215"/>
      <c r="V377" s="215"/>
      <c r="W377" s="215"/>
      <c r="X377" s="215"/>
      <c r="Y377" s="215"/>
      <c r="Z377" s="215"/>
      <c r="AA377" s="215"/>
      <c r="AB377" s="215"/>
      <c r="AC377" s="215"/>
      <c r="AD377" s="215"/>
      <c r="AE377" s="346"/>
      <c r="AF377" s="139"/>
      <c r="AG377" s="139"/>
      <c r="AH377" s="139"/>
      <c r="AI377" s="139"/>
    </row>
    <row r="378" spans="1:35" ht="15">
      <c r="A378" s="139"/>
      <c r="B378" s="236" t="s">
        <v>295</v>
      </c>
      <c r="C378" s="178"/>
      <c r="D378" s="155"/>
      <c r="E378" s="155"/>
      <c r="F378" s="355">
        <f t="shared" si="143"/>
        <v>0.25</v>
      </c>
      <c r="G378" s="355">
        <f t="shared" si="144"/>
        <v>0.25</v>
      </c>
      <c r="H378" s="355">
        <f t="shared" si="145"/>
        <v>0.25</v>
      </c>
      <c r="I378" s="355">
        <f t="shared" si="146"/>
        <v>0.25</v>
      </c>
      <c r="J378" s="355">
        <f t="shared" si="147"/>
        <v>0.25</v>
      </c>
      <c r="K378" s="355">
        <f t="shared" si="148"/>
        <v>0</v>
      </c>
      <c r="L378" s="355">
        <f t="shared" si="149"/>
        <v>0</v>
      </c>
      <c r="M378" s="355">
        <f t="shared" si="150"/>
        <v>0</v>
      </c>
      <c r="N378" s="355">
        <f t="shared" si="151"/>
        <v>0</v>
      </c>
      <c r="O378" s="215"/>
      <c r="P378" s="215"/>
      <c r="Q378" s="215"/>
      <c r="R378" s="215"/>
      <c r="S378" s="215"/>
      <c r="T378" s="215"/>
      <c r="U378" s="215"/>
      <c r="V378" s="215"/>
      <c r="W378" s="215"/>
      <c r="X378" s="215"/>
      <c r="Y378" s="215"/>
      <c r="Z378" s="215"/>
      <c r="AA378" s="215"/>
      <c r="AB378" s="215"/>
      <c r="AC378" s="215"/>
      <c r="AD378" s="215"/>
      <c r="AE378" s="346"/>
      <c r="AF378" s="139"/>
      <c r="AG378" s="139"/>
      <c r="AH378" s="139"/>
      <c r="AI378" s="139"/>
    </row>
    <row r="379" spans="1:35" ht="15">
      <c r="A379" s="139"/>
      <c r="B379" s="236" t="s">
        <v>296</v>
      </c>
      <c r="C379" s="178"/>
      <c r="D379" s="155"/>
      <c r="E379" s="155"/>
      <c r="F379" s="355">
        <f t="shared" si="143"/>
        <v>0</v>
      </c>
      <c r="G379" s="355">
        <f t="shared" si="144"/>
        <v>0</v>
      </c>
      <c r="H379" s="355">
        <f t="shared" si="145"/>
        <v>0</v>
      </c>
      <c r="I379" s="355">
        <f t="shared" si="146"/>
        <v>0</v>
      </c>
      <c r="J379" s="355">
        <f t="shared" si="147"/>
        <v>0</v>
      </c>
      <c r="K379" s="355">
        <f t="shared" si="148"/>
        <v>0</v>
      </c>
      <c r="L379" s="355">
        <f t="shared" si="149"/>
        <v>0</v>
      </c>
      <c r="M379" s="355">
        <f t="shared" si="150"/>
        <v>0</v>
      </c>
      <c r="N379" s="355">
        <f t="shared" si="151"/>
        <v>0</v>
      </c>
      <c r="O379" s="215"/>
      <c r="P379" s="215"/>
      <c r="Q379" s="215"/>
      <c r="R379" s="215"/>
      <c r="S379" s="215"/>
      <c r="T379" s="215"/>
      <c r="U379" s="215"/>
      <c r="V379" s="215"/>
      <c r="W379" s="215"/>
      <c r="X379" s="215"/>
      <c r="Y379" s="215"/>
      <c r="Z379" s="215"/>
      <c r="AA379" s="215"/>
      <c r="AB379" s="215"/>
      <c r="AC379" s="215"/>
      <c r="AD379" s="215"/>
      <c r="AE379" s="346"/>
      <c r="AF379" s="139"/>
      <c r="AG379" s="139"/>
      <c r="AH379" s="139"/>
      <c r="AI379" s="139"/>
    </row>
    <row r="380" spans="1:35" ht="15">
      <c r="A380" s="139"/>
      <c r="B380" s="236" t="s">
        <v>297</v>
      </c>
      <c r="C380" s="178"/>
      <c r="D380" s="155"/>
      <c r="E380" s="155"/>
      <c r="F380" s="355">
        <f t="shared" si="143"/>
        <v>0</v>
      </c>
      <c r="G380" s="355">
        <f t="shared" si="144"/>
        <v>0</v>
      </c>
      <c r="H380" s="355">
        <f t="shared" si="145"/>
        <v>0</v>
      </c>
      <c r="I380" s="355">
        <f t="shared" si="146"/>
        <v>0</v>
      </c>
      <c r="J380" s="355">
        <f t="shared" si="147"/>
        <v>0</v>
      </c>
      <c r="K380" s="355">
        <f t="shared" si="148"/>
        <v>0</v>
      </c>
      <c r="L380" s="355">
        <f t="shared" si="149"/>
        <v>0</v>
      </c>
      <c r="M380" s="355">
        <f t="shared" si="150"/>
        <v>0</v>
      </c>
      <c r="N380" s="355">
        <f t="shared" si="151"/>
        <v>0</v>
      </c>
      <c r="O380" s="215"/>
      <c r="P380" s="215"/>
      <c r="Q380" s="215"/>
      <c r="R380" s="215"/>
      <c r="S380" s="215"/>
      <c r="T380" s="215"/>
      <c r="U380" s="215"/>
      <c r="V380" s="215"/>
      <c r="W380" s="215"/>
      <c r="X380" s="215"/>
      <c r="Y380" s="215"/>
      <c r="Z380" s="215"/>
      <c r="AA380" s="215"/>
      <c r="AB380" s="215"/>
      <c r="AC380" s="215"/>
      <c r="AD380" s="215"/>
      <c r="AE380" s="346"/>
      <c r="AF380" s="139"/>
      <c r="AG380" s="139"/>
      <c r="AH380" s="139"/>
      <c r="AI380" s="139"/>
    </row>
    <row r="381" spans="1:35" ht="15">
      <c r="A381" s="139"/>
      <c r="B381" s="236" t="s">
        <v>299</v>
      </c>
      <c r="C381" s="178"/>
      <c r="D381" s="155"/>
      <c r="E381" s="155"/>
      <c r="F381" s="355">
        <f t="shared" si="143"/>
        <v>340</v>
      </c>
      <c r="G381" s="355">
        <f t="shared" si="144"/>
        <v>340</v>
      </c>
      <c r="H381" s="355">
        <f t="shared" si="145"/>
        <v>340</v>
      </c>
      <c r="I381" s="355">
        <f t="shared" si="146"/>
        <v>340</v>
      </c>
      <c r="J381" s="355">
        <f t="shared" si="147"/>
        <v>340</v>
      </c>
      <c r="K381" s="355">
        <f t="shared" si="148"/>
        <v>0</v>
      </c>
      <c r="L381" s="355">
        <f t="shared" si="149"/>
        <v>0</v>
      </c>
      <c r="M381" s="355">
        <f t="shared" si="150"/>
        <v>0</v>
      </c>
      <c r="N381" s="355">
        <f t="shared" si="151"/>
        <v>0</v>
      </c>
      <c r="O381" s="215"/>
      <c r="P381" s="215"/>
      <c r="Q381" s="215"/>
      <c r="R381" s="215"/>
      <c r="S381" s="215"/>
      <c r="T381" s="215"/>
      <c r="U381" s="215"/>
      <c r="V381" s="215"/>
      <c r="W381" s="215"/>
      <c r="X381" s="215"/>
      <c r="Y381" s="215"/>
      <c r="Z381" s="215"/>
      <c r="AA381" s="215"/>
      <c r="AB381" s="215"/>
      <c r="AC381" s="215"/>
      <c r="AD381" s="215"/>
      <c r="AE381" s="346"/>
      <c r="AF381" s="139"/>
      <c r="AG381" s="139"/>
      <c r="AH381" s="139"/>
      <c r="AI381" s="139"/>
    </row>
    <row r="382" spans="1:35" ht="15">
      <c r="A382" s="139"/>
      <c r="B382" s="236" t="s">
        <v>300</v>
      </c>
      <c r="C382" s="178"/>
      <c r="D382" s="155"/>
      <c r="E382" s="155"/>
      <c r="F382" s="355">
        <f t="shared" si="143"/>
        <v>26.2628891759826</v>
      </c>
      <c r="G382" s="355">
        <f t="shared" si="144"/>
        <v>21.79818481090324</v>
      </c>
      <c r="H382" s="355">
        <f t="shared" si="145"/>
        <v>24.04971953312546</v>
      </c>
      <c r="I382" s="355">
        <f t="shared" si="146"/>
        <v>22.418747310903242</v>
      </c>
      <c r="J382" s="355">
        <f t="shared" si="147"/>
        <v>7.193434753190654</v>
      </c>
      <c r="K382" s="355">
        <f t="shared" si="148"/>
        <v>0</v>
      </c>
      <c r="L382" s="355">
        <f t="shared" si="149"/>
        <v>0</v>
      </c>
      <c r="M382" s="355">
        <f t="shared" si="150"/>
        <v>0</v>
      </c>
      <c r="N382" s="355">
        <f t="shared" si="151"/>
        <v>0</v>
      </c>
      <c r="O382" s="215"/>
      <c r="P382" s="215"/>
      <c r="Q382" s="215"/>
      <c r="R382" s="215"/>
      <c r="S382" s="215"/>
      <c r="T382" s="215"/>
      <c r="U382" s="215"/>
      <c r="V382" s="215"/>
      <c r="W382" s="215"/>
      <c r="X382" s="215"/>
      <c r="Y382" s="215"/>
      <c r="Z382" s="215"/>
      <c r="AA382" s="215"/>
      <c r="AB382" s="215"/>
      <c r="AC382" s="215"/>
      <c r="AD382" s="215"/>
      <c r="AE382" s="346"/>
      <c r="AF382" s="139"/>
      <c r="AG382" s="139"/>
      <c r="AH382" s="139"/>
      <c r="AI382" s="139"/>
    </row>
    <row r="383" spans="1:35" ht="15.75" thickBot="1">
      <c r="A383" s="139"/>
      <c r="B383" s="474" t="s">
        <v>465</v>
      </c>
      <c r="C383" s="293"/>
      <c r="D383" s="155"/>
      <c r="E383" s="155"/>
      <c r="F383" s="355">
        <f t="shared" si="143"/>
        <v>17.135</v>
      </c>
      <c r="G383" s="355">
        <f t="shared" si="144"/>
        <v>17.0675</v>
      </c>
      <c r="H383" s="355">
        <f t="shared" si="145"/>
        <v>17.135</v>
      </c>
      <c r="I383" s="355">
        <f t="shared" si="146"/>
        <v>17.0675</v>
      </c>
      <c r="J383" s="355">
        <f t="shared" si="147"/>
        <v>17.0675</v>
      </c>
      <c r="K383" s="355">
        <f t="shared" si="148"/>
        <v>0</v>
      </c>
      <c r="L383" s="355">
        <f t="shared" si="149"/>
        <v>0</v>
      </c>
      <c r="M383" s="355">
        <f t="shared" si="150"/>
        <v>0</v>
      </c>
      <c r="N383" s="355">
        <f t="shared" si="151"/>
        <v>0</v>
      </c>
      <c r="O383" s="215"/>
      <c r="P383" s="215"/>
      <c r="Q383" s="215"/>
      <c r="R383" s="215"/>
      <c r="S383" s="215"/>
      <c r="T383" s="215"/>
      <c r="U383" s="215"/>
      <c r="V383" s="215"/>
      <c r="W383" s="215"/>
      <c r="X383" s="215"/>
      <c r="Y383" s="215"/>
      <c r="Z383" s="215"/>
      <c r="AA383" s="215"/>
      <c r="AB383" s="215"/>
      <c r="AC383" s="215"/>
      <c r="AD383" s="215"/>
      <c r="AE383" s="346"/>
      <c r="AF383" s="139"/>
      <c r="AG383" s="139"/>
      <c r="AH383" s="139"/>
      <c r="AI383" s="139"/>
    </row>
    <row r="384" spans="1:35" ht="15.75" thickTop="1">
      <c r="A384" s="139"/>
      <c r="B384" s="470" t="s">
        <v>301</v>
      </c>
      <c r="C384" s="178"/>
      <c r="D384" s="155"/>
      <c r="E384" s="155"/>
      <c r="F384" s="355">
        <f t="shared" si="143"/>
        <v>45.6478891759826</v>
      </c>
      <c r="G384" s="355">
        <f t="shared" si="144"/>
        <v>41.11568481090324</v>
      </c>
      <c r="H384" s="355">
        <f t="shared" si="145"/>
        <v>43.43471953312546</v>
      </c>
      <c r="I384" s="355">
        <f t="shared" si="146"/>
        <v>41.73624731090324</v>
      </c>
      <c r="J384" s="355">
        <f t="shared" si="147"/>
        <v>26.510934753190654</v>
      </c>
      <c r="K384" s="355">
        <f t="shared" si="148"/>
        <v>0</v>
      </c>
      <c r="L384" s="355">
        <f t="shared" si="149"/>
        <v>0</v>
      </c>
      <c r="M384" s="355">
        <f t="shared" si="150"/>
        <v>0</v>
      </c>
      <c r="N384" s="355">
        <f t="shared" si="151"/>
        <v>0</v>
      </c>
      <c r="O384" s="215"/>
      <c r="P384" s="215"/>
      <c r="Q384" s="215"/>
      <c r="R384" s="215"/>
      <c r="S384" s="215"/>
      <c r="T384" s="215"/>
      <c r="U384" s="215"/>
      <c r="V384" s="215"/>
      <c r="W384" s="215"/>
      <c r="X384" s="215"/>
      <c r="Y384" s="215"/>
      <c r="Z384" s="215"/>
      <c r="AA384" s="215"/>
      <c r="AB384" s="215"/>
      <c r="AC384" s="215"/>
      <c r="AD384" s="215"/>
      <c r="AE384" s="346"/>
      <c r="AF384" s="139"/>
      <c r="AG384" s="139"/>
      <c r="AH384" s="139"/>
      <c r="AI384" s="139"/>
    </row>
    <row r="385" spans="1:35" ht="15">
      <c r="A385" s="139"/>
      <c r="B385" s="470" t="s">
        <v>302</v>
      </c>
      <c r="C385" s="178"/>
      <c r="D385" s="155"/>
      <c r="E385" s="155"/>
      <c r="F385" s="355">
        <f t="shared" si="143"/>
        <v>105.4403424668875</v>
      </c>
      <c r="G385" s="355">
        <f t="shared" si="144"/>
        <v>98.56715095847989</v>
      </c>
      <c r="H385" s="355">
        <f t="shared" si="145"/>
        <v>103.77813116926845</v>
      </c>
      <c r="I385" s="355">
        <f t="shared" si="146"/>
        <v>90.4620424509799</v>
      </c>
      <c r="J385" s="355">
        <f t="shared" si="147"/>
        <v>40.25102368863021</v>
      </c>
      <c r="K385" s="355">
        <f t="shared" si="148"/>
        <v>0</v>
      </c>
      <c r="L385" s="355">
        <f t="shared" si="149"/>
        <v>0</v>
      </c>
      <c r="M385" s="355">
        <f t="shared" si="150"/>
        <v>0</v>
      </c>
      <c r="N385" s="355">
        <f t="shared" si="151"/>
        <v>0</v>
      </c>
      <c r="O385" s="215"/>
      <c r="P385" s="215"/>
      <c r="Q385" s="215"/>
      <c r="R385" s="215"/>
      <c r="S385" s="215"/>
      <c r="T385" s="215"/>
      <c r="U385" s="215"/>
      <c r="V385" s="215"/>
      <c r="W385" s="215"/>
      <c r="X385" s="215"/>
      <c r="Y385" s="215"/>
      <c r="Z385" s="215"/>
      <c r="AA385" s="215"/>
      <c r="AB385" s="215"/>
      <c r="AC385" s="215"/>
      <c r="AD385" s="215"/>
      <c r="AE385" s="346"/>
      <c r="AF385" s="139"/>
      <c r="AG385" s="139"/>
      <c r="AH385" s="139"/>
      <c r="AI385" s="139"/>
    </row>
    <row r="386" spans="1:35" ht="15">
      <c r="A386" s="139"/>
      <c r="B386" s="470"/>
      <c r="C386" s="178"/>
      <c r="D386" s="155"/>
      <c r="E386" s="155"/>
      <c r="F386" s="241"/>
      <c r="G386" s="241"/>
      <c r="H386" s="241"/>
      <c r="I386" s="241"/>
      <c r="J386" s="241"/>
      <c r="K386" s="241"/>
      <c r="L386" s="241"/>
      <c r="M386" s="241"/>
      <c r="N386" s="241"/>
      <c r="O386" s="215"/>
      <c r="P386" s="215"/>
      <c r="Q386" s="215"/>
      <c r="R386" s="215"/>
      <c r="S386" s="215"/>
      <c r="T386" s="215"/>
      <c r="U386" s="215"/>
      <c r="V386" s="215"/>
      <c r="W386" s="215"/>
      <c r="X386" s="215"/>
      <c r="Y386" s="215"/>
      <c r="Z386" s="215"/>
      <c r="AA386" s="215"/>
      <c r="AB386" s="215"/>
      <c r="AC386" s="215"/>
      <c r="AD386" s="215"/>
      <c r="AE386" s="346"/>
      <c r="AF386" s="139"/>
      <c r="AG386" s="139"/>
      <c r="AH386" s="139"/>
      <c r="AI386" s="139"/>
    </row>
    <row r="387" spans="1:35" ht="15">
      <c r="A387" s="139"/>
      <c r="B387" s="470" t="s">
        <v>542</v>
      </c>
      <c r="C387" s="178"/>
      <c r="D387" s="155"/>
      <c r="E387" s="155"/>
      <c r="F387" s="355">
        <f>G328</f>
        <v>80.20754670909511</v>
      </c>
      <c r="G387" s="355">
        <f>J328</f>
        <v>85.04853385242335</v>
      </c>
      <c r="H387" s="355">
        <f>M328</f>
        <v>59.65658836385701</v>
      </c>
      <c r="I387" s="355">
        <f>P328</f>
        <v>33.774204859923344</v>
      </c>
      <c r="J387" s="355">
        <f>S328</f>
        <v>-13.740088935439559</v>
      </c>
      <c r="K387" s="355">
        <f>V328</f>
        <v>0</v>
      </c>
      <c r="L387" s="355">
        <f>Y328</f>
        <v>0</v>
      </c>
      <c r="M387" s="355">
        <f>AB328</f>
        <v>0</v>
      </c>
      <c r="N387" s="355">
        <f>AE328</f>
        <v>0</v>
      </c>
      <c r="O387" s="215"/>
      <c r="P387" s="215"/>
      <c r="Q387" s="215"/>
      <c r="R387" s="215"/>
      <c r="S387" s="215"/>
      <c r="T387" s="215"/>
      <c r="U387" s="215"/>
      <c r="V387" s="215"/>
      <c r="W387" s="215"/>
      <c r="X387" s="215"/>
      <c r="Y387" s="215"/>
      <c r="Z387" s="215"/>
      <c r="AA387" s="215"/>
      <c r="AB387" s="215"/>
      <c r="AC387" s="215"/>
      <c r="AD387" s="215"/>
      <c r="AE387" s="346"/>
      <c r="AF387" s="139"/>
      <c r="AG387" s="139"/>
      <c r="AH387" s="139"/>
      <c r="AI387" s="139"/>
    </row>
    <row r="388" spans="1:35" ht="15">
      <c r="A388" s="139"/>
      <c r="B388" s="470" t="s">
        <v>543</v>
      </c>
      <c r="C388" s="178"/>
      <c r="D388" s="155"/>
      <c r="E388" s="155"/>
      <c r="F388" s="355">
        <f>G329</f>
        <v>34.5596575331125</v>
      </c>
      <c r="G388" s="355">
        <f>J329</f>
        <v>43.932849041520114</v>
      </c>
      <c r="H388" s="355">
        <f>M329</f>
        <v>16.22186883073155</v>
      </c>
      <c r="I388" s="355">
        <f>P329</f>
        <v>-7.962042450979894</v>
      </c>
      <c r="J388" s="355">
        <f>S329</f>
        <v>-40.25102368863021</v>
      </c>
      <c r="K388" s="355">
        <f>V329</f>
        <v>0</v>
      </c>
      <c r="L388" s="355">
        <f>Y329</f>
        <v>0</v>
      </c>
      <c r="M388" s="355">
        <f>AB329</f>
        <v>0</v>
      </c>
      <c r="N388" s="355">
        <f>AE329</f>
        <v>0</v>
      </c>
      <c r="O388" s="215"/>
      <c r="P388" s="215"/>
      <c r="Q388" s="215"/>
      <c r="R388" s="215"/>
      <c r="S388" s="215"/>
      <c r="T388" s="215"/>
      <c r="U388" s="215"/>
      <c r="V388" s="215"/>
      <c r="W388" s="215"/>
      <c r="X388" s="215"/>
      <c r="Y388" s="215"/>
      <c r="Z388" s="215"/>
      <c r="AA388" s="215"/>
      <c r="AB388" s="215"/>
      <c r="AC388" s="215"/>
      <c r="AD388" s="215"/>
      <c r="AE388" s="346"/>
      <c r="AF388" s="139"/>
      <c r="AG388" s="139"/>
      <c r="AH388" s="139"/>
      <c r="AI388" s="139"/>
    </row>
    <row r="389" spans="1:35" ht="15">
      <c r="A389" s="139"/>
      <c r="B389" s="470"/>
      <c r="C389" s="178"/>
      <c r="D389" s="155"/>
      <c r="E389" s="155"/>
      <c r="F389" s="241"/>
      <c r="G389" s="241"/>
      <c r="H389" s="241"/>
      <c r="I389" s="241"/>
      <c r="J389" s="241"/>
      <c r="K389" s="241"/>
      <c r="L389" s="241"/>
      <c r="M389" s="241"/>
      <c r="N389" s="241"/>
      <c r="O389" s="215"/>
      <c r="P389" s="215"/>
      <c r="Q389" s="215"/>
      <c r="R389" s="215"/>
      <c r="S389" s="215"/>
      <c r="T389" s="215"/>
      <c r="U389" s="215"/>
      <c r="V389" s="215"/>
      <c r="W389" s="215"/>
      <c r="X389" s="215"/>
      <c r="Y389" s="215"/>
      <c r="Z389" s="215"/>
      <c r="AA389" s="215"/>
      <c r="AB389" s="215"/>
      <c r="AC389" s="215"/>
      <c r="AD389" s="215"/>
      <c r="AE389" s="346"/>
      <c r="AF389" s="139"/>
      <c r="AG389" s="139"/>
      <c r="AH389" s="139"/>
      <c r="AI389" s="139"/>
    </row>
    <row r="390" spans="1:35" ht="15">
      <c r="A390" s="139"/>
      <c r="B390" s="470" t="s">
        <v>544</v>
      </c>
      <c r="C390" s="178"/>
      <c r="D390" s="155"/>
      <c r="E390" s="155"/>
      <c r="F390" s="355">
        <f>G331</f>
        <v>62.707546709095105</v>
      </c>
      <c r="G390" s="355">
        <f>J331</f>
        <v>62.54853385242335</v>
      </c>
      <c r="H390" s="355">
        <f>M331</f>
        <v>39.65658836385701</v>
      </c>
      <c r="I390" s="355">
        <f>P331</f>
        <v>26.274204859923344</v>
      </c>
      <c r="J390" s="355">
        <f>S331</f>
        <v>-13.740088935439559</v>
      </c>
      <c r="K390" s="355">
        <f>V331</f>
        <v>0</v>
      </c>
      <c r="L390" s="355">
        <f>Y331</f>
        <v>0</v>
      </c>
      <c r="M390" s="355">
        <f>AB331</f>
        <v>0</v>
      </c>
      <c r="N390" s="355">
        <f>AE331</f>
        <v>0</v>
      </c>
      <c r="O390" s="215"/>
      <c r="P390" s="215"/>
      <c r="Q390" s="215"/>
      <c r="R390" s="215"/>
      <c r="S390" s="215"/>
      <c r="T390" s="215"/>
      <c r="U390" s="215"/>
      <c r="V390" s="215"/>
      <c r="W390" s="215"/>
      <c r="X390" s="215"/>
      <c r="Y390" s="215"/>
      <c r="Z390" s="215"/>
      <c r="AA390" s="215"/>
      <c r="AB390" s="215"/>
      <c r="AC390" s="215"/>
      <c r="AD390" s="215"/>
      <c r="AE390" s="346"/>
      <c r="AF390" s="139"/>
      <c r="AG390" s="139"/>
      <c r="AH390" s="139"/>
      <c r="AI390" s="139"/>
    </row>
    <row r="391" spans="1:35" ht="15">
      <c r="A391" s="139"/>
      <c r="B391" s="470" t="s">
        <v>545</v>
      </c>
      <c r="C391" s="178"/>
      <c r="D391" s="155"/>
      <c r="E391" s="155"/>
      <c r="F391" s="355">
        <f>G332</f>
        <v>17.0596575331125</v>
      </c>
      <c r="G391" s="355">
        <f>J332</f>
        <v>21.432849041520114</v>
      </c>
      <c r="H391" s="355">
        <f>M332</f>
        <v>-3.7781311692684483</v>
      </c>
      <c r="I391" s="355">
        <f>P332</f>
        <v>-15.462042450979894</v>
      </c>
      <c r="J391" s="355">
        <f>S332</f>
        <v>-40.25102368863021</v>
      </c>
      <c r="K391" s="355">
        <f>V332</f>
        <v>0</v>
      </c>
      <c r="L391" s="355">
        <f>Y332</f>
        <v>0</v>
      </c>
      <c r="M391" s="355">
        <f>AB332</f>
        <v>0</v>
      </c>
      <c r="N391" s="355">
        <f>AE332</f>
        <v>0</v>
      </c>
      <c r="O391" s="215"/>
      <c r="P391" s="215"/>
      <c r="Q391" s="215"/>
      <c r="R391" s="215"/>
      <c r="S391" s="215"/>
      <c r="T391" s="215"/>
      <c r="U391" s="215"/>
      <c r="V391" s="215"/>
      <c r="W391" s="215"/>
      <c r="X391" s="215"/>
      <c r="Y391" s="215"/>
      <c r="Z391" s="215"/>
      <c r="AA391" s="215"/>
      <c r="AB391" s="215"/>
      <c r="AC391" s="215"/>
      <c r="AD391" s="215"/>
      <c r="AE391" s="346"/>
      <c r="AF391" s="139"/>
      <c r="AG391" s="139"/>
      <c r="AH391" s="139"/>
      <c r="AI391" s="139"/>
    </row>
    <row r="392" spans="1:35" ht="15">
      <c r="A392" s="139"/>
      <c r="B392" s="470"/>
      <c r="C392" s="178"/>
      <c r="D392" s="155"/>
      <c r="E392" s="155"/>
      <c r="F392" s="241"/>
      <c r="G392" s="241"/>
      <c r="H392" s="241"/>
      <c r="I392" s="241"/>
      <c r="J392" s="241"/>
      <c r="K392" s="241"/>
      <c r="L392" s="241"/>
      <c r="M392" s="241"/>
      <c r="N392" s="241"/>
      <c r="O392" s="215"/>
      <c r="P392" s="215"/>
      <c r="Q392" s="215"/>
      <c r="R392" s="215"/>
      <c r="S392" s="215"/>
      <c r="T392" s="215"/>
      <c r="U392" s="215"/>
      <c r="V392" s="215"/>
      <c r="W392" s="215"/>
      <c r="X392" s="215"/>
      <c r="Y392" s="215"/>
      <c r="Z392" s="215"/>
      <c r="AA392" s="215"/>
      <c r="AB392" s="215"/>
      <c r="AC392" s="215"/>
      <c r="AD392" s="215"/>
      <c r="AE392" s="346"/>
      <c r="AF392" s="139"/>
      <c r="AG392" s="139"/>
      <c r="AH392" s="139"/>
      <c r="AI392" s="139"/>
    </row>
    <row r="393" spans="1:35" ht="15">
      <c r="A393" s="139"/>
      <c r="B393" s="470" t="s">
        <v>56</v>
      </c>
      <c r="C393" s="153"/>
      <c r="D393" s="155"/>
      <c r="E393" s="155"/>
      <c r="F393" s="241"/>
      <c r="G393" s="241"/>
      <c r="H393" s="241"/>
      <c r="I393" s="241"/>
      <c r="J393" s="241"/>
      <c r="K393" s="241"/>
      <c r="L393" s="241"/>
      <c r="M393" s="241"/>
      <c r="N393" s="241"/>
      <c r="O393" s="215"/>
      <c r="P393" s="215"/>
      <c r="Q393" s="215"/>
      <c r="R393" s="215"/>
      <c r="S393" s="215"/>
      <c r="T393" s="215"/>
      <c r="U393" s="215"/>
      <c r="V393" s="215"/>
      <c r="W393" s="215"/>
      <c r="X393" s="215"/>
      <c r="Y393" s="215"/>
      <c r="Z393" s="215"/>
      <c r="AA393" s="215"/>
      <c r="AB393" s="215"/>
      <c r="AC393" s="215"/>
      <c r="AD393" s="215"/>
      <c r="AE393" s="346"/>
      <c r="AF393" s="139"/>
      <c r="AG393" s="139"/>
      <c r="AH393" s="139"/>
      <c r="AI393" s="139"/>
    </row>
    <row r="394" spans="1:35" ht="15">
      <c r="A394" s="139"/>
      <c r="B394" s="470" t="s">
        <v>57</v>
      </c>
      <c r="C394" s="153"/>
      <c r="D394" s="155"/>
      <c r="E394" s="155"/>
      <c r="F394" s="355">
        <f>G335</f>
        <v>1.7083558083115684</v>
      </c>
      <c r="G394" s="355">
        <f>J335</f>
        <v>1.9150488715858884</v>
      </c>
      <c r="H394" s="355">
        <f>M335</f>
        <v>1.5085852909035746</v>
      </c>
      <c r="I394" s="355">
        <f>P335</f>
        <v>1.6241931713358886</v>
      </c>
      <c r="J394" s="355">
        <f>S335</f>
        <v>13.740088935439559</v>
      </c>
      <c r="K394" s="355">
        <f>V335</f>
        <v>0</v>
      </c>
      <c r="L394" s="355">
        <f>Y335</f>
        <v>0</v>
      </c>
      <c r="M394" s="355">
        <f>AB335</f>
        <v>0</v>
      </c>
      <c r="N394" s="355">
        <f>AE335</f>
        <v>0</v>
      </c>
      <c r="O394" s="215"/>
      <c r="P394" s="215"/>
      <c r="Q394" s="215"/>
      <c r="R394" s="215"/>
      <c r="S394" s="215"/>
      <c r="T394" s="215"/>
      <c r="U394" s="215"/>
      <c r="V394" s="215"/>
      <c r="W394" s="215"/>
      <c r="X394" s="215"/>
      <c r="Y394" s="215"/>
      <c r="Z394" s="215"/>
      <c r="AA394" s="215"/>
      <c r="AB394" s="215"/>
      <c r="AC394" s="215"/>
      <c r="AD394" s="215"/>
      <c r="AE394" s="346"/>
      <c r="AF394" s="139"/>
      <c r="AG394" s="139"/>
      <c r="AH394" s="139"/>
      <c r="AI394" s="139"/>
    </row>
    <row r="395" spans="1:35" ht="15">
      <c r="A395" s="139"/>
      <c r="B395" s="470" t="s">
        <v>468</v>
      </c>
      <c r="C395" s="153"/>
      <c r="D395" s="155"/>
      <c r="E395" s="155"/>
      <c r="F395" s="355">
        <f>G336</f>
        <v>3.012581213339643</v>
      </c>
      <c r="G395" s="355">
        <f>J336</f>
        <v>3.285571698615996</v>
      </c>
      <c r="H395" s="355">
        <f>M336</f>
        <v>2.594453279231711</v>
      </c>
      <c r="I395" s="355">
        <f>P336</f>
        <v>3.015401415032663</v>
      </c>
      <c r="J395" s="355">
        <f>S336</f>
        <v>40.25102368863021</v>
      </c>
      <c r="K395" s="355">
        <f>V336</f>
        <v>0</v>
      </c>
      <c r="L395" s="355">
        <f>Y336</f>
        <v>0</v>
      </c>
      <c r="M395" s="355">
        <f>AB336</f>
        <v>0</v>
      </c>
      <c r="N395" s="355">
        <f>AE336</f>
        <v>0</v>
      </c>
      <c r="O395" s="215"/>
      <c r="P395" s="215"/>
      <c r="Q395" s="215"/>
      <c r="R395" s="215"/>
      <c r="S395" s="215"/>
      <c r="T395" s="215"/>
      <c r="U395" s="215"/>
      <c r="V395" s="215"/>
      <c r="W395" s="215"/>
      <c r="X395" s="215"/>
      <c r="Y395" s="215"/>
      <c r="Z395" s="215"/>
      <c r="AA395" s="215"/>
      <c r="AB395" s="215"/>
      <c r="AC395" s="215"/>
      <c r="AD395" s="215"/>
      <c r="AE395" s="346"/>
      <c r="AF395" s="139"/>
      <c r="AG395" s="139"/>
      <c r="AH395" s="139"/>
      <c r="AI395" s="139"/>
    </row>
    <row r="396" spans="1:35" ht="15">
      <c r="A396" s="139"/>
      <c r="B396" s="153"/>
      <c r="C396" s="153"/>
      <c r="D396" s="155"/>
      <c r="E396" s="155"/>
      <c r="F396" s="215"/>
      <c r="G396" s="215"/>
      <c r="H396" s="215"/>
      <c r="I396" s="215"/>
      <c r="J396" s="215"/>
      <c r="K396" s="215"/>
      <c r="L396" s="215"/>
      <c r="M396" s="215"/>
      <c r="N396" s="215"/>
      <c r="O396" s="215"/>
      <c r="P396" s="215"/>
      <c r="Q396" s="215"/>
      <c r="R396" s="215"/>
      <c r="S396" s="215"/>
      <c r="T396" s="215"/>
      <c r="U396" s="215"/>
      <c r="V396" s="215"/>
      <c r="W396" s="215"/>
      <c r="X396" s="215"/>
      <c r="Y396" s="215"/>
      <c r="Z396" s="215"/>
      <c r="AA396" s="215"/>
      <c r="AB396" s="215"/>
      <c r="AC396" s="215"/>
      <c r="AD396" s="215"/>
      <c r="AE396" s="346"/>
      <c r="AF396" s="139"/>
      <c r="AG396" s="139"/>
      <c r="AH396" s="139"/>
      <c r="AI396" s="139"/>
    </row>
    <row r="397" spans="1:35" ht="15">
      <c r="A397" s="139"/>
      <c r="B397" s="153"/>
      <c r="C397" s="153"/>
      <c r="D397" s="155"/>
      <c r="E397" s="155"/>
      <c r="F397" s="215"/>
      <c r="G397" s="215"/>
      <c r="H397" s="215"/>
      <c r="I397" s="215"/>
      <c r="J397" s="215"/>
      <c r="K397" s="215"/>
      <c r="L397" s="215"/>
      <c r="M397" s="215"/>
      <c r="N397" s="215"/>
      <c r="O397" s="215"/>
      <c r="P397" s="215"/>
      <c r="Q397" s="215"/>
      <c r="R397" s="215"/>
      <c r="S397" s="215"/>
      <c r="T397" s="215"/>
      <c r="U397" s="215"/>
      <c r="V397" s="215"/>
      <c r="W397" s="215"/>
      <c r="X397" s="215"/>
      <c r="Y397" s="215"/>
      <c r="Z397" s="215"/>
      <c r="AA397" s="215"/>
      <c r="AB397" s="215"/>
      <c r="AC397" s="215"/>
      <c r="AD397" s="215"/>
      <c r="AE397" s="346"/>
      <c r="AF397" s="139"/>
      <c r="AG397" s="139"/>
      <c r="AH397" s="139"/>
      <c r="AI397" s="139"/>
    </row>
    <row r="398" spans="1:35" ht="15">
      <c r="A398" s="139"/>
      <c r="B398" s="153"/>
      <c r="C398" s="153"/>
      <c r="D398" s="155"/>
      <c r="E398" s="155"/>
      <c r="F398" s="215"/>
      <c r="G398" s="215"/>
      <c r="H398" s="215"/>
      <c r="I398" s="215"/>
      <c r="J398" s="215"/>
      <c r="K398" s="215"/>
      <c r="L398" s="215"/>
      <c r="M398" s="215"/>
      <c r="N398" s="215"/>
      <c r="O398" s="215"/>
      <c r="P398" s="215"/>
      <c r="Q398" s="215"/>
      <c r="R398" s="215"/>
      <c r="S398" s="215"/>
      <c r="T398" s="215"/>
      <c r="U398" s="215"/>
      <c r="V398" s="215"/>
      <c r="W398" s="215"/>
      <c r="X398" s="215"/>
      <c r="Y398" s="215"/>
      <c r="Z398" s="215"/>
      <c r="AA398" s="215"/>
      <c r="AB398" s="215"/>
      <c r="AC398" s="215"/>
      <c r="AD398" s="215"/>
      <c r="AE398" s="346"/>
      <c r="AF398" s="139"/>
      <c r="AG398" s="139"/>
      <c r="AH398" s="139"/>
      <c r="AI398" s="139"/>
    </row>
    <row r="399" spans="1:36" ht="15">
      <c r="A399" s="139"/>
      <c r="B399" s="153"/>
      <c r="C399" s="153"/>
      <c r="D399" s="155"/>
      <c r="E399" s="155"/>
      <c r="F399" s="155"/>
      <c r="G399" s="215"/>
      <c r="H399" s="215"/>
      <c r="I399" s="215"/>
      <c r="J399" s="215"/>
      <c r="K399" s="215"/>
      <c r="L399" s="215"/>
      <c r="M399" s="215"/>
      <c r="N399" s="215"/>
      <c r="O399" s="215"/>
      <c r="P399" s="215"/>
      <c r="Q399" s="215"/>
      <c r="R399" s="215"/>
      <c r="S399" s="215"/>
      <c r="T399" s="215"/>
      <c r="U399" s="215"/>
      <c r="V399" s="215"/>
      <c r="W399" s="215"/>
      <c r="X399" s="215"/>
      <c r="Y399" s="215"/>
      <c r="Z399" s="215"/>
      <c r="AA399" s="215"/>
      <c r="AB399" s="215"/>
      <c r="AC399" s="215"/>
      <c r="AD399" s="215"/>
      <c r="AE399" s="215"/>
      <c r="AF399" s="346"/>
      <c r="AG399" s="139"/>
      <c r="AH399" s="139"/>
      <c r="AI399" s="139"/>
      <c r="AJ399" s="139"/>
    </row>
    <row r="400" spans="1:37" ht="15.75" thickBot="1">
      <c r="A400" s="139"/>
      <c r="B400" s="473" t="s">
        <v>562</v>
      </c>
      <c r="C400" s="379"/>
      <c r="D400" s="379"/>
      <c r="E400" s="379"/>
      <c r="F400" s="380"/>
      <c r="G400" s="380"/>
      <c r="H400" s="380"/>
      <c r="I400" s="380"/>
      <c r="J400" s="380"/>
      <c r="K400" s="380"/>
      <c r="L400" s="380"/>
      <c r="M400" s="380"/>
      <c r="N400" s="380"/>
      <c r="O400" s="379"/>
      <c r="P400" s="379"/>
      <c r="Q400" s="379"/>
      <c r="R400" s="139"/>
      <c r="S400" s="139"/>
      <c r="T400" s="139"/>
      <c r="U400" s="139"/>
      <c r="V400" s="139"/>
      <c r="W400" s="139"/>
      <c r="X400" s="139"/>
      <c r="Y400" s="139"/>
      <c r="Z400" s="139"/>
      <c r="AA400" s="139"/>
      <c r="AB400" s="139"/>
      <c r="AC400" s="139"/>
      <c r="AD400" s="139"/>
      <c r="AE400" s="139"/>
      <c r="AF400" s="139"/>
      <c r="AG400" s="139"/>
      <c r="AH400" s="139"/>
      <c r="AI400" s="139"/>
      <c r="AJ400" s="139"/>
      <c r="AK400" s="139"/>
    </row>
    <row r="401" spans="1:39" ht="39.75" thickBot="1" thickTop="1">
      <c r="A401" s="139"/>
      <c r="B401" s="379"/>
      <c r="C401" s="379"/>
      <c r="D401" s="379"/>
      <c r="E401" s="379"/>
      <c r="F401" s="354" t="str">
        <f aca="true" t="shared" si="152" ref="F401:N401">F341</f>
        <v>WW on Fallow</v>
      </c>
      <c r="G401" s="354" t="str">
        <f t="shared" si="152"/>
        <v>SW on Fallow</v>
      </c>
      <c r="H401" s="354" t="str">
        <f t="shared" si="152"/>
        <v>WW on Recrop</v>
      </c>
      <c r="I401" s="354" t="str">
        <f t="shared" si="152"/>
        <v>Barley on Recrop</v>
      </c>
      <c r="J401" s="354" t="str">
        <f t="shared" si="152"/>
        <v>Summer Fallow</v>
      </c>
      <c r="K401" s="354" t="str">
        <f t="shared" si="152"/>
        <v>Not Used</v>
      </c>
      <c r="L401" s="354" t="str">
        <f t="shared" si="152"/>
        <v>Not Used</v>
      </c>
      <c r="M401" s="354" t="str">
        <f t="shared" si="152"/>
        <v>Not Used</v>
      </c>
      <c r="N401" s="354" t="str">
        <f t="shared" si="152"/>
        <v>Not Used</v>
      </c>
      <c r="O401" s="379"/>
      <c r="P401" s="379"/>
      <c r="Q401" s="379"/>
      <c r="R401" s="139"/>
      <c r="S401" s="139"/>
      <c r="T401" s="139"/>
      <c r="U401" s="139"/>
      <c r="V401" s="139"/>
      <c r="W401" s="139"/>
      <c r="X401" s="139"/>
      <c r="Y401" s="139"/>
      <c r="Z401" s="139"/>
      <c r="AA401" s="139"/>
      <c r="AB401" s="139"/>
      <c r="AC401" s="139"/>
      <c r="AD401" s="139"/>
      <c r="AE401" s="139"/>
      <c r="AF401" s="139"/>
      <c r="AG401" s="139"/>
      <c r="AH401" s="347"/>
      <c r="AI401" s="347"/>
      <c r="AJ401" s="347"/>
      <c r="AK401" s="347"/>
      <c r="AL401" s="1"/>
      <c r="AM401" s="1"/>
    </row>
    <row r="402" spans="1:37" ht="15.75" thickTop="1">
      <c r="A402" s="150"/>
      <c r="B402" s="476" t="s">
        <v>563</v>
      </c>
      <c r="C402" s="478"/>
      <c r="D402" s="477"/>
      <c r="E402" s="477"/>
      <c r="F402" s="361">
        <v>1</v>
      </c>
      <c r="G402" s="361">
        <v>2</v>
      </c>
      <c r="H402" s="361">
        <v>3</v>
      </c>
      <c r="I402" s="361">
        <v>4</v>
      </c>
      <c r="J402" s="361">
        <v>5</v>
      </c>
      <c r="K402" s="361">
        <v>6</v>
      </c>
      <c r="L402" s="361">
        <v>7</v>
      </c>
      <c r="M402" s="361">
        <v>8</v>
      </c>
      <c r="N402" s="361">
        <v>9</v>
      </c>
      <c r="O402" s="379"/>
      <c r="P402" s="379"/>
      <c r="Q402" s="379"/>
      <c r="R402" s="150"/>
      <c r="S402" s="150"/>
      <c r="T402" s="150"/>
      <c r="U402" s="150"/>
      <c r="V402" s="150"/>
      <c r="W402" s="150"/>
      <c r="X402" s="150"/>
      <c r="Y402" s="150"/>
      <c r="Z402" s="150"/>
      <c r="AA402" s="150"/>
      <c r="AB402" s="150"/>
      <c r="AC402" s="150"/>
      <c r="AD402" s="150"/>
      <c r="AE402" s="150"/>
      <c r="AF402" s="150"/>
      <c r="AG402" s="150"/>
      <c r="AH402" s="150"/>
      <c r="AI402" s="139"/>
      <c r="AJ402" s="139"/>
      <c r="AK402" s="139"/>
    </row>
    <row r="403" spans="1:37" ht="15">
      <c r="A403" s="150"/>
      <c r="B403" s="213" t="s">
        <v>542</v>
      </c>
      <c r="C403" s="381"/>
      <c r="D403" s="381"/>
      <c r="E403" s="381"/>
      <c r="F403" s="355">
        <f aca="true" t="shared" si="153" ref="F403:N403">F387</f>
        <v>80.20754670909511</v>
      </c>
      <c r="G403" s="355">
        <f t="shared" si="153"/>
        <v>85.04853385242335</v>
      </c>
      <c r="H403" s="355">
        <f t="shared" si="153"/>
        <v>59.65658836385701</v>
      </c>
      <c r="I403" s="355">
        <f t="shared" si="153"/>
        <v>33.774204859923344</v>
      </c>
      <c r="J403" s="355">
        <f t="shared" si="153"/>
        <v>-13.740088935439559</v>
      </c>
      <c r="K403" s="355">
        <f t="shared" si="153"/>
        <v>0</v>
      </c>
      <c r="L403" s="355">
        <f t="shared" si="153"/>
        <v>0</v>
      </c>
      <c r="M403" s="355">
        <f t="shared" si="153"/>
        <v>0</v>
      </c>
      <c r="N403" s="355">
        <f t="shared" si="153"/>
        <v>0</v>
      </c>
      <c r="O403" s="379"/>
      <c r="P403" s="379"/>
      <c r="Q403" s="379"/>
      <c r="R403" s="150"/>
      <c r="S403" s="348"/>
      <c r="T403" s="150"/>
      <c r="U403" s="150"/>
      <c r="V403" s="348"/>
      <c r="W403" s="150"/>
      <c r="X403" s="150"/>
      <c r="Y403" s="348"/>
      <c r="Z403" s="150"/>
      <c r="AA403" s="150"/>
      <c r="AB403" s="348"/>
      <c r="AC403" s="150"/>
      <c r="AD403" s="150"/>
      <c r="AE403" s="150"/>
      <c r="AF403" s="150"/>
      <c r="AG403" s="150"/>
      <c r="AH403" s="150"/>
      <c r="AI403" s="139"/>
      <c r="AJ403" s="139"/>
      <c r="AK403" s="139"/>
    </row>
    <row r="404" spans="1:37" ht="15">
      <c r="A404" s="150"/>
      <c r="B404" s="213" t="s">
        <v>549</v>
      </c>
      <c r="C404" s="381"/>
      <c r="D404" s="381"/>
      <c r="E404" s="381"/>
      <c r="F404" s="355">
        <f aca="true" t="shared" si="154" ref="F404:N404">F388</f>
        <v>34.5596575331125</v>
      </c>
      <c r="G404" s="355">
        <f t="shared" si="154"/>
        <v>43.932849041520114</v>
      </c>
      <c r="H404" s="355">
        <f t="shared" si="154"/>
        <v>16.22186883073155</v>
      </c>
      <c r="I404" s="355">
        <f t="shared" si="154"/>
        <v>-7.962042450979894</v>
      </c>
      <c r="J404" s="355">
        <f t="shared" si="154"/>
        <v>-40.25102368863021</v>
      </c>
      <c r="K404" s="355">
        <f t="shared" si="154"/>
        <v>0</v>
      </c>
      <c r="L404" s="355">
        <f t="shared" si="154"/>
        <v>0</v>
      </c>
      <c r="M404" s="355">
        <f t="shared" si="154"/>
        <v>0</v>
      </c>
      <c r="N404" s="355">
        <f t="shared" si="154"/>
        <v>0</v>
      </c>
      <c r="O404" s="379"/>
      <c r="P404" s="379"/>
      <c r="Q404" s="379"/>
      <c r="R404" s="150"/>
      <c r="S404" s="348"/>
      <c r="T404" s="150"/>
      <c r="U404" s="150"/>
      <c r="V404" s="348"/>
      <c r="W404" s="150"/>
      <c r="X404" s="150"/>
      <c r="Y404" s="348"/>
      <c r="Z404" s="150"/>
      <c r="AA404" s="150"/>
      <c r="AB404" s="348"/>
      <c r="AC404" s="150"/>
      <c r="AD404" s="150"/>
      <c r="AE404" s="348"/>
      <c r="AF404" s="150"/>
      <c r="AG404" s="150"/>
      <c r="AH404" s="150"/>
      <c r="AI404" s="139"/>
      <c r="AJ404" s="139"/>
      <c r="AK404" s="139"/>
    </row>
    <row r="405" spans="1:37" ht="15">
      <c r="A405" s="150"/>
      <c r="B405" s="213" t="s">
        <v>304</v>
      </c>
      <c r="C405" s="379"/>
      <c r="D405" s="379"/>
      <c r="E405" s="379"/>
      <c r="F405" s="365">
        <f aca="true" t="shared" si="155" ref="F405:N405">F342</f>
        <v>420</v>
      </c>
      <c r="G405" s="365">
        <f t="shared" si="155"/>
        <v>840</v>
      </c>
      <c r="H405" s="365">
        <f t="shared" si="155"/>
        <v>180</v>
      </c>
      <c r="I405" s="365">
        <f t="shared" si="155"/>
        <v>300</v>
      </c>
      <c r="J405" s="365">
        <f t="shared" si="155"/>
        <v>1260</v>
      </c>
      <c r="K405" s="365">
        <f t="shared" si="155"/>
        <v>0</v>
      </c>
      <c r="L405" s="365">
        <f t="shared" si="155"/>
        <v>0</v>
      </c>
      <c r="M405" s="365">
        <f t="shared" si="155"/>
        <v>0</v>
      </c>
      <c r="N405" s="365">
        <f t="shared" si="155"/>
        <v>0</v>
      </c>
      <c r="O405" s="379"/>
      <c r="P405" s="379"/>
      <c r="Q405" s="379"/>
      <c r="R405" s="150"/>
      <c r="S405" s="348"/>
      <c r="T405" s="150"/>
      <c r="U405" s="150"/>
      <c r="V405" s="348"/>
      <c r="W405" s="150"/>
      <c r="X405" s="150"/>
      <c r="Y405" s="348"/>
      <c r="Z405" s="150"/>
      <c r="AA405" s="150"/>
      <c r="AB405" s="348"/>
      <c r="AC405" s="150"/>
      <c r="AD405" s="150"/>
      <c r="AE405" s="348"/>
      <c r="AF405" s="150"/>
      <c r="AG405" s="150"/>
      <c r="AH405" s="150"/>
      <c r="AI405" s="139"/>
      <c r="AJ405" s="139"/>
      <c r="AK405" s="139"/>
    </row>
    <row r="406" spans="1:37" ht="15">
      <c r="A406" s="150"/>
      <c r="B406" s="139"/>
      <c r="C406" s="379"/>
      <c r="D406" s="379"/>
      <c r="E406" s="379"/>
      <c r="F406" s="379"/>
      <c r="G406" s="379"/>
      <c r="H406" s="379"/>
      <c r="I406" s="379"/>
      <c r="J406" s="379"/>
      <c r="K406" s="379"/>
      <c r="L406" s="379"/>
      <c r="M406" s="379"/>
      <c r="N406" s="379"/>
      <c r="O406" s="379"/>
      <c r="P406" s="379"/>
      <c r="Q406" s="379"/>
      <c r="R406" s="150"/>
      <c r="S406" s="348"/>
      <c r="T406" s="150"/>
      <c r="U406" s="150"/>
      <c r="V406" s="348"/>
      <c r="W406" s="150"/>
      <c r="X406" s="150"/>
      <c r="Y406" s="348"/>
      <c r="Z406" s="150"/>
      <c r="AA406" s="150"/>
      <c r="AB406" s="348"/>
      <c r="AC406" s="150"/>
      <c r="AD406" s="150"/>
      <c r="AE406" s="348"/>
      <c r="AF406" s="150"/>
      <c r="AG406" s="150"/>
      <c r="AH406" s="150"/>
      <c r="AI406" s="139"/>
      <c r="AJ406" s="139"/>
      <c r="AK406" s="139"/>
    </row>
    <row r="407" spans="1:37" ht="15">
      <c r="A407" s="150"/>
      <c r="B407" s="379"/>
      <c r="C407" s="379"/>
      <c r="D407" s="379"/>
      <c r="E407" s="379"/>
      <c r="F407" s="379"/>
      <c r="G407" s="379"/>
      <c r="H407" s="379"/>
      <c r="I407" s="379"/>
      <c r="J407" s="379"/>
      <c r="K407" s="379"/>
      <c r="L407" s="379"/>
      <c r="M407" s="379"/>
      <c r="N407" s="379"/>
      <c r="O407" s="379"/>
      <c r="P407" s="379"/>
      <c r="Q407" s="379"/>
      <c r="R407" s="150"/>
      <c r="S407" s="348"/>
      <c r="T407" s="150"/>
      <c r="U407" s="150"/>
      <c r="V407" s="348"/>
      <c r="W407" s="150"/>
      <c r="X407" s="150"/>
      <c r="Y407" s="348"/>
      <c r="Z407" s="150"/>
      <c r="AA407" s="150"/>
      <c r="AB407" s="348"/>
      <c r="AC407" s="150"/>
      <c r="AD407" s="150"/>
      <c r="AE407" s="348"/>
      <c r="AF407" s="150"/>
      <c r="AG407" s="150"/>
      <c r="AH407" s="150"/>
      <c r="AI407" s="139"/>
      <c r="AJ407" s="139"/>
      <c r="AK407" s="139"/>
    </row>
    <row r="408" spans="1:37" ht="15">
      <c r="A408" s="150"/>
      <c r="B408" s="362"/>
      <c r="C408" s="379"/>
      <c r="D408" s="379"/>
      <c r="E408" s="379"/>
      <c r="F408" s="379"/>
      <c r="G408" s="379"/>
      <c r="H408" s="379"/>
      <c r="I408" s="379"/>
      <c r="J408" s="379"/>
      <c r="K408" s="379"/>
      <c r="L408" s="379"/>
      <c r="M408" s="379"/>
      <c r="N408" s="379"/>
      <c r="O408" s="379"/>
      <c r="P408" s="379"/>
      <c r="Q408" s="379"/>
      <c r="R408" s="150"/>
      <c r="S408" s="348"/>
      <c r="T408" s="150"/>
      <c r="U408" s="150"/>
      <c r="V408" s="348"/>
      <c r="W408" s="150"/>
      <c r="X408" s="150"/>
      <c r="Y408" s="348"/>
      <c r="Z408" s="150"/>
      <c r="AA408" s="150"/>
      <c r="AB408" s="348"/>
      <c r="AC408" s="150"/>
      <c r="AD408" s="150"/>
      <c r="AE408" s="348"/>
      <c r="AF408" s="150"/>
      <c r="AG408" s="150"/>
      <c r="AH408" s="150"/>
      <c r="AI408" s="139"/>
      <c r="AJ408" s="139"/>
      <c r="AK408" s="139"/>
    </row>
    <row r="409" spans="1:37" ht="15">
      <c r="A409" s="150"/>
      <c r="B409" s="213" t="s">
        <v>564</v>
      </c>
      <c r="C409" s="379"/>
      <c r="D409" s="379"/>
      <c r="E409" s="379"/>
      <c r="F409" s="379"/>
      <c r="G409" s="379"/>
      <c r="H409" s="379"/>
      <c r="I409" s="379"/>
      <c r="J409" s="379"/>
      <c r="K409" s="379"/>
      <c r="L409" s="379"/>
      <c r="M409" s="379"/>
      <c r="N409" s="479"/>
      <c r="O409" s="493" t="s">
        <v>280</v>
      </c>
      <c r="P409" s="479"/>
      <c r="Q409" s="479"/>
      <c r="R409" s="150"/>
      <c r="S409" s="348"/>
      <c r="T409" s="150"/>
      <c r="U409" s="150"/>
      <c r="V409" s="348"/>
      <c r="W409" s="150"/>
      <c r="X409" s="150"/>
      <c r="Y409" s="348"/>
      <c r="Z409" s="150"/>
      <c r="AA409" s="150"/>
      <c r="AB409" s="348"/>
      <c r="AC409" s="150"/>
      <c r="AD409" s="150"/>
      <c r="AE409" s="348"/>
      <c r="AF409" s="150"/>
      <c r="AG409" s="150"/>
      <c r="AH409" s="150"/>
      <c r="AI409" s="139"/>
      <c r="AJ409" s="139"/>
      <c r="AK409" s="139"/>
    </row>
    <row r="410" spans="1:37" ht="15.75">
      <c r="A410" s="170" t="s">
        <v>367</v>
      </c>
      <c r="B410" s="213" t="s">
        <v>565</v>
      </c>
      <c r="C410" s="213"/>
      <c r="D410" s="379"/>
      <c r="E410" s="379"/>
      <c r="F410" s="491">
        <v>5</v>
      </c>
      <c r="G410" s="479"/>
      <c r="H410" s="269"/>
      <c r="I410" s="492"/>
      <c r="J410" s="479"/>
      <c r="K410" s="479"/>
      <c r="L410" s="479"/>
      <c r="M410" s="479"/>
      <c r="N410" s="479"/>
      <c r="O410" s="493" t="s">
        <v>568</v>
      </c>
      <c r="P410" s="269"/>
      <c r="Q410" s="479"/>
      <c r="R410" s="150"/>
      <c r="S410" s="348"/>
      <c r="T410" s="150"/>
      <c r="U410" s="150"/>
      <c r="V410" s="348"/>
      <c r="W410" s="150"/>
      <c r="X410" s="150"/>
      <c r="Y410" s="348"/>
      <c r="Z410" s="150"/>
      <c r="AA410" s="150"/>
      <c r="AB410" s="348"/>
      <c r="AC410" s="150"/>
      <c r="AD410" s="150"/>
      <c r="AE410" s="348"/>
      <c r="AF410" s="150"/>
      <c r="AG410" s="150"/>
      <c r="AH410" s="150"/>
      <c r="AI410" s="139"/>
      <c r="AJ410" s="139"/>
      <c r="AK410" s="139"/>
    </row>
    <row r="411" spans="1:37" ht="15">
      <c r="A411" s="150"/>
      <c r="B411" s="213"/>
      <c r="C411" s="379"/>
      <c r="D411" s="379"/>
      <c r="E411" s="379"/>
      <c r="F411" s="479"/>
      <c r="G411" s="479"/>
      <c r="H411" s="479"/>
      <c r="I411" s="479"/>
      <c r="J411" s="479"/>
      <c r="K411" s="479"/>
      <c r="L411" s="479"/>
      <c r="M411" s="479"/>
      <c r="N411" s="479"/>
      <c r="O411" s="493" t="s">
        <v>550</v>
      </c>
      <c r="P411" s="269"/>
      <c r="Q411" s="479"/>
      <c r="R411" s="150"/>
      <c r="S411" s="348"/>
      <c r="T411" s="150"/>
      <c r="U411" s="150"/>
      <c r="V411" s="348"/>
      <c r="W411" s="150"/>
      <c r="X411" s="150"/>
      <c r="Y411" s="348"/>
      <c r="Z411" s="150"/>
      <c r="AA411" s="150"/>
      <c r="AB411" s="348"/>
      <c r="AC411" s="150"/>
      <c r="AD411" s="150"/>
      <c r="AE411" s="348"/>
      <c r="AF411" s="150"/>
      <c r="AG411" s="150"/>
      <c r="AH411" s="150"/>
      <c r="AI411" s="139"/>
      <c r="AJ411" s="139"/>
      <c r="AK411" s="139"/>
    </row>
    <row r="412" spans="1:37" ht="15">
      <c r="A412" s="150"/>
      <c r="B412" s="213" t="s">
        <v>557</v>
      </c>
      <c r="C412" s="379"/>
      <c r="D412" s="379"/>
      <c r="E412" s="379"/>
      <c r="F412" s="494">
        <v>420</v>
      </c>
      <c r="G412" s="495">
        <v>840</v>
      </c>
      <c r="H412" s="495">
        <v>0</v>
      </c>
      <c r="I412" s="495">
        <v>0</v>
      </c>
      <c r="J412" s="495">
        <v>0</v>
      </c>
      <c r="K412" s="495">
        <v>0</v>
      </c>
      <c r="L412" s="495">
        <v>0</v>
      </c>
      <c r="M412" s="495">
        <v>0</v>
      </c>
      <c r="N412" s="496">
        <v>0</v>
      </c>
      <c r="O412" s="497">
        <f>IF(F410=0,0,IF(SUM(F412:N412)&lt;=HLOOKUP(F410,$F$402:$N$405,4),SUM(F412:N412),"ERROR"))</f>
        <v>1260</v>
      </c>
      <c r="P412" s="269"/>
      <c r="Q412" s="479"/>
      <c r="R412" s="150"/>
      <c r="S412" s="348"/>
      <c r="T412" s="150"/>
      <c r="U412" s="150"/>
      <c r="V412" s="348"/>
      <c r="W412" s="150"/>
      <c r="X412" s="150"/>
      <c r="Y412" s="348"/>
      <c r="Z412" s="150"/>
      <c r="AA412" s="150"/>
      <c r="AB412" s="348"/>
      <c r="AC412" s="150"/>
      <c r="AD412" s="150"/>
      <c r="AE412" s="348"/>
      <c r="AF412" s="150"/>
      <c r="AG412" s="150"/>
      <c r="AH412" s="150"/>
      <c r="AI412" s="139"/>
      <c r="AJ412" s="139"/>
      <c r="AK412" s="139"/>
    </row>
    <row r="413" spans="1:37" ht="15">
      <c r="A413" s="150"/>
      <c r="B413" s="213"/>
      <c r="C413" s="379"/>
      <c r="D413" s="379"/>
      <c r="E413" s="379"/>
      <c r="F413" s="479"/>
      <c r="G413" s="479"/>
      <c r="H413" s="479"/>
      <c r="I413" s="479"/>
      <c r="J413" s="479"/>
      <c r="K413" s="479"/>
      <c r="L413" s="479"/>
      <c r="M413" s="479"/>
      <c r="N413" s="479"/>
      <c r="O413" s="492" t="s">
        <v>4</v>
      </c>
      <c r="P413" s="269"/>
      <c r="Q413" s="479"/>
      <c r="R413" s="150"/>
      <c r="S413" s="348"/>
      <c r="T413" s="150"/>
      <c r="U413" s="150"/>
      <c r="V413" s="348"/>
      <c r="W413" s="150"/>
      <c r="X413" s="150"/>
      <c r="Y413" s="348"/>
      <c r="Z413" s="150"/>
      <c r="AA413" s="150"/>
      <c r="AB413" s="348"/>
      <c r="AC413" s="150"/>
      <c r="AD413" s="150"/>
      <c r="AE413" s="348"/>
      <c r="AF413" s="150"/>
      <c r="AG413" s="150"/>
      <c r="AH413" s="150"/>
      <c r="AI413" s="139"/>
      <c r="AJ413" s="139"/>
      <c r="AK413" s="139"/>
    </row>
    <row r="414" spans="1:37" ht="15">
      <c r="A414" s="150"/>
      <c r="B414" s="213" t="s">
        <v>546</v>
      </c>
      <c r="C414" s="379"/>
      <c r="D414" s="379"/>
      <c r="E414" s="379"/>
      <c r="F414" s="479"/>
      <c r="G414" s="479"/>
      <c r="H414" s="479"/>
      <c r="I414" s="479"/>
      <c r="J414" s="479"/>
      <c r="K414" s="479"/>
      <c r="L414" s="479"/>
      <c r="M414" s="479"/>
      <c r="N414" s="479"/>
      <c r="O414" s="493" t="s">
        <v>280</v>
      </c>
      <c r="P414" s="269"/>
      <c r="Q414" s="479"/>
      <c r="R414" s="150"/>
      <c r="S414" s="348"/>
      <c r="T414" s="150"/>
      <c r="U414" s="150"/>
      <c r="V414" s="348"/>
      <c r="W414" s="150"/>
      <c r="X414" s="150"/>
      <c r="Y414" s="348"/>
      <c r="Z414" s="150"/>
      <c r="AA414" s="150"/>
      <c r="AB414" s="348"/>
      <c r="AC414" s="150"/>
      <c r="AD414" s="150"/>
      <c r="AE414" s="348"/>
      <c r="AF414" s="150"/>
      <c r="AG414" s="150"/>
      <c r="AH414" s="150"/>
      <c r="AI414" s="139"/>
      <c r="AJ414" s="139"/>
      <c r="AK414" s="139"/>
    </row>
    <row r="415" spans="1:37" ht="15">
      <c r="A415" s="150"/>
      <c r="B415" s="213" t="s">
        <v>558</v>
      </c>
      <c r="C415" s="379"/>
      <c r="D415" s="379"/>
      <c r="E415" s="379"/>
      <c r="F415" s="491">
        <v>0</v>
      </c>
      <c r="G415" s="479"/>
      <c r="H415" s="269"/>
      <c r="I415" s="492"/>
      <c r="J415" s="479"/>
      <c r="K415" s="479"/>
      <c r="L415" s="479"/>
      <c r="M415" s="479"/>
      <c r="N415" s="479"/>
      <c r="O415" s="493" t="s">
        <v>569</v>
      </c>
      <c r="P415" s="269"/>
      <c r="Q415" s="479"/>
      <c r="R415" s="150"/>
      <c r="S415" s="348"/>
      <c r="T415" s="150"/>
      <c r="U415" s="150"/>
      <c r="V415" s="348"/>
      <c r="W415" s="150"/>
      <c r="X415" s="150"/>
      <c r="Y415" s="348"/>
      <c r="Z415" s="150"/>
      <c r="AA415" s="150"/>
      <c r="AB415" s="348"/>
      <c r="AC415" s="150"/>
      <c r="AD415" s="150"/>
      <c r="AE415" s="348"/>
      <c r="AF415" s="150"/>
      <c r="AG415" s="150"/>
      <c r="AH415" s="150"/>
      <c r="AI415" s="139"/>
      <c r="AJ415" s="139"/>
      <c r="AK415" s="139"/>
    </row>
    <row r="416" spans="1:37" ht="15">
      <c r="A416" s="150"/>
      <c r="B416" s="213"/>
      <c r="C416" s="379"/>
      <c r="D416" s="379"/>
      <c r="E416" s="379"/>
      <c r="F416" s="479"/>
      <c r="G416" s="479"/>
      <c r="H416" s="479"/>
      <c r="I416" s="479"/>
      <c r="J416" s="479"/>
      <c r="K416" s="479"/>
      <c r="L416" s="479"/>
      <c r="M416" s="479"/>
      <c r="N416" s="479"/>
      <c r="O416" s="493" t="s">
        <v>550</v>
      </c>
      <c r="P416" s="269"/>
      <c r="Q416" s="479"/>
      <c r="R416" s="150"/>
      <c r="S416" s="348"/>
      <c r="T416" s="150"/>
      <c r="U416" s="150"/>
      <c r="V416" s="348"/>
      <c r="W416" s="150"/>
      <c r="X416" s="150"/>
      <c r="Y416" s="348"/>
      <c r="Z416" s="150"/>
      <c r="AA416" s="150"/>
      <c r="AB416" s="348"/>
      <c r="AC416" s="150"/>
      <c r="AD416" s="150"/>
      <c r="AE416" s="348"/>
      <c r="AF416" s="150"/>
      <c r="AG416" s="150"/>
      <c r="AH416" s="150"/>
      <c r="AI416" s="139"/>
      <c r="AJ416" s="139"/>
      <c r="AK416" s="139"/>
    </row>
    <row r="417" spans="1:37" ht="15">
      <c r="A417" s="150"/>
      <c r="B417" s="213" t="s">
        <v>559</v>
      </c>
      <c r="C417" s="379"/>
      <c r="D417" s="379"/>
      <c r="E417" s="379"/>
      <c r="F417" s="494">
        <v>0</v>
      </c>
      <c r="G417" s="495">
        <v>0</v>
      </c>
      <c r="H417" s="495">
        <v>0</v>
      </c>
      <c r="I417" s="495">
        <v>0</v>
      </c>
      <c r="J417" s="495">
        <v>0</v>
      </c>
      <c r="K417" s="495">
        <v>0</v>
      </c>
      <c r="L417" s="495">
        <v>0</v>
      </c>
      <c r="M417" s="495">
        <v>0</v>
      </c>
      <c r="N417" s="496">
        <v>0</v>
      </c>
      <c r="O417" s="497">
        <f>IF(F415=0,0,IF(SUM(F417:N417)&lt;=HLOOKUP(F415,$F$402:$N$405,4),SUM(F417:N417),"ERROR"))</f>
        <v>0</v>
      </c>
      <c r="P417" s="269"/>
      <c r="Q417" s="479"/>
      <c r="R417" s="150"/>
      <c r="S417" s="348"/>
      <c r="T417" s="150"/>
      <c r="U417" s="150"/>
      <c r="V417" s="348"/>
      <c r="W417" s="150"/>
      <c r="X417" s="150"/>
      <c r="Y417" s="348"/>
      <c r="Z417" s="150"/>
      <c r="AA417" s="150"/>
      <c r="AB417" s="348"/>
      <c r="AC417" s="150"/>
      <c r="AD417" s="150"/>
      <c r="AE417" s="348"/>
      <c r="AF417" s="150"/>
      <c r="AG417" s="150"/>
      <c r="AH417" s="150"/>
      <c r="AI417" s="139"/>
      <c r="AJ417" s="139"/>
      <c r="AK417" s="139"/>
    </row>
    <row r="418" spans="1:37" ht="15">
      <c r="A418" s="150"/>
      <c r="B418" s="213"/>
      <c r="C418" s="379"/>
      <c r="D418" s="379"/>
      <c r="E418" s="379"/>
      <c r="F418" s="379"/>
      <c r="G418" s="379"/>
      <c r="H418" s="379"/>
      <c r="I418" s="379"/>
      <c r="J418" s="379"/>
      <c r="K418" s="379"/>
      <c r="L418" s="379"/>
      <c r="M418" s="379"/>
      <c r="N418" s="479"/>
      <c r="O418" s="479"/>
      <c r="P418" s="498" t="s">
        <v>4</v>
      </c>
      <c r="Q418" s="479"/>
      <c r="R418" s="150"/>
      <c r="S418" s="348"/>
      <c r="T418" s="150"/>
      <c r="U418" s="150"/>
      <c r="V418" s="348"/>
      <c r="W418" s="150"/>
      <c r="X418" s="150"/>
      <c r="Y418" s="348"/>
      <c r="Z418" s="150"/>
      <c r="AA418" s="150"/>
      <c r="AB418" s="348"/>
      <c r="AC418" s="150"/>
      <c r="AD418" s="150"/>
      <c r="AE418" s="348"/>
      <c r="AF418" s="150"/>
      <c r="AG418" s="150"/>
      <c r="AH418" s="150"/>
      <c r="AI418" s="139"/>
      <c r="AJ418" s="139"/>
      <c r="AK418" s="139"/>
    </row>
    <row r="419" spans="1:37" ht="15">
      <c r="A419" s="150"/>
      <c r="B419" s="213"/>
      <c r="C419" s="379"/>
      <c r="D419" s="379"/>
      <c r="E419" s="379"/>
      <c r="F419" s="379"/>
      <c r="G419" s="379"/>
      <c r="H419" s="379"/>
      <c r="I419" s="379"/>
      <c r="J419" s="379"/>
      <c r="K419" s="379"/>
      <c r="L419" s="379"/>
      <c r="M419" s="379"/>
      <c r="N419" s="379"/>
      <c r="O419" s="379"/>
      <c r="P419" s="379"/>
      <c r="Q419" s="379"/>
      <c r="R419" s="150"/>
      <c r="S419" s="150"/>
      <c r="T419" s="150"/>
      <c r="U419" s="150"/>
      <c r="V419" s="150"/>
      <c r="W419" s="150"/>
      <c r="X419" s="150"/>
      <c r="Y419" s="150"/>
      <c r="Z419" s="150"/>
      <c r="AA419" s="150"/>
      <c r="AB419" s="150"/>
      <c r="AC419" s="150"/>
      <c r="AD419" s="150"/>
      <c r="AE419" s="150"/>
      <c r="AF419" s="150"/>
      <c r="AG419" s="150"/>
      <c r="AH419" s="150"/>
      <c r="AI419" s="139"/>
      <c r="AJ419" s="139"/>
      <c r="AK419" s="139"/>
    </row>
    <row r="420" spans="1:37" ht="15.75" thickBot="1">
      <c r="A420" s="150"/>
      <c r="B420" s="213"/>
      <c r="C420" s="379"/>
      <c r="D420" s="379"/>
      <c r="E420" s="379"/>
      <c r="F420" s="380"/>
      <c r="G420" s="380"/>
      <c r="H420" s="380"/>
      <c r="I420" s="380"/>
      <c r="J420" s="380"/>
      <c r="K420" s="380"/>
      <c r="L420" s="380"/>
      <c r="M420" s="380"/>
      <c r="N420" s="380"/>
      <c r="O420" s="379"/>
      <c r="P420" s="379"/>
      <c r="Q420" s="379"/>
      <c r="R420" s="150"/>
      <c r="S420" s="150"/>
      <c r="T420" s="150"/>
      <c r="U420" s="150"/>
      <c r="V420" s="150"/>
      <c r="W420" s="150"/>
      <c r="X420" s="150"/>
      <c r="Y420" s="150"/>
      <c r="Z420" s="150"/>
      <c r="AA420" s="150"/>
      <c r="AB420" s="150"/>
      <c r="AC420" s="150"/>
      <c r="AD420" s="150"/>
      <c r="AE420" s="150"/>
      <c r="AF420" s="150"/>
      <c r="AG420" s="150"/>
      <c r="AH420" s="150"/>
      <c r="AI420" s="139"/>
      <c r="AJ420" s="139"/>
      <c r="AK420" s="139"/>
    </row>
    <row r="421" spans="1:37" ht="39.75" thickBot="1" thickTop="1">
      <c r="A421" s="150"/>
      <c r="B421" s="213"/>
      <c r="C421" s="475" t="s">
        <v>548</v>
      </c>
      <c r="D421" s="379"/>
      <c r="E421" s="379"/>
      <c r="F421" s="354" t="str">
        <f aca="true" t="shared" si="156" ref="F421:N421">F401</f>
        <v>WW on Fallow</v>
      </c>
      <c r="G421" s="354" t="str">
        <f t="shared" si="156"/>
        <v>SW on Fallow</v>
      </c>
      <c r="H421" s="354" t="str">
        <f t="shared" si="156"/>
        <v>WW on Recrop</v>
      </c>
      <c r="I421" s="354" t="str">
        <f t="shared" si="156"/>
        <v>Barley on Recrop</v>
      </c>
      <c r="J421" s="354" t="str">
        <f t="shared" si="156"/>
        <v>Summer Fallow</v>
      </c>
      <c r="K421" s="354" t="str">
        <f t="shared" si="156"/>
        <v>Not Used</v>
      </c>
      <c r="L421" s="354" t="str">
        <f t="shared" si="156"/>
        <v>Not Used</v>
      </c>
      <c r="M421" s="354" t="str">
        <f t="shared" si="156"/>
        <v>Not Used</v>
      </c>
      <c r="N421" s="354" t="str">
        <f t="shared" si="156"/>
        <v>Not Used</v>
      </c>
      <c r="O421" s="379"/>
      <c r="P421" s="379"/>
      <c r="Q421" s="379"/>
      <c r="R421" s="150"/>
      <c r="S421" s="150"/>
      <c r="T421" s="150"/>
      <c r="U421" s="150"/>
      <c r="V421" s="150"/>
      <c r="W421" s="150"/>
      <c r="X421" s="150"/>
      <c r="Y421" s="150"/>
      <c r="Z421" s="150"/>
      <c r="AA421" s="150"/>
      <c r="AB421" s="150"/>
      <c r="AC421" s="150"/>
      <c r="AD421" s="150"/>
      <c r="AE421" s="348"/>
      <c r="AF421" s="150"/>
      <c r="AG421" s="150"/>
      <c r="AH421" s="150"/>
      <c r="AI421" s="139"/>
      <c r="AJ421" s="139"/>
      <c r="AK421" s="139"/>
    </row>
    <row r="422" spans="1:37" ht="15.75" thickTop="1">
      <c r="A422" s="139"/>
      <c r="B422" s="213" t="s">
        <v>560</v>
      </c>
      <c r="C422" s="383">
        <f>$F$410</f>
        <v>5</v>
      </c>
      <c r="D422" s="379"/>
      <c r="E422" s="379"/>
      <c r="F422" s="363">
        <f aca="true" t="shared" si="157" ref="F422:N422">IF($F$410&gt;0,HLOOKUP($F$410,$F$402:$N$404,3)*F412/IF(F405=0,1,F405),0)</f>
        <v>-40.25102368863021</v>
      </c>
      <c r="G422" s="363">
        <f t="shared" si="157"/>
        <v>-40.25102368863021</v>
      </c>
      <c r="H422" s="363">
        <f t="shared" si="157"/>
        <v>0</v>
      </c>
      <c r="I422" s="363">
        <f t="shared" si="157"/>
        <v>0</v>
      </c>
      <c r="J422" s="363">
        <f t="shared" si="157"/>
        <v>0</v>
      </c>
      <c r="K422" s="363">
        <f t="shared" si="157"/>
        <v>0</v>
      </c>
      <c r="L422" s="363">
        <f t="shared" si="157"/>
        <v>0</v>
      </c>
      <c r="M422" s="363">
        <f t="shared" si="157"/>
        <v>0</v>
      </c>
      <c r="N422" s="363">
        <f t="shared" si="157"/>
        <v>0</v>
      </c>
      <c r="O422" s="379"/>
      <c r="P422" s="382" t="s">
        <v>4</v>
      </c>
      <c r="Q422" s="379"/>
      <c r="R422" s="139"/>
      <c r="S422" s="139"/>
      <c r="T422" s="139"/>
      <c r="U422" s="139"/>
      <c r="V422" s="139"/>
      <c r="W422" s="139"/>
      <c r="X422" s="139"/>
      <c r="Y422" s="139"/>
      <c r="Z422" s="139"/>
      <c r="AA422" s="139"/>
      <c r="AB422" s="139"/>
      <c r="AC422" s="139"/>
      <c r="AD422" s="139"/>
      <c r="AE422" s="139"/>
      <c r="AF422" s="139"/>
      <c r="AG422" s="139"/>
      <c r="AH422" s="139"/>
      <c r="AI422" s="139"/>
      <c r="AJ422" s="139"/>
      <c r="AK422" s="139"/>
    </row>
    <row r="423" spans="1:37" ht="15">
      <c r="A423" s="139"/>
      <c r="B423" s="213" t="s">
        <v>561</v>
      </c>
      <c r="C423" s="383">
        <f>$F$415</f>
        <v>0</v>
      </c>
      <c r="D423" s="379"/>
      <c r="E423" s="379"/>
      <c r="F423" s="363">
        <f aca="true" t="shared" si="158" ref="F423:N423">IF($F$415&gt;0,HLOOKUP($F$415,$F$402:$N$404,3)*F417/IF(F405=0,1,F405),0)</f>
        <v>0</v>
      </c>
      <c r="G423" s="363">
        <f t="shared" si="158"/>
        <v>0</v>
      </c>
      <c r="H423" s="363">
        <f t="shared" si="158"/>
        <v>0</v>
      </c>
      <c r="I423" s="363">
        <f t="shared" si="158"/>
        <v>0</v>
      </c>
      <c r="J423" s="363">
        <f t="shared" si="158"/>
        <v>0</v>
      </c>
      <c r="K423" s="363">
        <f t="shared" si="158"/>
        <v>0</v>
      </c>
      <c r="L423" s="363">
        <f t="shared" si="158"/>
        <v>0</v>
      </c>
      <c r="M423" s="363">
        <f t="shared" si="158"/>
        <v>0</v>
      </c>
      <c r="N423" s="363">
        <f t="shared" si="158"/>
        <v>0</v>
      </c>
      <c r="O423" s="379"/>
      <c r="P423" s="379"/>
      <c r="Q423" s="379"/>
      <c r="R423" s="139"/>
      <c r="S423" s="139"/>
      <c r="T423" s="139"/>
      <c r="U423" s="139"/>
      <c r="V423" s="139"/>
      <c r="W423" s="139"/>
      <c r="X423" s="139"/>
      <c r="Y423" s="139"/>
      <c r="Z423" s="139"/>
      <c r="AA423" s="139"/>
      <c r="AB423" s="139"/>
      <c r="AC423" s="139"/>
      <c r="AD423" s="139"/>
      <c r="AE423" s="139"/>
      <c r="AF423" s="139"/>
      <c r="AG423" s="139"/>
      <c r="AH423" s="139"/>
      <c r="AI423" s="139"/>
      <c r="AJ423" s="139"/>
      <c r="AK423" s="139"/>
    </row>
    <row r="424" spans="1:37" ht="15.75" thickBot="1">
      <c r="A424" s="139"/>
      <c r="B424" s="213" t="s">
        <v>566</v>
      </c>
      <c r="C424" s="379"/>
      <c r="D424" s="379"/>
      <c r="E424" s="379"/>
      <c r="F424" s="364">
        <f aca="true" t="shared" si="159" ref="F424:N424">F404</f>
        <v>34.5596575331125</v>
      </c>
      <c r="G424" s="364">
        <f t="shared" si="159"/>
        <v>43.932849041520114</v>
      </c>
      <c r="H424" s="364">
        <f t="shared" si="159"/>
        <v>16.22186883073155</v>
      </c>
      <c r="I424" s="364">
        <f t="shared" si="159"/>
        <v>-7.962042450979894</v>
      </c>
      <c r="J424" s="364">
        <f t="shared" si="159"/>
        <v>-40.25102368863021</v>
      </c>
      <c r="K424" s="364">
        <f t="shared" si="159"/>
        <v>0</v>
      </c>
      <c r="L424" s="364">
        <f t="shared" si="159"/>
        <v>0</v>
      </c>
      <c r="M424" s="364">
        <f t="shared" si="159"/>
        <v>0</v>
      </c>
      <c r="N424" s="364">
        <f t="shared" si="159"/>
        <v>0</v>
      </c>
      <c r="O424" s="379"/>
      <c r="P424" s="379"/>
      <c r="Q424" s="379"/>
      <c r="R424" s="139"/>
      <c r="S424" s="139"/>
      <c r="T424" s="139"/>
      <c r="U424" s="139"/>
      <c r="V424" s="139"/>
      <c r="W424" s="139"/>
      <c r="X424" s="139"/>
      <c r="Y424" s="139"/>
      <c r="Z424" s="139"/>
      <c r="AA424" s="139"/>
      <c r="AB424" s="139"/>
      <c r="AC424" s="139"/>
      <c r="AD424" s="139"/>
      <c r="AE424" s="139"/>
      <c r="AF424" s="139"/>
      <c r="AG424" s="139"/>
      <c r="AH424" s="139"/>
      <c r="AI424" s="139"/>
      <c r="AJ424" s="139"/>
      <c r="AK424" s="139"/>
    </row>
    <row r="425" spans="1:37" ht="15.75" thickTop="1">
      <c r="A425" s="139"/>
      <c r="B425" s="213" t="s">
        <v>547</v>
      </c>
      <c r="C425" s="379"/>
      <c r="D425" s="379"/>
      <c r="E425" s="379"/>
      <c r="F425" s="363">
        <f aca="true" t="shared" si="160" ref="F425:N425">SUM(F422:F424)</f>
        <v>-5.691366155517713</v>
      </c>
      <c r="G425" s="363">
        <f t="shared" si="160"/>
        <v>3.681825352889902</v>
      </c>
      <c r="H425" s="363">
        <f t="shared" si="160"/>
        <v>16.22186883073155</v>
      </c>
      <c r="I425" s="363">
        <f t="shared" si="160"/>
        <v>-7.962042450979894</v>
      </c>
      <c r="J425" s="363">
        <f t="shared" si="160"/>
        <v>-40.25102368863021</v>
      </c>
      <c r="K425" s="363">
        <f t="shared" si="160"/>
        <v>0</v>
      </c>
      <c r="L425" s="363">
        <f t="shared" si="160"/>
        <v>0</v>
      </c>
      <c r="M425" s="363">
        <f t="shared" si="160"/>
        <v>0</v>
      </c>
      <c r="N425" s="363">
        <f t="shared" si="160"/>
        <v>0</v>
      </c>
      <c r="O425" s="379"/>
      <c r="P425" s="379"/>
      <c r="Q425" s="379"/>
      <c r="R425" s="139"/>
      <c r="S425" s="139"/>
      <c r="T425" s="139"/>
      <c r="U425" s="139"/>
      <c r="V425" s="139"/>
      <c r="W425" s="139"/>
      <c r="X425" s="139"/>
      <c r="Y425" s="139"/>
      <c r="Z425" s="139"/>
      <c r="AA425" s="139"/>
      <c r="AB425" s="139"/>
      <c r="AC425" s="139"/>
      <c r="AD425" s="139"/>
      <c r="AE425" s="139"/>
      <c r="AF425" s="139"/>
      <c r="AG425" s="139"/>
      <c r="AH425" s="139"/>
      <c r="AI425" s="139"/>
      <c r="AJ425" s="139"/>
      <c r="AK425" s="139"/>
    </row>
    <row r="426" spans="1:37" ht="15">
      <c r="A426" s="139"/>
      <c r="B426" s="213"/>
      <c r="C426" s="379"/>
      <c r="D426" s="379"/>
      <c r="E426" s="379"/>
      <c r="F426" s="379"/>
      <c r="G426" s="379"/>
      <c r="H426" s="379"/>
      <c r="I426" s="379"/>
      <c r="J426" s="379"/>
      <c r="K426" s="379"/>
      <c r="L426" s="379"/>
      <c r="M426" s="379"/>
      <c r="N426" s="379"/>
      <c r="O426" s="379"/>
      <c r="P426" s="379"/>
      <c r="Q426" s="379"/>
      <c r="R426" s="139"/>
      <c r="S426" s="139"/>
      <c r="T426" s="139"/>
      <c r="U426" s="139"/>
      <c r="V426" s="139"/>
      <c r="W426" s="139"/>
      <c r="X426" s="139"/>
      <c r="Y426" s="139"/>
      <c r="Z426" s="139"/>
      <c r="AA426" s="139"/>
      <c r="AB426" s="139"/>
      <c r="AC426" s="139"/>
      <c r="AD426" s="139"/>
      <c r="AE426" s="139"/>
      <c r="AF426" s="139"/>
      <c r="AG426" s="139"/>
      <c r="AH426" s="139"/>
      <c r="AI426" s="139"/>
      <c r="AJ426" s="139"/>
      <c r="AK426" s="139"/>
    </row>
    <row r="427" spans="1:19" ht="15">
      <c r="A427" s="139"/>
      <c r="B427" s="139"/>
      <c r="C427" s="139"/>
      <c r="D427" s="139"/>
      <c r="E427" s="139"/>
      <c r="F427" s="139"/>
      <c r="G427" s="139"/>
      <c r="H427" s="139"/>
      <c r="I427" s="139"/>
      <c r="J427" s="139"/>
      <c r="K427" s="139"/>
      <c r="L427" s="139"/>
      <c r="M427" s="139"/>
      <c r="N427" s="139"/>
      <c r="O427" s="139"/>
      <c r="P427" s="139"/>
      <c r="Q427" s="139"/>
      <c r="R427" s="139"/>
      <c r="S427" s="139"/>
    </row>
    <row r="428" spans="1:19" ht="15" customHeight="1">
      <c r="A428" s="139"/>
      <c r="B428" s="480" t="s">
        <v>567</v>
      </c>
      <c r="C428" s="481"/>
      <c r="D428" s="481"/>
      <c r="E428" s="481"/>
      <c r="F428" s="481"/>
      <c r="G428" s="482"/>
      <c r="H428" s="139"/>
      <c r="I428" s="139"/>
      <c r="J428" s="139"/>
      <c r="K428" s="139"/>
      <c r="L428" s="139"/>
      <c r="M428" s="139"/>
      <c r="N428" s="139"/>
      <c r="O428" s="139"/>
      <c r="P428" s="139"/>
      <c r="Q428" s="139"/>
      <c r="R428" s="139"/>
      <c r="S428" s="139"/>
    </row>
    <row r="429" spans="1:19" ht="15" customHeight="1">
      <c r="A429" s="139"/>
      <c r="H429" s="139"/>
      <c r="I429" s="139"/>
      <c r="J429" s="139"/>
      <c r="K429" s="139"/>
      <c r="L429" s="139"/>
      <c r="M429" s="139"/>
      <c r="N429" s="139"/>
      <c r="O429" s="139"/>
      <c r="P429" s="139"/>
      <c r="Q429" s="139"/>
      <c r="R429" s="139"/>
      <c r="S429" s="139"/>
    </row>
    <row r="430" spans="1:19" ht="15" customHeight="1">
      <c r="A430" s="170" t="s">
        <v>367</v>
      </c>
      <c r="B430" s="503"/>
      <c r="C430" s="503"/>
      <c r="D430" s="504" t="str">
        <f aca="true" t="shared" si="161" ref="D430:D462">AG191</f>
        <v>Gallons</v>
      </c>
      <c r="E430" s="504" t="str">
        <f aca="true" t="shared" si="162" ref="E430:E462">AH191</f>
        <v>Total</v>
      </c>
      <c r="F430" s="504" t="str">
        <f aca="true" t="shared" si="163" ref="F430:F462">AI191</f>
        <v>Total</v>
      </c>
      <c r="G430" s="504" t="str">
        <f aca="true" t="shared" si="164" ref="G430:G462">AJ191</f>
        <v>Total</v>
      </c>
      <c r="H430" s="139"/>
      <c r="I430" s="139"/>
      <c r="J430" s="139"/>
      <c r="K430" s="139"/>
      <c r="L430" s="139"/>
      <c r="M430" s="139"/>
      <c r="N430" s="139"/>
      <c r="O430" s="139"/>
      <c r="P430" s="139"/>
      <c r="Q430" s="139"/>
      <c r="R430" s="139"/>
      <c r="S430" s="139"/>
    </row>
    <row r="431" spans="2:7" ht="15" customHeight="1">
      <c r="B431" s="503"/>
      <c r="C431" s="503"/>
      <c r="D431" s="504" t="str">
        <f t="shared" si="161"/>
        <v>Per</v>
      </c>
      <c r="E431" s="504" t="str">
        <f t="shared" si="162"/>
        <v>Number</v>
      </c>
      <c r="F431" s="504" t="str">
        <f t="shared" si="163"/>
        <v>Fuel</v>
      </c>
      <c r="G431" s="504" t="str">
        <f t="shared" si="164"/>
        <v>Oil</v>
      </c>
    </row>
    <row r="432" spans="2:7" ht="15" customHeight="1">
      <c r="B432" s="503"/>
      <c r="C432" s="503"/>
      <c r="D432" s="504" t="str">
        <f t="shared" si="161"/>
        <v>Hour</v>
      </c>
      <c r="E432" s="504" t="str">
        <f t="shared" si="162"/>
        <v>Hours Used</v>
      </c>
      <c r="F432" s="504" t="str">
        <f t="shared" si="163"/>
        <v>Cost</v>
      </c>
      <c r="G432" s="504" t="str">
        <f t="shared" si="164"/>
        <v>Cost</v>
      </c>
    </row>
    <row r="433" spans="2:7" ht="15" customHeight="1">
      <c r="B433" s="505" t="str">
        <f aca="true" t="shared" si="165" ref="B430:B462">AE194</f>
        <v>Self Propelled Machinery </v>
      </c>
      <c r="C433" s="506"/>
      <c r="D433" s="506"/>
      <c r="E433" s="506"/>
      <c r="F433" s="506"/>
      <c r="G433" s="507"/>
    </row>
    <row r="434" spans="2:7" ht="15" customHeight="1">
      <c r="B434" s="508" t="str">
        <f t="shared" si="165"/>
        <v>Combine #1</v>
      </c>
      <c r="C434" s="508">
        <f aca="true" t="shared" si="166" ref="C430:C462">AF195</f>
        <v>0</v>
      </c>
      <c r="D434" s="504">
        <f t="shared" si="161"/>
        <v>9.68</v>
      </c>
      <c r="E434" s="509">
        <f t="shared" si="162"/>
        <v>212.66666666666666</v>
      </c>
      <c r="F434" s="510">
        <f t="shared" si="163"/>
        <v>3705.504</v>
      </c>
      <c r="G434" s="510">
        <f t="shared" si="164"/>
        <v>555.8256</v>
      </c>
    </row>
    <row r="435" spans="2:7" ht="15" customHeight="1">
      <c r="B435" s="508">
        <f t="shared" si="165"/>
        <v>0</v>
      </c>
      <c r="C435" s="508">
        <f t="shared" si="166"/>
        <v>0</v>
      </c>
      <c r="D435" s="504">
        <f t="shared" si="161"/>
        <v>0</v>
      </c>
      <c r="E435" s="509">
        <f t="shared" si="162"/>
        <v>0</v>
      </c>
      <c r="F435" s="510">
        <f t="shared" si="163"/>
        <v>0</v>
      </c>
      <c r="G435" s="510">
        <f t="shared" si="164"/>
        <v>0</v>
      </c>
    </row>
    <row r="436" spans="2:7" ht="15" customHeight="1">
      <c r="B436" s="508">
        <f t="shared" si="165"/>
        <v>0</v>
      </c>
      <c r="C436" s="508">
        <f t="shared" si="166"/>
        <v>0</v>
      </c>
      <c r="D436" s="504">
        <f t="shared" si="161"/>
        <v>0</v>
      </c>
      <c r="E436" s="509">
        <f t="shared" si="162"/>
        <v>0</v>
      </c>
      <c r="F436" s="510">
        <f t="shared" si="163"/>
        <v>0</v>
      </c>
      <c r="G436" s="510">
        <f t="shared" si="164"/>
        <v>0</v>
      </c>
    </row>
    <row r="437" spans="2:7" ht="15" customHeight="1">
      <c r="B437" s="508">
        <f t="shared" si="165"/>
        <v>0</v>
      </c>
      <c r="C437" s="508">
        <f t="shared" si="166"/>
        <v>0</v>
      </c>
      <c r="D437" s="504">
        <f t="shared" si="161"/>
        <v>0</v>
      </c>
      <c r="E437" s="509">
        <f t="shared" si="162"/>
        <v>0</v>
      </c>
      <c r="F437" s="510">
        <f t="shared" si="163"/>
        <v>0</v>
      </c>
      <c r="G437" s="510">
        <f t="shared" si="164"/>
        <v>0</v>
      </c>
    </row>
    <row r="438" spans="2:7" ht="15" customHeight="1">
      <c r="B438" s="508">
        <f t="shared" si="165"/>
        <v>0</v>
      </c>
      <c r="C438" s="508">
        <f t="shared" si="166"/>
        <v>0</v>
      </c>
      <c r="D438" s="504">
        <f t="shared" si="161"/>
        <v>0</v>
      </c>
      <c r="E438" s="509">
        <f t="shared" si="162"/>
        <v>0</v>
      </c>
      <c r="F438" s="510">
        <f t="shared" si="163"/>
        <v>0</v>
      </c>
      <c r="G438" s="510">
        <f t="shared" si="164"/>
        <v>0</v>
      </c>
    </row>
    <row r="439" spans="2:7" ht="15" customHeight="1">
      <c r="B439" s="508">
        <f t="shared" si="165"/>
        <v>0</v>
      </c>
      <c r="C439" s="508">
        <f t="shared" si="166"/>
        <v>0</v>
      </c>
      <c r="D439" s="504">
        <f t="shared" si="161"/>
        <v>0</v>
      </c>
      <c r="E439" s="509">
        <f t="shared" si="162"/>
        <v>0</v>
      </c>
      <c r="F439" s="510">
        <f t="shared" si="163"/>
        <v>0</v>
      </c>
      <c r="G439" s="510">
        <f t="shared" si="164"/>
        <v>0</v>
      </c>
    </row>
    <row r="440" spans="2:7" ht="15" customHeight="1">
      <c r="B440" s="511" t="str">
        <f t="shared" si="165"/>
        <v>MUSelf Prop. #1 USE#1</v>
      </c>
      <c r="C440" s="511">
        <f t="shared" si="166"/>
        <v>0</v>
      </c>
      <c r="D440" s="504">
        <f t="shared" si="161"/>
        <v>0</v>
      </c>
      <c r="E440" s="509">
        <f t="shared" si="162"/>
        <v>0</v>
      </c>
      <c r="F440" s="510">
        <f t="shared" si="163"/>
        <v>0</v>
      </c>
      <c r="G440" s="510">
        <f t="shared" si="164"/>
        <v>0</v>
      </c>
    </row>
    <row r="441" spans="2:7" ht="15" customHeight="1">
      <c r="B441" s="511" t="str">
        <f t="shared" si="165"/>
        <v>MUSelf Prop. #2 USE#1</v>
      </c>
      <c r="C441" s="511">
        <f t="shared" si="166"/>
        <v>0</v>
      </c>
      <c r="D441" s="504">
        <f t="shared" si="161"/>
        <v>0</v>
      </c>
      <c r="E441" s="509">
        <f t="shared" si="162"/>
        <v>0</v>
      </c>
      <c r="F441" s="510">
        <f t="shared" si="163"/>
        <v>0</v>
      </c>
      <c r="G441" s="510">
        <f t="shared" si="164"/>
        <v>0</v>
      </c>
    </row>
    <row r="442" spans="2:7" ht="15" customHeight="1">
      <c r="B442" s="505" t="str">
        <f t="shared" si="165"/>
        <v>Power Units (Tractors)</v>
      </c>
      <c r="C442" s="506"/>
      <c r="D442" s="506"/>
      <c r="E442" s="506"/>
      <c r="F442" s="506"/>
      <c r="G442" s="507"/>
    </row>
    <row r="443" spans="2:7" ht="15" customHeight="1">
      <c r="B443" s="511" t="str">
        <f t="shared" si="165"/>
        <v>3/4 ton Chevy Pickup</v>
      </c>
      <c r="C443" s="511">
        <f t="shared" si="166"/>
        <v>0</v>
      </c>
      <c r="D443" s="504">
        <f t="shared" si="161"/>
        <v>9.9</v>
      </c>
      <c r="E443" s="509">
        <f t="shared" si="162"/>
        <v>200.53846153846155</v>
      </c>
      <c r="F443" s="510">
        <f t="shared" si="163"/>
        <v>3474.3288461538464</v>
      </c>
      <c r="G443" s="510">
        <f t="shared" si="164"/>
        <v>521.149326923077</v>
      </c>
    </row>
    <row r="444" spans="2:7" ht="15" customHeight="1">
      <c r="B444" s="511" t="str">
        <f t="shared" si="165"/>
        <v>260 hp 4wd #11</v>
      </c>
      <c r="C444" s="511">
        <f t="shared" si="166"/>
        <v>0</v>
      </c>
      <c r="D444" s="504">
        <f t="shared" si="161"/>
        <v>11.44</v>
      </c>
      <c r="E444" s="509">
        <f t="shared" si="162"/>
        <v>266.26984126984127</v>
      </c>
      <c r="F444" s="510">
        <f t="shared" si="163"/>
        <v>5483.028571428571</v>
      </c>
      <c r="G444" s="510">
        <f t="shared" si="164"/>
        <v>822.4542857142857</v>
      </c>
    </row>
    <row r="445" spans="2:7" ht="15" customHeight="1">
      <c r="B445" s="511" t="str">
        <f t="shared" si="165"/>
        <v>80 hp 2wd #5</v>
      </c>
      <c r="C445" s="511">
        <f t="shared" si="166"/>
        <v>0</v>
      </c>
      <c r="D445" s="504">
        <f t="shared" si="161"/>
        <v>3.5199999999999996</v>
      </c>
      <c r="E445" s="509">
        <f t="shared" si="162"/>
        <v>28.285714285714285</v>
      </c>
      <c r="F445" s="510">
        <f t="shared" si="163"/>
        <v>179.21828571428568</v>
      </c>
      <c r="G445" s="510">
        <f t="shared" si="164"/>
        <v>26.88274285714285</v>
      </c>
    </row>
    <row r="446" spans="2:7" ht="15" customHeight="1">
      <c r="B446" s="511" t="str">
        <f t="shared" si="165"/>
        <v>#4 tractor not used</v>
      </c>
      <c r="C446" s="511">
        <f t="shared" si="166"/>
        <v>0</v>
      </c>
      <c r="D446" s="504">
        <f t="shared" si="161"/>
        <v>0</v>
      </c>
      <c r="E446" s="509">
        <f t="shared" si="162"/>
        <v>0</v>
      </c>
      <c r="F446" s="510">
        <f t="shared" si="163"/>
        <v>0</v>
      </c>
      <c r="G446" s="510">
        <f t="shared" si="164"/>
        <v>0</v>
      </c>
    </row>
    <row r="447" spans="2:7" ht="15" customHeight="1">
      <c r="B447" s="511" t="str">
        <f t="shared" si="165"/>
        <v>#5 tractor not used</v>
      </c>
      <c r="C447" s="511">
        <f t="shared" si="166"/>
        <v>0</v>
      </c>
      <c r="D447" s="504">
        <f t="shared" si="161"/>
        <v>0</v>
      </c>
      <c r="E447" s="509">
        <f t="shared" si="162"/>
        <v>0</v>
      </c>
      <c r="F447" s="510">
        <f t="shared" si="163"/>
        <v>0</v>
      </c>
      <c r="G447" s="510">
        <f t="shared" si="164"/>
        <v>0</v>
      </c>
    </row>
    <row r="448" spans="2:7" ht="15" customHeight="1">
      <c r="B448" s="511" t="str">
        <f t="shared" si="165"/>
        <v>#6 tractor not used</v>
      </c>
      <c r="C448" s="511">
        <f t="shared" si="166"/>
        <v>0</v>
      </c>
      <c r="D448" s="504">
        <f t="shared" si="161"/>
        <v>0</v>
      </c>
      <c r="E448" s="509">
        <f t="shared" si="162"/>
        <v>0</v>
      </c>
      <c r="F448" s="510">
        <f t="shared" si="163"/>
        <v>0</v>
      </c>
      <c r="G448" s="510">
        <f t="shared" si="164"/>
        <v>0</v>
      </c>
    </row>
    <row r="449" spans="2:7" ht="15" customHeight="1">
      <c r="B449" s="512" t="str">
        <f t="shared" si="165"/>
        <v>Utility Category Power Units</v>
      </c>
      <c r="C449" s="513">
        <f t="shared" si="166"/>
        <v>0</v>
      </c>
      <c r="D449" s="513">
        <f t="shared" si="161"/>
        <v>0</v>
      </c>
      <c r="E449" s="513">
        <f t="shared" si="162"/>
        <v>0</v>
      </c>
      <c r="F449" s="513">
        <f t="shared" si="163"/>
        <v>0</v>
      </c>
      <c r="G449" s="514">
        <f t="shared" si="164"/>
        <v>0</v>
      </c>
    </row>
    <row r="450" spans="2:7" ht="15" customHeight="1">
      <c r="B450" s="511" t="str">
        <f t="shared" si="165"/>
        <v>Utility Tractor # 1</v>
      </c>
      <c r="C450" s="511">
        <f t="shared" si="166"/>
        <v>0</v>
      </c>
      <c r="D450" s="504">
        <f t="shared" si="161"/>
        <v>0</v>
      </c>
      <c r="E450" s="509">
        <f t="shared" si="162"/>
        <v>0</v>
      </c>
      <c r="F450" s="510">
        <f t="shared" si="163"/>
        <v>0</v>
      </c>
      <c r="G450" s="510">
        <f t="shared" si="164"/>
        <v>0</v>
      </c>
    </row>
    <row r="451" spans="2:7" ht="15" customHeight="1">
      <c r="B451" s="511" t="str">
        <f t="shared" si="165"/>
        <v>Utility Tractor # 2</v>
      </c>
      <c r="C451" s="511">
        <f t="shared" si="166"/>
        <v>0</v>
      </c>
      <c r="D451" s="504">
        <f t="shared" si="161"/>
        <v>0</v>
      </c>
      <c r="E451" s="509">
        <f t="shared" si="162"/>
        <v>0</v>
      </c>
      <c r="F451" s="510">
        <f t="shared" si="163"/>
        <v>0</v>
      </c>
      <c r="G451" s="510">
        <f t="shared" si="164"/>
        <v>0</v>
      </c>
    </row>
    <row r="452" spans="2:7" ht="15" customHeight="1">
      <c r="B452" s="511" t="str">
        <f t="shared" si="165"/>
        <v>Utility Tractor # 3</v>
      </c>
      <c r="C452" s="511">
        <f t="shared" si="166"/>
        <v>0</v>
      </c>
      <c r="D452" s="504">
        <f t="shared" si="161"/>
        <v>0</v>
      </c>
      <c r="E452" s="509">
        <f t="shared" si="162"/>
        <v>0</v>
      </c>
      <c r="F452" s="510">
        <f t="shared" si="163"/>
        <v>0</v>
      </c>
      <c r="G452" s="510">
        <f t="shared" si="164"/>
        <v>0</v>
      </c>
    </row>
    <row r="453" spans="2:7" ht="15" customHeight="1">
      <c r="B453" s="512" t="str">
        <f t="shared" si="165"/>
        <v>Trucks</v>
      </c>
      <c r="C453" s="513">
        <f t="shared" si="166"/>
        <v>0</v>
      </c>
      <c r="D453" s="513">
        <f t="shared" si="161"/>
        <v>0</v>
      </c>
      <c r="E453" s="513">
        <f t="shared" si="162"/>
        <v>0</v>
      </c>
      <c r="F453" s="513">
        <f t="shared" si="163"/>
        <v>0</v>
      </c>
      <c r="G453" s="514">
        <f t="shared" si="164"/>
        <v>0</v>
      </c>
    </row>
    <row r="454" spans="2:7" ht="15" customHeight="1">
      <c r="B454" s="511" t="str">
        <f t="shared" si="165"/>
        <v>350 bushel truck #1</v>
      </c>
      <c r="C454" s="511">
        <f t="shared" si="166"/>
        <v>0</v>
      </c>
      <c r="D454" s="504">
        <f t="shared" si="161"/>
        <v>7.92</v>
      </c>
      <c r="E454" s="509">
        <f t="shared" si="162"/>
        <v>135</v>
      </c>
      <c r="F454" s="510">
        <f t="shared" si="163"/>
        <v>1924.56</v>
      </c>
      <c r="G454" s="510">
        <f t="shared" si="164"/>
        <v>288.68399999999997</v>
      </c>
    </row>
    <row r="455" spans="2:7" ht="15" customHeight="1">
      <c r="B455" s="511" t="str">
        <f t="shared" si="165"/>
        <v>350 bushel truck #2</v>
      </c>
      <c r="C455" s="511">
        <f t="shared" si="166"/>
        <v>0</v>
      </c>
      <c r="D455" s="504">
        <f t="shared" si="161"/>
        <v>10.5</v>
      </c>
      <c r="E455" s="509">
        <f t="shared" si="162"/>
        <v>135</v>
      </c>
      <c r="F455" s="510">
        <f t="shared" si="163"/>
        <v>2480.625</v>
      </c>
      <c r="G455" s="510">
        <f t="shared" si="164"/>
        <v>372.09375</v>
      </c>
    </row>
    <row r="456" spans="2:7" ht="15" customHeight="1">
      <c r="B456" s="511" t="str">
        <f t="shared" si="165"/>
        <v># 3 Truck Not Used</v>
      </c>
      <c r="C456" s="511">
        <f t="shared" si="166"/>
        <v>0</v>
      </c>
      <c r="D456" s="504">
        <f t="shared" si="161"/>
        <v>0</v>
      </c>
      <c r="E456" s="509">
        <f t="shared" si="162"/>
        <v>0</v>
      </c>
      <c r="F456" s="510">
        <f t="shared" si="163"/>
        <v>0</v>
      </c>
      <c r="G456" s="510">
        <f t="shared" si="164"/>
        <v>0</v>
      </c>
    </row>
    <row r="457" spans="2:7" ht="15" customHeight="1">
      <c r="B457" s="512" t="str">
        <f t="shared" si="165"/>
        <v>Pickups</v>
      </c>
      <c r="C457" s="513">
        <f t="shared" si="166"/>
        <v>0</v>
      </c>
      <c r="D457" s="513">
        <f t="shared" si="161"/>
        <v>0</v>
      </c>
      <c r="E457" s="513">
        <f t="shared" si="162"/>
        <v>0</v>
      </c>
      <c r="F457" s="513">
        <f t="shared" si="163"/>
        <v>0</v>
      </c>
      <c r="G457" s="514">
        <f t="shared" si="164"/>
        <v>0</v>
      </c>
    </row>
    <row r="458" spans="2:7" ht="15" customHeight="1">
      <c r="B458" s="511" t="str">
        <f t="shared" si="165"/>
        <v>Chevy pickup #1</v>
      </c>
      <c r="C458" s="511">
        <f t="shared" si="166"/>
        <v>0</v>
      </c>
      <c r="D458" s="504">
        <f t="shared" si="161"/>
        <v>11</v>
      </c>
      <c r="E458" s="509">
        <f t="shared" si="162"/>
        <v>700</v>
      </c>
      <c r="F458" s="510">
        <f t="shared" si="163"/>
        <v>13860</v>
      </c>
      <c r="G458" s="510">
        <f t="shared" si="164"/>
        <v>2079</v>
      </c>
    </row>
    <row r="459" spans="2:7" ht="15" customHeight="1">
      <c r="B459" s="511" t="str">
        <f t="shared" si="165"/>
        <v>Ford pickup #2</v>
      </c>
      <c r="C459" s="511">
        <f t="shared" si="166"/>
        <v>0</v>
      </c>
      <c r="D459" s="504">
        <f t="shared" si="161"/>
        <v>8.799999999999999</v>
      </c>
      <c r="E459" s="509">
        <f t="shared" si="162"/>
        <v>500</v>
      </c>
      <c r="F459" s="510">
        <f t="shared" si="163"/>
        <v>7919.999999999999</v>
      </c>
      <c r="G459" s="510">
        <f t="shared" si="164"/>
        <v>1187.9999999999998</v>
      </c>
    </row>
    <row r="460" spans="2:7" ht="15" customHeight="1">
      <c r="B460" s="511" t="str">
        <f t="shared" si="165"/>
        <v>Pickup not used</v>
      </c>
      <c r="C460" s="511">
        <f t="shared" si="166"/>
        <v>0</v>
      </c>
      <c r="D460" s="504">
        <f t="shared" si="161"/>
        <v>0</v>
      </c>
      <c r="E460" s="509">
        <f t="shared" si="162"/>
        <v>0</v>
      </c>
      <c r="F460" s="510">
        <f t="shared" si="163"/>
        <v>0</v>
      </c>
      <c r="G460" s="510">
        <f t="shared" si="164"/>
        <v>0</v>
      </c>
    </row>
    <row r="461" spans="2:4" ht="15" customHeight="1">
      <c r="B461" s="213"/>
      <c r="C461" s="213"/>
      <c r="D461" s="446"/>
    </row>
    <row r="462" spans="2:7" ht="15" customHeight="1">
      <c r="B462" s="6" t="str">
        <f t="shared" si="165"/>
        <v>Estimated Total Fuel and Lubricant Cost</v>
      </c>
      <c r="C462" s="178"/>
      <c r="F462" s="445">
        <f t="shared" si="163"/>
        <v>39027.2647032967</v>
      </c>
      <c r="G462" s="445">
        <f t="shared" si="164"/>
        <v>5854.089705494505</v>
      </c>
    </row>
    <row r="463" ht="15" customHeight="1"/>
    <row r="464" ht="15" customHeight="1"/>
  </sheetData>
  <sheetProtection sheet="1" objects="1" scenarios="1" formatCells="0" formatColumns="0" formatRows="0"/>
  <mergeCells count="289">
    <mergeCell ref="G201:I201"/>
    <mergeCell ref="G202:I202"/>
    <mergeCell ref="G192:I192"/>
    <mergeCell ref="G193:I193"/>
    <mergeCell ref="B459:C459"/>
    <mergeCell ref="B460:C460"/>
    <mergeCell ref="B428:G428"/>
    <mergeCell ref="B295:C295"/>
    <mergeCell ref="B296:C296"/>
    <mergeCell ref="B297:C297"/>
    <mergeCell ref="B298:C298"/>
    <mergeCell ref="B299:C299"/>
    <mergeCell ref="B300:C300"/>
    <mergeCell ref="B301:C301"/>
    <mergeCell ref="B455:C455"/>
    <mergeCell ref="B456:C456"/>
    <mergeCell ref="B457:G457"/>
    <mergeCell ref="B458:C458"/>
    <mergeCell ref="B451:C451"/>
    <mergeCell ref="B452:C452"/>
    <mergeCell ref="B453:G453"/>
    <mergeCell ref="B454:C454"/>
    <mergeCell ref="B445:C445"/>
    <mergeCell ref="B446:C446"/>
    <mergeCell ref="B447:C447"/>
    <mergeCell ref="B448:C448"/>
    <mergeCell ref="B440:C440"/>
    <mergeCell ref="B441:C441"/>
    <mergeCell ref="B443:C443"/>
    <mergeCell ref="B444:C444"/>
    <mergeCell ref="AE221:AF221"/>
    <mergeCell ref="AE210:AJ210"/>
    <mergeCell ref="AE214:AJ214"/>
    <mergeCell ref="AE218:AJ218"/>
    <mergeCell ref="AE217:AF217"/>
    <mergeCell ref="AE219:AF219"/>
    <mergeCell ref="AE220:AF220"/>
    <mergeCell ref="B434:C434"/>
    <mergeCell ref="B302:C302"/>
    <mergeCell ref="B303:C303"/>
    <mergeCell ref="B304:C304"/>
    <mergeCell ref="B305:C305"/>
    <mergeCell ref="B306:C306"/>
    <mergeCell ref="B307:C307"/>
    <mergeCell ref="AE213:AF213"/>
    <mergeCell ref="AE215:AF215"/>
    <mergeCell ref="AE216:AF216"/>
    <mergeCell ref="B435:C435"/>
    <mergeCell ref="B308:C308"/>
    <mergeCell ref="B309:C309"/>
    <mergeCell ref="B310:C310"/>
    <mergeCell ref="AE195:AF195"/>
    <mergeCell ref="AE196:AF196"/>
    <mergeCell ref="AE197:AF197"/>
    <mergeCell ref="AE198:AF198"/>
    <mergeCell ref="AE199:AF199"/>
    <mergeCell ref="AE200:AF200"/>
    <mergeCell ref="AE201:AF201"/>
    <mergeCell ref="AE202:AF202"/>
    <mergeCell ref="AE204:AF204"/>
    <mergeCell ref="AE205:AF205"/>
    <mergeCell ref="AE206:AF206"/>
    <mergeCell ref="B436:C436"/>
    <mergeCell ref="AF227:AJ227"/>
    <mergeCell ref="B437:C437"/>
    <mergeCell ref="B438:C438"/>
    <mergeCell ref="B439:C439"/>
    <mergeCell ref="AE207:AF207"/>
    <mergeCell ref="AE208:AF208"/>
    <mergeCell ref="AE209:AF209"/>
    <mergeCell ref="AE211:AF211"/>
    <mergeCell ref="AE212:AF212"/>
    <mergeCell ref="B449:G449"/>
    <mergeCell ref="B450:C450"/>
    <mergeCell ref="B370:C370"/>
    <mergeCell ref="B371:C371"/>
    <mergeCell ref="C2:D2"/>
    <mergeCell ref="C39:E39"/>
    <mergeCell ref="C40:E40"/>
    <mergeCell ref="C41:E41"/>
    <mergeCell ref="E21:F21"/>
    <mergeCell ref="E13:F13"/>
    <mergeCell ref="E14:F14"/>
    <mergeCell ref="E15:F15"/>
    <mergeCell ref="E16:F16"/>
    <mergeCell ref="E12:F12"/>
    <mergeCell ref="I13:J13"/>
    <mergeCell ref="I14:J14"/>
    <mergeCell ref="I15:J15"/>
    <mergeCell ref="I16:J16"/>
    <mergeCell ref="K139:K140"/>
    <mergeCell ref="I21:J21"/>
    <mergeCell ref="E17:F17"/>
    <mergeCell ref="E18:F18"/>
    <mergeCell ref="E19:F19"/>
    <mergeCell ref="E20:F20"/>
    <mergeCell ref="I17:J17"/>
    <mergeCell ref="I18:J18"/>
    <mergeCell ref="I19:J19"/>
    <mergeCell ref="I20:J20"/>
    <mergeCell ref="H39:H40"/>
    <mergeCell ref="H103:H104"/>
    <mergeCell ref="J103:J104"/>
    <mergeCell ref="B134:C134"/>
    <mergeCell ref="B49:C49"/>
    <mergeCell ref="B50:C50"/>
    <mergeCell ref="B51:C51"/>
    <mergeCell ref="B52:C52"/>
    <mergeCell ref="B53:C53"/>
    <mergeCell ref="B54:C54"/>
    <mergeCell ref="E139:E140"/>
    <mergeCell ref="F139:F140"/>
    <mergeCell ref="G139:G140"/>
    <mergeCell ref="T175:W175"/>
    <mergeCell ref="P175:R175"/>
    <mergeCell ref="L139:L140"/>
    <mergeCell ref="M139:M140"/>
    <mergeCell ref="H139:H140"/>
    <mergeCell ref="I139:I140"/>
    <mergeCell ref="J139:J140"/>
    <mergeCell ref="B143:C143"/>
    <mergeCell ref="B144:C144"/>
    <mergeCell ref="B145:C145"/>
    <mergeCell ref="B160:C160"/>
    <mergeCell ref="B149:C149"/>
    <mergeCell ref="B157:C157"/>
    <mergeCell ref="B158:C158"/>
    <mergeCell ref="B159:C159"/>
    <mergeCell ref="B311:C311"/>
    <mergeCell ref="B312:C312"/>
    <mergeCell ref="B215:C215"/>
    <mergeCell ref="B216:C216"/>
    <mergeCell ref="B217:C217"/>
    <mergeCell ref="E231:E232"/>
    <mergeCell ref="F231:F232"/>
    <mergeCell ref="G231:G232"/>
    <mergeCell ref="B55:C55"/>
    <mergeCell ref="B56:C56"/>
    <mergeCell ref="B57:C57"/>
    <mergeCell ref="B58:C58"/>
    <mergeCell ref="B59:C59"/>
    <mergeCell ref="B60:C60"/>
    <mergeCell ref="B61:C61"/>
    <mergeCell ref="B62:C62"/>
    <mergeCell ref="B64:C64"/>
    <mergeCell ref="B65:C65"/>
    <mergeCell ref="B66:C66"/>
    <mergeCell ref="B75:C75"/>
    <mergeCell ref="B76:C76"/>
    <mergeCell ref="B77:C77"/>
    <mergeCell ref="B68:C68"/>
    <mergeCell ref="B69:C69"/>
    <mergeCell ref="B70:C70"/>
    <mergeCell ref="B73:C73"/>
    <mergeCell ref="L103:L104"/>
    <mergeCell ref="N103:N104"/>
    <mergeCell ref="P103:P104"/>
    <mergeCell ref="R103:R104"/>
    <mergeCell ref="T103:T104"/>
    <mergeCell ref="V103:V104"/>
    <mergeCell ref="X103:X104"/>
    <mergeCell ref="J39:J40"/>
    <mergeCell ref="L39:L40"/>
    <mergeCell ref="N39:N40"/>
    <mergeCell ref="P39:P40"/>
    <mergeCell ref="R39:R40"/>
    <mergeCell ref="T39:T40"/>
    <mergeCell ref="V39:V40"/>
    <mergeCell ref="X39:X40"/>
    <mergeCell ref="E117:E118"/>
    <mergeCell ref="F117:F118"/>
    <mergeCell ref="G117:G118"/>
    <mergeCell ref="H117:H118"/>
    <mergeCell ref="M117:M118"/>
    <mergeCell ref="I117:I118"/>
    <mergeCell ref="J117:J118"/>
    <mergeCell ref="K117:K118"/>
    <mergeCell ref="L117:L118"/>
    <mergeCell ref="H231:H232"/>
    <mergeCell ref="I231:I232"/>
    <mergeCell ref="J231:J232"/>
    <mergeCell ref="K231:K232"/>
    <mergeCell ref="L231:L232"/>
    <mergeCell ref="U231:U232"/>
    <mergeCell ref="V231:V232"/>
    <mergeCell ref="M231:M232"/>
    <mergeCell ref="P231:P232"/>
    <mergeCell ref="Q231:Q232"/>
    <mergeCell ref="R231:R232"/>
    <mergeCell ref="W231:W232"/>
    <mergeCell ref="X231:X232"/>
    <mergeCell ref="G281:G282"/>
    <mergeCell ref="J281:J282"/>
    <mergeCell ref="M281:M282"/>
    <mergeCell ref="P281:P282"/>
    <mergeCell ref="S281:S282"/>
    <mergeCell ref="V281:V282"/>
    <mergeCell ref="S231:S232"/>
    <mergeCell ref="T231:T232"/>
    <mergeCell ref="Y281:Y282"/>
    <mergeCell ref="AB281:AB282"/>
    <mergeCell ref="AE281:AE282"/>
    <mergeCell ref="B124:C124"/>
    <mergeCell ref="B125:C125"/>
    <mergeCell ref="B126:C126"/>
    <mergeCell ref="B153:C153"/>
    <mergeCell ref="B154:C154"/>
    <mergeCell ref="B155:C155"/>
    <mergeCell ref="B156:C156"/>
    <mergeCell ref="B113:C113"/>
    <mergeCell ref="B114:C114"/>
    <mergeCell ref="B106:C106"/>
    <mergeCell ref="B107:C107"/>
    <mergeCell ref="B108:C108"/>
    <mergeCell ref="B109:C109"/>
    <mergeCell ref="B110:C110"/>
    <mergeCell ref="B111:C111"/>
    <mergeCell ref="B48:C48"/>
    <mergeCell ref="B150:C150"/>
    <mergeCell ref="B151:C151"/>
    <mergeCell ref="B152:C152"/>
    <mergeCell ref="B115:C115"/>
    <mergeCell ref="B78:C78"/>
    <mergeCell ref="B84:C84"/>
    <mergeCell ref="B85:C85"/>
    <mergeCell ref="B86:C86"/>
    <mergeCell ref="B74:C74"/>
    <mergeCell ref="B219:C219"/>
    <mergeCell ref="B220:C220"/>
    <mergeCell ref="B221:C221"/>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9:C249"/>
    <mergeCell ref="B250:C250"/>
    <mergeCell ref="B251:C251"/>
    <mergeCell ref="B252:C252"/>
    <mergeCell ref="B253:C253"/>
    <mergeCell ref="B254:C254"/>
    <mergeCell ref="B257:C257"/>
    <mergeCell ref="B265:C265"/>
    <mergeCell ref="B258:C258"/>
    <mergeCell ref="B259:C259"/>
    <mergeCell ref="B260:C260"/>
    <mergeCell ref="B261:C261"/>
    <mergeCell ref="B262:C262"/>
    <mergeCell ref="B263:C263"/>
    <mergeCell ref="B264:C264"/>
    <mergeCell ref="B266:C266"/>
    <mergeCell ref="B271:C271"/>
    <mergeCell ref="B267:C267"/>
    <mergeCell ref="B268:C268"/>
    <mergeCell ref="B269:C269"/>
    <mergeCell ref="B270:C270"/>
    <mergeCell ref="B80:C80"/>
    <mergeCell ref="B81:C81"/>
    <mergeCell ref="B82:C82"/>
    <mergeCell ref="D99:E99"/>
    <mergeCell ref="D98:E98"/>
    <mergeCell ref="D91:E91"/>
    <mergeCell ref="D93:E93"/>
    <mergeCell ref="D92:E92"/>
    <mergeCell ref="D94:E94"/>
    <mergeCell ref="D100:E100"/>
    <mergeCell ref="D101:E101"/>
    <mergeCell ref="D95:E95"/>
    <mergeCell ref="D96:E96"/>
    <mergeCell ref="D97:E97"/>
    <mergeCell ref="C29:D29"/>
    <mergeCell ref="C30:D30"/>
    <mergeCell ref="C31:D31"/>
    <mergeCell ref="C32:D32"/>
    <mergeCell ref="C44:E44"/>
    <mergeCell ref="C33:D33"/>
    <mergeCell ref="C34:D34"/>
    <mergeCell ref="C35:D35"/>
    <mergeCell ref="C42:E42"/>
    <mergeCell ref="C43:E43"/>
  </mergeCells>
  <conditionalFormatting sqref="F422:N425 F403:N404 F354:N395 F342:N350 P178:AC193 G323:AE337 AB295:AB315 AE289:AE290 AB289:AB290 Y295:Y315 V295:V315 S295:S315 P295:P315 M295:M315 J295:J314 G289:G290 J289:J290 M289:M290 G283 J283 M283 P283 P289:P290 S283 S289:S290 V289:V290 V283 Y283 Y289:Y290 AB283 AE283 E233:M277 N257:N273 P233:X275 Y257:Z273 AA273 K219:L221 K211:L213 K215:L217 K204:L209 G195:L200 J201:L202 G178:L191 J192:L193 S222:AC222 P195:AC202 P204:AC209 P211:AC213 P215:AC217 P219:AC221 G295:G315 AE295:AE315 H90:AA102 H106:AA112 Z49:AA88 E119:M119 E127:M127 N124:O127 D458:G460 D454:G456 D450:G452 D443:G448 D434:G441 B434:C439 G49:G62 G64:G87 G134:G136 I134:I136 K134:K136 E142:P142 Q143:R145">
    <cfRule type="cellIs" priority="1" dxfId="0" operator="equal" stopIfTrue="1">
      <formula>0</formula>
    </cfRule>
  </conditionalFormatting>
  <conditionalFormatting sqref="O412 O417">
    <cfRule type="cellIs" priority="2" dxfId="1" operator="equal" stopIfTrue="1">
      <formula>"ERROR"</formula>
    </cfRule>
  </conditionalFormatting>
  <printOptions/>
  <pageMargins left="0.75" right="0.5" top="0.52" bottom="0.5" header="0.5" footer="0.5"/>
  <pageSetup fitToHeight="1" fitToWidth="1" orientation="landscape" paperSize="3" scale="57" r:id="rId4"/>
  <headerFooter alignWithMargins="0">
    <oddHeader>&amp;C&amp;A</oddHeader>
    <oddFooter>&amp;CPage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B1:J139"/>
  <sheetViews>
    <sheetView showGridLines="0" workbookViewId="0" topLeftCell="A1">
      <selection activeCell="H52" sqref="H52"/>
    </sheetView>
  </sheetViews>
  <sheetFormatPr defaultColWidth="8.88671875" defaultRowHeight="15"/>
  <cols>
    <col min="1" max="1" width="3.99609375" style="0" customWidth="1"/>
  </cols>
  <sheetData>
    <row r="1" spans="2:10" ht="15">
      <c r="B1" s="5"/>
      <c r="C1" s="5"/>
      <c r="D1" s="5"/>
      <c r="E1" s="5"/>
      <c r="F1" s="5"/>
      <c r="G1" s="5"/>
      <c r="H1" s="5"/>
      <c r="I1" s="5"/>
      <c r="J1" s="5"/>
    </row>
    <row r="2" spans="2:10" ht="15">
      <c r="B2" s="5"/>
      <c r="C2" s="5"/>
      <c r="D2" s="5"/>
      <c r="E2" s="5"/>
      <c r="F2" s="5"/>
      <c r="G2" s="5"/>
      <c r="H2" s="5"/>
      <c r="I2" s="5"/>
      <c r="J2" s="5"/>
    </row>
    <row r="3" spans="2:10" ht="15">
      <c r="B3" s="106" t="s">
        <v>446</v>
      </c>
      <c r="C3" s="106"/>
      <c r="D3" s="106"/>
      <c r="E3" s="106"/>
      <c r="F3" s="106"/>
      <c r="G3" s="5"/>
      <c r="H3" s="5"/>
      <c r="I3" s="5"/>
      <c r="J3" s="5"/>
    </row>
    <row r="4" spans="2:10" ht="15">
      <c r="B4" s="5" t="s">
        <v>447</v>
      </c>
      <c r="C4" s="5"/>
      <c r="D4" s="5"/>
      <c r="E4" s="5"/>
      <c r="F4" s="5"/>
      <c r="G4" s="5"/>
      <c r="H4" s="5"/>
      <c r="I4" s="5"/>
      <c r="J4" s="5"/>
    </row>
    <row r="5" spans="2:10" ht="15">
      <c r="B5" s="5" t="s">
        <v>448</v>
      </c>
      <c r="C5" s="5"/>
      <c r="D5" s="5"/>
      <c r="E5" s="5"/>
      <c r="F5" s="5"/>
      <c r="G5" s="5"/>
      <c r="H5" s="5"/>
      <c r="I5" s="5"/>
      <c r="J5" s="5"/>
    </row>
    <row r="6" spans="2:10" ht="15">
      <c r="B6" s="5" t="s">
        <v>449</v>
      </c>
      <c r="C6" s="5"/>
      <c r="D6" s="5"/>
      <c r="E6" s="5"/>
      <c r="F6" s="5"/>
      <c r="G6" s="5"/>
      <c r="H6" s="5"/>
      <c r="I6" s="5"/>
      <c r="J6" s="5"/>
    </row>
    <row r="7" spans="2:10" ht="15">
      <c r="B7" s="5" t="s">
        <v>450</v>
      </c>
      <c r="C7" s="5"/>
      <c r="D7" s="5"/>
      <c r="E7" s="5"/>
      <c r="F7" s="5"/>
      <c r="G7" s="5"/>
      <c r="H7" s="5"/>
      <c r="I7" s="5"/>
      <c r="J7" s="5"/>
    </row>
    <row r="8" spans="2:10" ht="15">
      <c r="B8" s="5"/>
      <c r="C8" s="5"/>
      <c r="D8" s="5"/>
      <c r="E8" s="5"/>
      <c r="F8" s="5"/>
      <c r="G8" s="5"/>
      <c r="H8" s="5"/>
      <c r="I8" s="5"/>
      <c r="J8" s="5"/>
    </row>
    <row r="9" spans="2:10" ht="15">
      <c r="B9" s="5"/>
      <c r="C9" s="5"/>
      <c r="D9" s="5"/>
      <c r="E9" s="5"/>
      <c r="F9" s="5"/>
      <c r="G9" s="5"/>
      <c r="H9" s="5"/>
      <c r="I9" s="5"/>
      <c r="J9" s="5"/>
    </row>
    <row r="10" spans="2:10" ht="15">
      <c r="B10" s="5"/>
      <c r="C10" s="5"/>
      <c r="D10" s="5"/>
      <c r="E10" s="5"/>
      <c r="F10" s="5"/>
      <c r="G10" s="5"/>
      <c r="H10" s="5"/>
      <c r="I10" s="5"/>
      <c r="J10" s="5"/>
    </row>
    <row r="11" spans="2:10" ht="15">
      <c r="B11" s="5"/>
      <c r="C11" s="5"/>
      <c r="D11" s="5"/>
      <c r="E11" s="5"/>
      <c r="F11" s="5"/>
      <c r="G11" s="5"/>
      <c r="H11" s="5"/>
      <c r="I11" s="5"/>
      <c r="J11" s="5"/>
    </row>
    <row r="12" spans="2:10" ht="15">
      <c r="B12" s="5"/>
      <c r="C12" s="5"/>
      <c r="D12" s="5"/>
      <c r="E12" s="5"/>
      <c r="F12" s="5"/>
      <c r="G12" s="5"/>
      <c r="H12" s="5"/>
      <c r="I12" s="5"/>
      <c r="J12" s="5"/>
    </row>
    <row r="13" spans="3:10" ht="15">
      <c r="C13" s="5"/>
      <c r="D13" s="5"/>
      <c r="E13" s="5"/>
      <c r="F13" s="5"/>
      <c r="G13" s="5"/>
      <c r="H13" s="5"/>
      <c r="I13" s="5"/>
      <c r="J13" s="5"/>
    </row>
    <row r="14" spans="3:10" ht="15">
      <c r="C14" s="5"/>
      <c r="D14" s="5"/>
      <c r="E14" s="5"/>
      <c r="F14" s="5"/>
      <c r="G14" s="5"/>
      <c r="H14" s="5"/>
      <c r="I14" s="5"/>
      <c r="J14" s="5"/>
    </row>
    <row r="15" spans="3:10" ht="15">
      <c r="C15" s="5"/>
      <c r="D15" s="5"/>
      <c r="E15" s="5"/>
      <c r="F15" s="5"/>
      <c r="G15" s="5"/>
      <c r="H15" s="5"/>
      <c r="I15" s="5"/>
      <c r="J15" s="5"/>
    </row>
    <row r="16" spans="3:10" ht="15">
      <c r="C16" s="5"/>
      <c r="D16" s="5"/>
      <c r="E16" s="5"/>
      <c r="F16" s="5"/>
      <c r="G16" s="5"/>
      <c r="H16" s="5"/>
      <c r="I16" s="5"/>
      <c r="J16" s="5"/>
    </row>
    <row r="17" spans="3:10" ht="15">
      <c r="C17" s="5"/>
      <c r="D17" s="5"/>
      <c r="E17" s="5"/>
      <c r="F17" s="5"/>
      <c r="G17" s="5"/>
      <c r="H17" s="5"/>
      <c r="I17" s="5"/>
      <c r="J17" s="5"/>
    </row>
    <row r="18" spans="2:10" ht="15">
      <c r="B18" s="5"/>
      <c r="C18" s="5"/>
      <c r="D18" s="5"/>
      <c r="E18" s="5"/>
      <c r="F18" s="5"/>
      <c r="G18" s="5"/>
      <c r="H18" s="5"/>
      <c r="I18" s="5"/>
      <c r="J18" s="5"/>
    </row>
    <row r="19" spans="2:10" ht="15">
      <c r="B19" s="6" t="s">
        <v>436</v>
      </c>
      <c r="C19" s="5"/>
      <c r="D19" s="5"/>
      <c r="E19" s="5"/>
      <c r="F19" s="8" t="s">
        <v>58</v>
      </c>
      <c r="G19" s="8"/>
      <c r="H19" s="8" t="s">
        <v>59</v>
      </c>
      <c r="I19" s="5"/>
      <c r="J19" s="5"/>
    </row>
    <row r="20" spans="2:10" ht="15">
      <c r="B20" s="5"/>
      <c r="C20" s="5"/>
      <c r="D20" s="5"/>
      <c r="E20" s="5"/>
      <c r="F20" s="8" t="s">
        <v>60</v>
      </c>
      <c r="G20" s="8"/>
      <c r="H20" s="8" t="s">
        <v>61</v>
      </c>
      <c r="I20" s="5"/>
      <c r="J20" s="5"/>
    </row>
    <row r="21" spans="2:10" ht="15.75" thickBot="1">
      <c r="B21" s="3" t="s">
        <v>62</v>
      </c>
      <c r="C21" s="3"/>
      <c r="D21" s="3"/>
      <c r="E21" s="3"/>
      <c r="F21" s="66" t="s">
        <v>63</v>
      </c>
      <c r="G21" s="66"/>
      <c r="H21" s="66" t="s">
        <v>64</v>
      </c>
      <c r="I21" s="5"/>
      <c r="J21" s="5"/>
    </row>
    <row r="22" spans="2:10" ht="15.75" thickTop="1">
      <c r="B22" s="5" t="s">
        <v>65</v>
      </c>
      <c r="C22" s="5"/>
      <c r="D22" s="5"/>
      <c r="E22" s="5"/>
      <c r="F22" s="8">
        <v>12000</v>
      </c>
      <c r="G22" s="8"/>
      <c r="H22" s="112">
        <v>1.2</v>
      </c>
      <c r="I22" s="5"/>
      <c r="J22" s="5"/>
    </row>
    <row r="23" spans="2:10" ht="15">
      <c r="B23" s="5" t="s">
        <v>66</v>
      </c>
      <c r="C23" s="5"/>
      <c r="D23" s="5"/>
      <c r="E23" s="5"/>
      <c r="F23" s="8">
        <v>12000</v>
      </c>
      <c r="G23" s="8"/>
      <c r="H23" s="112">
        <v>1.2</v>
      </c>
      <c r="I23" s="5"/>
      <c r="J23" s="5"/>
    </row>
    <row r="24" spans="2:10" ht="15">
      <c r="B24" s="5" t="s">
        <v>67</v>
      </c>
      <c r="C24" s="5"/>
      <c r="D24" s="5"/>
      <c r="E24" s="5"/>
      <c r="F24" s="8">
        <v>12000</v>
      </c>
      <c r="G24" s="8"/>
      <c r="H24" s="112">
        <v>1</v>
      </c>
      <c r="I24" s="5"/>
      <c r="J24" s="5"/>
    </row>
    <row r="25" spans="2:10" ht="15">
      <c r="B25" s="5" t="s">
        <v>68</v>
      </c>
      <c r="C25" s="5"/>
      <c r="D25" s="5"/>
      <c r="E25" s="5"/>
      <c r="F25" s="8">
        <v>12000</v>
      </c>
      <c r="G25" s="8"/>
      <c r="H25" s="112">
        <v>1</v>
      </c>
      <c r="I25" s="5"/>
      <c r="J25" s="5"/>
    </row>
    <row r="26" spans="2:10" ht="15">
      <c r="B26" s="5" t="s">
        <v>69</v>
      </c>
      <c r="C26" s="5"/>
      <c r="D26" s="5"/>
      <c r="E26" s="5"/>
      <c r="F26" s="8">
        <v>2000</v>
      </c>
      <c r="G26" s="8"/>
      <c r="H26" s="112">
        <v>1</v>
      </c>
      <c r="I26" s="5"/>
      <c r="J26" s="5"/>
    </row>
    <row r="27" spans="2:10" ht="15">
      <c r="B27" s="5" t="s">
        <v>70</v>
      </c>
      <c r="C27" s="5"/>
      <c r="D27" s="5"/>
      <c r="E27" s="5"/>
      <c r="F27" s="8">
        <v>2000</v>
      </c>
      <c r="G27" s="8"/>
      <c r="H27" s="112">
        <v>0.6</v>
      </c>
      <c r="I27" s="5"/>
      <c r="J27" s="5"/>
    </row>
    <row r="28" spans="2:10" ht="15">
      <c r="B28" s="5" t="s">
        <v>71</v>
      </c>
      <c r="C28" s="5"/>
      <c r="D28" s="5"/>
      <c r="E28" s="5"/>
      <c r="F28" s="8">
        <v>2500</v>
      </c>
      <c r="G28" s="8"/>
      <c r="H28" s="112">
        <v>1</v>
      </c>
      <c r="I28" s="5"/>
      <c r="J28" s="5"/>
    </row>
    <row r="29" spans="2:10" ht="15">
      <c r="B29" s="5" t="s">
        <v>72</v>
      </c>
      <c r="C29" s="5"/>
      <c r="D29" s="5"/>
      <c r="E29" s="5"/>
      <c r="F29" s="8">
        <v>5000</v>
      </c>
      <c r="G29" s="8"/>
      <c r="H29" s="112">
        <v>1</v>
      </c>
      <c r="I29" s="5"/>
      <c r="J29" s="5"/>
    </row>
    <row r="30" spans="2:10" ht="15">
      <c r="B30" s="5" t="s">
        <v>73</v>
      </c>
      <c r="C30" s="5"/>
      <c r="D30" s="5"/>
      <c r="E30" s="5"/>
      <c r="F30" s="8">
        <v>2000</v>
      </c>
      <c r="G30" s="8"/>
      <c r="H30" s="112">
        <v>1</v>
      </c>
      <c r="I30" s="5"/>
      <c r="J30" s="5"/>
    </row>
    <row r="31" spans="2:10" ht="15">
      <c r="B31" s="5" t="s">
        <v>74</v>
      </c>
      <c r="C31" s="5"/>
      <c r="D31" s="5"/>
      <c r="E31" s="5"/>
      <c r="F31" s="8">
        <v>2000</v>
      </c>
      <c r="G31" s="8"/>
      <c r="H31" s="112">
        <v>0.8</v>
      </c>
      <c r="I31" s="5"/>
      <c r="J31" s="5"/>
    </row>
    <row r="32" spans="2:10" ht="15">
      <c r="B32" s="5" t="s">
        <v>75</v>
      </c>
      <c r="C32" s="5"/>
      <c r="D32" s="5"/>
      <c r="E32" s="5"/>
      <c r="F32" s="8">
        <v>2000</v>
      </c>
      <c r="G32" s="8"/>
      <c r="H32" s="112">
        <v>0.6</v>
      </c>
      <c r="I32" s="5"/>
      <c r="J32" s="5"/>
    </row>
    <row r="33" spans="2:10" ht="15">
      <c r="B33" s="5" t="s">
        <v>76</v>
      </c>
      <c r="C33" s="5"/>
      <c r="D33" s="5"/>
      <c r="E33" s="5"/>
      <c r="F33" s="8">
        <v>2000</v>
      </c>
      <c r="G33" s="8"/>
      <c r="H33" s="112">
        <v>0.6</v>
      </c>
      <c r="I33" s="5"/>
      <c r="J33" s="5"/>
    </row>
    <row r="34" spans="2:10" ht="15">
      <c r="B34" s="5" t="s">
        <v>77</v>
      </c>
      <c r="C34" s="5"/>
      <c r="D34" s="5"/>
      <c r="E34" s="5"/>
      <c r="F34" s="8">
        <v>1200</v>
      </c>
      <c r="G34" s="8"/>
      <c r="H34" s="112">
        <v>1.2</v>
      </c>
      <c r="I34" s="5"/>
      <c r="J34" s="5"/>
    </row>
    <row r="35" spans="2:10" ht="15">
      <c r="B35" s="5" t="s">
        <v>78</v>
      </c>
      <c r="C35" s="5"/>
      <c r="D35" s="5"/>
      <c r="E35" s="5"/>
      <c r="F35" s="8">
        <v>1200</v>
      </c>
      <c r="G35" s="8"/>
      <c r="H35" s="112">
        <v>1.2</v>
      </c>
      <c r="I35" s="5"/>
      <c r="J35" s="5"/>
    </row>
    <row r="36" spans="2:10" ht="15">
      <c r="B36" s="5" t="s">
        <v>79</v>
      </c>
      <c r="C36" s="5"/>
      <c r="D36" s="5"/>
      <c r="E36" s="5"/>
      <c r="F36" s="8">
        <v>2500</v>
      </c>
      <c r="G36" s="8"/>
      <c r="H36" s="112">
        <v>0.6</v>
      </c>
      <c r="I36" s="5"/>
      <c r="J36" s="5"/>
    </row>
    <row r="37" spans="2:10" ht="15">
      <c r="B37" s="5" t="s">
        <v>80</v>
      </c>
      <c r="C37" s="5"/>
      <c r="D37" s="5"/>
      <c r="E37" s="5"/>
      <c r="F37" s="8">
        <v>2000</v>
      </c>
      <c r="G37" s="8"/>
      <c r="H37" s="112">
        <v>0.8</v>
      </c>
      <c r="I37" s="5"/>
      <c r="J37" s="5"/>
    </row>
    <row r="38" spans="2:10" ht="15">
      <c r="B38" s="5" t="s">
        <v>81</v>
      </c>
      <c r="C38" s="5"/>
      <c r="D38" s="5"/>
      <c r="E38" s="5"/>
      <c r="F38" s="8">
        <v>2500</v>
      </c>
      <c r="G38" s="8"/>
      <c r="H38" s="112">
        <v>0.8</v>
      </c>
      <c r="I38" s="5"/>
      <c r="J38" s="5"/>
    </row>
    <row r="39" spans="2:10" ht="15">
      <c r="B39" s="5" t="s">
        <v>82</v>
      </c>
      <c r="C39" s="5"/>
      <c r="D39" s="5"/>
      <c r="E39" s="5"/>
      <c r="F39" s="8">
        <v>2500</v>
      </c>
      <c r="G39" s="8"/>
      <c r="H39" s="112">
        <v>0.8</v>
      </c>
      <c r="I39" s="5"/>
      <c r="J39" s="5"/>
    </row>
    <row r="40" spans="2:10" ht="15">
      <c r="B40" s="5" t="s">
        <v>83</v>
      </c>
      <c r="C40" s="5"/>
      <c r="D40" s="5"/>
      <c r="E40" s="5"/>
      <c r="F40" s="8">
        <v>2500</v>
      </c>
      <c r="G40" s="8"/>
      <c r="H40" s="112">
        <v>1</v>
      </c>
      <c r="I40" s="5"/>
      <c r="J40" s="5"/>
    </row>
    <row r="41" spans="2:10" ht="15">
      <c r="B41" s="5" t="s">
        <v>84</v>
      </c>
      <c r="C41" s="5"/>
      <c r="D41" s="5"/>
      <c r="E41" s="5"/>
      <c r="F41" s="8">
        <v>2500</v>
      </c>
      <c r="G41" s="8"/>
      <c r="H41" s="112">
        <v>0.6</v>
      </c>
      <c r="I41" s="5"/>
      <c r="J41" s="5"/>
    </row>
    <row r="42" spans="2:10" ht="15">
      <c r="B42" s="5" t="s">
        <v>85</v>
      </c>
      <c r="C42" s="5"/>
      <c r="D42" s="5"/>
      <c r="E42" s="5"/>
      <c r="F42" s="8">
        <v>2000</v>
      </c>
      <c r="G42" s="8"/>
      <c r="H42" s="112">
        <v>1</v>
      </c>
      <c r="I42" s="5"/>
      <c r="J42" s="5"/>
    </row>
    <row r="43" spans="2:10" ht="15">
      <c r="B43" s="5" t="s">
        <v>86</v>
      </c>
      <c r="C43" s="5"/>
      <c r="D43" s="5"/>
      <c r="E43" s="5"/>
      <c r="F43" s="8">
        <v>2500</v>
      </c>
      <c r="G43" s="8"/>
      <c r="H43" s="112">
        <v>0.6</v>
      </c>
      <c r="I43" s="5"/>
      <c r="J43" s="5"/>
    </row>
    <row r="44" spans="2:10" ht="15">
      <c r="B44" s="5" t="s">
        <v>87</v>
      </c>
      <c r="C44" s="5"/>
      <c r="D44" s="5"/>
      <c r="E44" s="5"/>
      <c r="F44" s="8">
        <v>2500</v>
      </c>
      <c r="G44" s="8"/>
      <c r="H44" s="112">
        <v>0.6</v>
      </c>
      <c r="I44" s="5"/>
      <c r="J44" s="5"/>
    </row>
    <row r="45" spans="2:10" ht="15">
      <c r="B45" s="5" t="s">
        <v>88</v>
      </c>
      <c r="C45" s="5"/>
      <c r="D45" s="5"/>
      <c r="E45" s="5"/>
      <c r="F45" s="8">
        <v>2000</v>
      </c>
      <c r="G45" s="8"/>
      <c r="H45" s="112">
        <v>1.2</v>
      </c>
      <c r="I45" s="5"/>
      <c r="J45" s="5"/>
    </row>
    <row r="46" spans="2:10" ht="15">
      <c r="B46" s="5" t="s">
        <v>89</v>
      </c>
      <c r="C46" s="5"/>
      <c r="D46" s="5"/>
      <c r="E46" s="5"/>
      <c r="F46" s="8">
        <v>2500</v>
      </c>
      <c r="G46" s="8"/>
      <c r="H46" s="112">
        <v>1</v>
      </c>
      <c r="I46" s="5"/>
      <c r="J46" s="5"/>
    </row>
    <row r="47" spans="2:10" ht="15">
      <c r="B47" s="5" t="s">
        <v>90</v>
      </c>
      <c r="C47" s="5"/>
      <c r="D47" s="5"/>
      <c r="E47" s="5"/>
      <c r="F47" s="8">
        <v>1200</v>
      </c>
      <c r="G47" s="8"/>
      <c r="H47" s="112">
        <v>1</v>
      </c>
      <c r="I47" s="5"/>
      <c r="J47" s="5"/>
    </row>
    <row r="48" spans="2:10" ht="15">
      <c r="B48" s="5" t="s">
        <v>91</v>
      </c>
      <c r="C48" s="5"/>
      <c r="D48" s="5"/>
      <c r="E48" s="5"/>
      <c r="F48" s="8">
        <v>1200</v>
      </c>
      <c r="G48" s="8"/>
      <c r="H48" s="112">
        <v>1</v>
      </c>
      <c r="I48" s="5"/>
      <c r="J48" s="5"/>
    </row>
    <row r="49" spans="2:10" ht="15">
      <c r="B49" s="5" t="s">
        <v>92</v>
      </c>
      <c r="C49" s="5"/>
      <c r="D49" s="5"/>
      <c r="E49" s="5"/>
      <c r="F49" s="8">
        <v>2500</v>
      </c>
      <c r="G49" s="8"/>
      <c r="H49" s="112">
        <v>1.2</v>
      </c>
      <c r="I49" s="5"/>
      <c r="J49" s="5"/>
    </row>
    <row r="50" spans="2:10" ht="15">
      <c r="B50" s="5" t="s">
        <v>93</v>
      </c>
      <c r="C50" s="5"/>
      <c r="D50" s="5"/>
      <c r="E50" s="5"/>
      <c r="F50" s="8">
        <v>2500</v>
      </c>
      <c r="G50" s="8"/>
      <c r="H50" s="112">
        <v>0.6</v>
      </c>
      <c r="I50" s="5"/>
      <c r="J50" s="5"/>
    </row>
    <row r="51" spans="2:10" ht="15">
      <c r="B51" s="5" t="s">
        <v>94</v>
      </c>
      <c r="C51" s="5"/>
      <c r="D51" s="5"/>
      <c r="E51" s="5"/>
      <c r="F51" s="8">
        <v>2000</v>
      </c>
      <c r="G51" s="8"/>
      <c r="H51" s="112">
        <v>0.8</v>
      </c>
      <c r="I51" s="5"/>
      <c r="J51" s="5"/>
    </row>
    <row r="52" spans="2:10" ht="15">
      <c r="B52" s="5" t="s">
        <v>95</v>
      </c>
      <c r="C52" s="5"/>
      <c r="D52" s="5"/>
      <c r="E52" s="5"/>
      <c r="F52" s="8">
        <v>2000</v>
      </c>
      <c r="G52" s="8"/>
      <c r="H52" s="112">
        <v>0.6</v>
      </c>
      <c r="I52" s="5"/>
      <c r="J52" s="5"/>
    </row>
    <row r="53" spans="2:10" ht="15">
      <c r="B53" s="5" t="s">
        <v>96</v>
      </c>
      <c r="C53" s="5"/>
      <c r="D53" s="5"/>
      <c r="E53" s="5"/>
      <c r="F53" s="8">
        <v>2500</v>
      </c>
      <c r="G53" s="8"/>
      <c r="H53" s="112">
        <v>1</v>
      </c>
      <c r="I53" s="5"/>
      <c r="J53" s="5"/>
    </row>
    <row r="54" spans="2:10" ht="15">
      <c r="B54" s="5" t="s">
        <v>97</v>
      </c>
      <c r="C54" s="5"/>
      <c r="D54" s="5"/>
      <c r="E54" s="5"/>
      <c r="F54" s="8">
        <v>2500</v>
      </c>
      <c r="G54" s="8"/>
      <c r="H54" s="112">
        <v>0.6</v>
      </c>
      <c r="I54" s="5"/>
      <c r="J54" s="5"/>
    </row>
    <row r="55" spans="2:10" ht="15">
      <c r="B55" s="5" t="s">
        <v>98</v>
      </c>
      <c r="C55" s="5"/>
      <c r="D55" s="5"/>
      <c r="E55" s="5"/>
      <c r="F55" s="8">
        <v>2500</v>
      </c>
      <c r="G55" s="8"/>
      <c r="H55" s="112">
        <v>0.8</v>
      </c>
      <c r="I55" s="5"/>
      <c r="J55" s="5"/>
    </row>
    <row r="56" spans="2:10" ht="15">
      <c r="B56" s="5" t="s">
        <v>99</v>
      </c>
      <c r="C56" s="5"/>
      <c r="D56" s="5"/>
      <c r="E56" s="5"/>
      <c r="F56" s="8">
        <v>2000</v>
      </c>
      <c r="G56" s="8"/>
      <c r="H56" s="112">
        <v>0.8</v>
      </c>
      <c r="I56" s="5"/>
      <c r="J56" s="5"/>
    </row>
    <row r="57" spans="2:10" ht="15">
      <c r="B57" s="5" t="s">
        <v>100</v>
      </c>
      <c r="C57" s="5"/>
      <c r="D57" s="5"/>
      <c r="E57" s="5"/>
      <c r="F57" s="8">
        <v>2000</v>
      </c>
      <c r="G57" s="8"/>
      <c r="H57" s="112">
        <v>0.8</v>
      </c>
      <c r="I57" s="5"/>
      <c r="J57" s="5"/>
    </row>
    <row r="58" spans="2:10" ht="15">
      <c r="B58" s="5" t="s">
        <v>101</v>
      </c>
      <c r="C58" s="5"/>
      <c r="D58" s="5"/>
      <c r="E58" s="5"/>
      <c r="F58" s="8">
        <v>2000</v>
      </c>
      <c r="G58" s="8"/>
      <c r="H58" s="112">
        <v>0.6</v>
      </c>
      <c r="I58" s="5"/>
      <c r="J58" s="5"/>
    </row>
    <row r="59" spans="2:10" ht="15">
      <c r="B59" s="5" t="s">
        <v>102</v>
      </c>
      <c r="C59" s="5"/>
      <c r="D59" s="5"/>
      <c r="E59" s="5"/>
      <c r="F59" s="8">
        <v>2000</v>
      </c>
      <c r="G59" s="8"/>
      <c r="H59" s="112">
        <v>0.8</v>
      </c>
      <c r="I59" s="5"/>
      <c r="J59" s="5"/>
    </row>
    <row r="60" spans="2:10" ht="15">
      <c r="B60" s="5"/>
      <c r="C60" s="5"/>
      <c r="D60" s="5"/>
      <c r="E60" s="5"/>
      <c r="F60" s="5"/>
      <c r="G60" s="5"/>
      <c r="H60" s="5"/>
      <c r="I60" s="5"/>
      <c r="J60" s="5"/>
    </row>
    <row r="61" spans="2:10" ht="15">
      <c r="B61" s="5"/>
      <c r="C61" s="5"/>
      <c r="D61" s="5"/>
      <c r="E61" s="5"/>
      <c r="F61" s="5"/>
      <c r="G61" s="5"/>
      <c r="H61" s="5"/>
      <c r="I61" s="5"/>
      <c r="J61" s="5"/>
    </row>
    <row r="62" spans="2:10" ht="15">
      <c r="B62" s="103" t="s">
        <v>430</v>
      </c>
      <c r="C62" s="104"/>
      <c r="D62" s="104"/>
      <c r="E62" s="104"/>
      <c r="F62" s="104"/>
      <c r="G62" s="104"/>
      <c r="H62" s="104"/>
      <c r="I62" s="105"/>
      <c r="J62" s="5"/>
    </row>
    <row r="63" spans="2:10" ht="15">
      <c r="B63" s="98" t="s">
        <v>431</v>
      </c>
      <c r="C63" s="106"/>
      <c r="D63" s="106"/>
      <c r="E63" s="106"/>
      <c r="F63" s="106"/>
      <c r="G63" s="106"/>
      <c r="H63" s="106"/>
      <c r="I63" s="107"/>
      <c r="J63" s="5"/>
    </row>
    <row r="64" spans="3:10" ht="15">
      <c r="C64" s="5"/>
      <c r="D64" s="5"/>
      <c r="E64" s="5"/>
      <c r="F64" s="5"/>
      <c r="G64" s="8"/>
      <c r="H64" s="8"/>
      <c r="I64" s="8"/>
      <c r="J64" s="5"/>
    </row>
    <row r="65" spans="2:10" ht="15">
      <c r="B65" s="6" t="s">
        <v>437</v>
      </c>
      <c r="C65" s="5"/>
      <c r="D65" s="5"/>
      <c r="E65" s="5"/>
      <c r="F65" s="5"/>
      <c r="G65" s="8"/>
      <c r="H65" s="8"/>
      <c r="I65" s="8" t="s">
        <v>438</v>
      </c>
      <c r="J65" s="5"/>
    </row>
    <row r="66" spans="2:10" ht="15">
      <c r="B66" s="5"/>
      <c r="C66" s="5"/>
      <c r="D66" s="5"/>
      <c r="E66" s="5"/>
      <c r="F66" s="5"/>
      <c r="G66" s="8" t="s">
        <v>104</v>
      </c>
      <c r="H66" s="8"/>
      <c r="I66" s="8" t="s">
        <v>105</v>
      </c>
      <c r="J66" s="5"/>
    </row>
    <row r="67" spans="2:10" ht="15">
      <c r="B67" s="5"/>
      <c r="C67" s="5"/>
      <c r="D67" s="5"/>
      <c r="E67" s="5"/>
      <c r="F67" s="5"/>
      <c r="G67" s="8" t="s">
        <v>106</v>
      </c>
      <c r="H67" s="8"/>
      <c r="I67" s="8" t="s">
        <v>107</v>
      </c>
      <c r="J67" s="5"/>
    </row>
    <row r="68" spans="2:10" ht="15.75" thickBot="1">
      <c r="B68" s="3" t="s">
        <v>62</v>
      </c>
      <c r="C68" s="3"/>
      <c r="D68" s="3"/>
      <c r="E68" s="3"/>
      <c r="F68" s="3"/>
      <c r="G68" s="66" t="s">
        <v>108</v>
      </c>
      <c r="H68" s="66"/>
      <c r="I68" s="66" t="s">
        <v>439</v>
      </c>
      <c r="J68" s="5"/>
    </row>
    <row r="69" spans="2:10" ht="16.5" thickTop="1">
      <c r="B69" s="113" t="s">
        <v>110</v>
      </c>
      <c r="C69" s="4"/>
      <c r="D69" s="4"/>
      <c r="E69" s="4"/>
      <c r="F69" s="4"/>
      <c r="G69" s="4"/>
      <c r="H69" s="4"/>
      <c r="I69" s="4"/>
      <c r="J69" s="5"/>
    </row>
    <row r="70" spans="2:10" ht="15">
      <c r="B70" s="5" t="s">
        <v>111</v>
      </c>
      <c r="C70" s="5"/>
      <c r="D70" s="5"/>
      <c r="E70" s="5"/>
      <c r="F70" s="5"/>
      <c r="G70" s="8" t="s">
        <v>112</v>
      </c>
      <c r="H70" s="8"/>
      <c r="I70" s="8" t="s">
        <v>113</v>
      </c>
      <c r="J70" s="5"/>
    </row>
    <row r="71" spans="2:10" ht="15">
      <c r="B71" s="5" t="s">
        <v>114</v>
      </c>
      <c r="C71" s="5"/>
      <c r="D71" s="5"/>
      <c r="E71" s="5"/>
      <c r="F71" s="5"/>
      <c r="G71" s="8" t="s">
        <v>115</v>
      </c>
      <c r="H71" s="8"/>
      <c r="I71" s="8" t="s">
        <v>113</v>
      </c>
      <c r="J71" s="5"/>
    </row>
    <row r="72" spans="2:10" ht="15">
      <c r="B72" s="5" t="s">
        <v>116</v>
      </c>
      <c r="C72" s="5"/>
      <c r="D72" s="5"/>
      <c r="E72" s="5"/>
      <c r="F72" s="5"/>
      <c r="G72" s="8" t="s">
        <v>117</v>
      </c>
      <c r="H72" s="8"/>
      <c r="I72" s="8" t="s">
        <v>113</v>
      </c>
      <c r="J72" s="5"/>
    </row>
    <row r="73" spans="2:10" ht="15">
      <c r="B73" s="5" t="s">
        <v>118</v>
      </c>
      <c r="C73" s="5"/>
      <c r="D73" s="5"/>
      <c r="E73" s="5"/>
      <c r="F73" s="5"/>
      <c r="G73" s="8" t="s">
        <v>119</v>
      </c>
      <c r="H73" s="8"/>
      <c r="I73" s="8" t="s">
        <v>113</v>
      </c>
      <c r="J73" s="5"/>
    </row>
    <row r="74" spans="2:10" ht="15">
      <c r="B74" s="5" t="s">
        <v>120</v>
      </c>
      <c r="C74" s="5"/>
      <c r="D74" s="5"/>
      <c r="E74" s="5"/>
      <c r="F74" s="5"/>
      <c r="G74" s="8" t="s">
        <v>121</v>
      </c>
      <c r="H74" s="8"/>
      <c r="I74" s="8" t="s">
        <v>113</v>
      </c>
      <c r="J74" s="5"/>
    </row>
    <row r="75" spans="2:10" ht="15">
      <c r="B75" s="5" t="s">
        <v>122</v>
      </c>
      <c r="C75" s="5"/>
      <c r="D75" s="5"/>
      <c r="E75" s="5"/>
      <c r="F75" s="5"/>
      <c r="G75" s="8"/>
      <c r="H75" s="8"/>
      <c r="I75" s="8"/>
      <c r="J75" s="5"/>
    </row>
    <row r="76" spans="2:10" ht="15">
      <c r="B76" s="5" t="s">
        <v>123</v>
      </c>
      <c r="C76" s="5"/>
      <c r="D76" s="5"/>
      <c r="E76" s="5"/>
      <c r="F76" s="5"/>
      <c r="G76" s="8" t="s">
        <v>124</v>
      </c>
      <c r="H76" s="8"/>
      <c r="I76" s="8" t="s">
        <v>113</v>
      </c>
      <c r="J76" s="5"/>
    </row>
    <row r="77" spans="2:10" ht="15">
      <c r="B77" s="5" t="s">
        <v>125</v>
      </c>
      <c r="C77" s="5"/>
      <c r="D77" s="5"/>
      <c r="E77" s="5"/>
      <c r="F77" s="5"/>
      <c r="G77" s="8" t="s">
        <v>124</v>
      </c>
      <c r="H77" s="8"/>
      <c r="I77" s="8" t="s">
        <v>113</v>
      </c>
      <c r="J77" s="5"/>
    </row>
    <row r="78" spans="2:10" ht="15">
      <c r="B78" s="5" t="s">
        <v>126</v>
      </c>
      <c r="C78" s="5"/>
      <c r="D78" s="5"/>
      <c r="E78" s="5"/>
      <c r="F78" s="5"/>
      <c r="G78" s="8" t="s">
        <v>127</v>
      </c>
      <c r="H78" s="8"/>
      <c r="I78" s="8" t="s">
        <v>113</v>
      </c>
      <c r="J78" s="5"/>
    </row>
    <row r="79" spans="2:10" ht="15">
      <c r="B79" s="5" t="s">
        <v>128</v>
      </c>
      <c r="C79" s="5"/>
      <c r="D79" s="5"/>
      <c r="E79" s="5"/>
      <c r="F79" s="5"/>
      <c r="G79" s="8" t="s">
        <v>127</v>
      </c>
      <c r="H79" s="8"/>
      <c r="I79" s="8" t="s">
        <v>113</v>
      </c>
      <c r="J79" s="5"/>
    </row>
    <row r="80" spans="2:10" ht="15">
      <c r="B80" s="5" t="s">
        <v>129</v>
      </c>
      <c r="C80" s="5"/>
      <c r="D80" s="5"/>
      <c r="E80" s="5"/>
      <c r="F80" s="5"/>
      <c r="G80" s="8" t="s">
        <v>127</v>
      </c>
      <c r="H80" s="8"/>
      <c r="I80" s="8" t="s">
        <v>113</v>
      </c>
      <c r="J80" s="5"/>
    </row>
    <row r="81" spans="2:10" ht="15">
      <c r="B81" s="5" t="s">
        <v>130</v>
      </c>
      <c r="C81" s="5"/>
      <c r="D81" s="5"/>
      <c r="E81" s="5"/>
      <c r="F81" s="5"/>
      <c r="G81" s="8" t="s">
        <v>127</v>
      </c>
      <c r="H81" s="8"/>
      <c r="I81" s="8" t="s">
        <v>113</v>
      </c>
      <c r="J81" s="5"/>
    </row>
    <row r="82" spans="2:10" ht="15">
      <c r="B82" s="5" t="s">
        <v>131</v>
      </c>
      <c r="C82" s="5"/>
      <c r="D82" s="5"/>
      <c r="E82" s="5"/>
      <c r="F82" s="5"/>
      <c r="G82" s="8" t="s">
        <v>127</v>
      </c>
      <c r="H82" s="8"/>
      <c r="I82" s="8" t="s">
        <v>113</v>
      </c>
      <c r="J82" s="5"/>
    </row>
    <row r="83" spans="2:10" ht="15">
      <c r="B83" s="5" t="s">
        <v>132</v>
      </c>
      <c r="C83" s="5"/>
      <c r="D83" s="5"/>
      <c r="E83" s="5"/>
      <c r="F83" s="5"/>
      <c r="G83" s="8" t="s">
        <v>133</v>
      </c>
      <c r="H83" s="8"/>
      <c r="I83" s="8" t="s">
        <v>113</v>
      </c>
      <c r="J83" s="5"/>
    </row>
    <row r="84" spans="2:10" ht="15">
      <c r="B84" s="5" t="s">
        <v>134</v>
      </c>
      <c r="C84" s="5"/>
      <c r="D84" s="5"/>
      <c r="E84" s="5"/>
      <c r="F84" s="5"/>
      <c r="G84" s="8" t="s">
        <v>135</v>
      </c>
      <c r="H84" s="8"/>
      <c r="I84" s="8" t="s">
        <v>136</v>
      </c>
      <c r="J84" s="5"/>
    </row>
    <row r="85" spans="2:10" ht="15">
      <c r="B85" s="5" t="s">
        <v>137</v>
      </c>
      <c r="C85" s="5"/>
      <c r="D85" s="5"/>
      <c r="E85" s="5"/>
      <c r="F85" s="5"/>
      <c r="G85" s="8" t="s">
        <v>138</v>
      </c>
      <c r="H85" s="8"/>
      <c r="I85" s="8" t="s">
        <v>113</v>
      </c>
      <c r="J85" s="5"/>
    </row>
    <row r="86" spans="2:10" ht="15">
      <c r="B86" s="5" t="s">
        <v>139</v>
      </c>
      <c r="C86" s="5"/>
      <c r="D86" s="5"/>
      <c r="E86" s="5"/>
      <c r="F86" s="5"/>
      <c r="G86" s="8" t="s">
        <v>140</v>
      </c>
      <c r="H86" s="8"/>
      <c r="I86" s="8" t="s">
        <v>113</v>
      </c>
      <c r="J86" s="5"/>
    </row>
    <row r="87" spans="2:10" ht="15">
      <c r="B87" s="5" t="s">
        <v>141</v>
      </c>
      <c r="C87" s="5"/>
      <c r="D87" s="5"/>
      <c r="E87" s="5"/>
      <c r="F87" s="5"/>
      <c r="G87" s="8" t="s">
        <v>142</v>
      </c>
      <c r="H87" s="8"/>
      <c r="I87" s="8" t="s">
        <v>113</v>
      </c>
      <c r="J87" s="5"/>
    </row>
    <row r="88" spans="2:10" ht="15">
      <c r="B88" s="5" t="s">
        <v>143</v>
      </c>
      <c r="C88" s="5"/>
      <c r="D88" s="5"/>
      <c r="E88" s="5"/>
      <c r="F88" s="5"/>
      <c r="G88" s="8" t="s">
        <v>144</v>
      </c>
      <c r="H88" s="8"/>
      <c r="I88" s="8" t="s">
        <v>113</v>
      </c>
      <c r="J88" s="5"/>
    </row>
    <row r="89" spans="2:10" ht="15">
      <c r="B89" s="5" t="s">
        <v>145</v>
      </c>
      <c r="C89" s="5"/>
      <c r="D89" s="5"/>
      <c r="E89" s="5"/>
      <c r="F89" s="5"/>
      <c r="G89" s="8" t="s">
        <v>146</v>
      </c>
      <c r="H89" s="8"/>
      <c r="I89" s="8" t="s">
        <v>113</v>
      </c>
      <c r="J89" s="5"/>
    </row>
    <row r="90" spans="2:10" ht="15">
      <c r="B90" s="5" t="s">
        <v>147</v>
      </c>
      <c r="C90" s="5"/>
      <c r="D90" s="5"/>
      <c r="E90" s="5"/>
      <c r="F90" s="5"/>
      <c r="G90" s="8" t="s">
        <v>148</v>
      </c>
      <c r="H90" s="8"/>
      <c r="I90" s="8" t="s">
        <v>113</v>
      </c>
      <c r="J90" s="5"/>
    </row>
    <row r="91" spans="2:10" ht="15">
      <c r="B91" s="5"/>
      <c r="C91" s="5"/>
      <c r="D91" s="5"/>
      <c r="E91" s="5"/>
      <c r="F91" s="5"/>
      <c r="G91" s="8"/>
      <c r="H91" s="8"/>
      <c r="I91" s="8"/>
      <c r="J91" s="5"/>
    </row>
    <row r="92" spans="2:10" ht="15">
      <c r="B92" s="4" t="s">
        <v>149</v>
      </c>
      <c r="C92" s="4"/>
      <c r="D92" s="4"/>
      <c r="E92" s="4"/>
      <c r="F92" s="4"/>
      <c r="G92" s="108"/>
      <c r="H92" s="108"/>
      <c r="I92" s="108"/>
      <c r="J92" s="5"/>
    </row>
    <row r="93" spans="2:10" ht="15">
      <c r="B93" s="5" t="s">
        <v>150</v>
      </c>
      <c r="C93" s="5"/>
      <c r="D93" s="5"/>
      <c r="E93" s="5"/>
      <c r="F93" s="5"/>
      <c r="G93" s="8" t="s">
        <v>121</v>
      </c>
      <c r="H93" s="8"/>
      <c r="I93" s="8" t="s">
        <v>151</v>
      </c>
      <c r="J93" s="5"/>
    </row>
    <row r="94" spans="2:10" ht="15">
      <c r="B94" s="5" t="s">
        <v>152</v>
      </c>
      <c r="C94" s="5"/>
      <c r="D94" s="5"/>
      <c r="E94" s="5"/>
      <c r="F94" s="5"/>
      <c r="G94" s="8" t="s">
        <v>121</v>
      </c>
      <c r="H94" s="8"/>
      <c r="I94" s="8" t="s">
        <v>151</v>
      </c>
      <c r="J94" s="5"/>
    </row>
    <row r="95" spans="2:10" ht="15">
      <c r="B95" s="5" t="s">
        <v>153</v>
      </c>
      <c r="C95" s="5"/>
      <c r="D95" s="5"/>
      <c r="E95" s="5"/>
      <c r="F95" s="5"/>
      <c r="G95" s="8" t="s">
        <v>121</v>
      </c>
      <c r="H95" s="8"/>
      <c r="I95" s="8" t="s">
        <v>154</v>
      </c>
      <c r="J95" s="5"/>
    </row>
    <row r="96" spans="2:10" ht="15">
      <c r="B96" s="5"/>
      <c r="C96" s="5"/>
      <c r="D96" s="5"/>
      <c r="E96" s="5"/>
      <c r="F96" s="5"/>
      <c r="G96" s="8"/>
      <c r="H96" s="8"/>
      <c r="I96" s="8"/>
      <c r="J96" s="5"/>
    </row>
    <row r="97" spans="2:10" ht="15">
      <c r="B97" s="4" t="s">
        <v>155</v>
      </c>
      <c r="C97" s="4"/>
      <c r="D97" s="4"/>
      <c r="E97" s="4"/>
      <c r="F97" s="4"/>
      <c r="G97" s="108"/>
      <c r="H97" s="108"/>
      <c r="I97" s="108"/>
      <c r="J97" s="5"/>
    </row>
    <row r="98" spans="2:10" ht="15">
      <c r="B98" s="5" t="s">
        <v>444</v>
      </c>
      <c r="C98" s="5"/>
      <c r="D98" s="5"/>
      <c r="E98" s="5"/>
      <c r="F98" s="5"/>
      <c r="G98" s="8" t="s">
        <v>127</v>
      </c>
      <c r="H98" s="8"/>
      <c r="I98" s="8" t="s">
        <v>156</v>
      </c>
      <c r="J98" s="5"/>
    </row>
    <row r="99" spans="2:10" ht="15">
      <c r="B99" s="5" t="s">
        <v>445</v>
      </c>
      <c r="C99" s="5"/>
      <c r="D99" s="5"/>
      <c r="E99" s="5"/>
      <c r="F99" s="5"/>
      <c r="G99" s="8" t="s">
        <v>127</v>
      </c>
      <c r="H99" s="8"/>
      <c r="I99" s="8" t="s">
        <v>156</v>
      </c>
      <c r="J99" s="5"/>
    </row>
    <row r="100" spans="2:10" ht="15">
      <c r="B100" s="5" t="s">
        <v>157</v>
      </c>
      <c r="C100" s="5"/>
      <c r="D100" s="5"/>
      <c r="E100" s="5"/>
      <c r="F100" s="5"/>
      <c r="G100" s="8" t="s">
        <v>158</v>
      </c>
      <c r="H100" s="8"/>
      <c r="I100" s="8" t="s">
        <v>159</v>
      </c>
      <c r="J100" s="5"/>
    </row>
    <row r="101" spans="2:10" ht="15">
      <c r="B101" s="5"/>
      <c r="C101" s="5"/>
      <c r="D101" s="5"/>
      <c r="E101" s="5"/>
      <c r="F101" s="5"/>
      <c r="G101" s="8"/>
      <c r="H101" s="8"/>
      <c r="I101" s="8"/>
      <c r="J101" s="5"/>
    </row>
    <row r="102" spans="2:10" ht="15">
      <c r="B102" s="4" t="s">
        <v>160</v>
      </c>
      <c r="C102" s="4"/>
      <c r="D102" s="4"/>
      <c r="E102" s="4"/>
      <c r="F102" s="4"/>
      <c r="G102" s="108"/>
      <c r="H102" s="108"/>
      <c r="I102" s="108" t="s">
        <v>451</v>
      </c>
      <c r="J102" s="5"/>
    </row>
    <row r="103" spans="2:10" ht="15">
      <c r="B103" s="5" t="s">
        <v>161</v>
      </c>
      <c r="C103" s="5"/>
      <c r="D103" s="5"/>
      <c r="E103" s="5"/>
      <c r="F103" s="5"/>
      <c r="G103" s="8" t="s">
        <v>162</v>
      </c>
      <c r="H103" s="8"/>
      <c r="I103" s="8" t="s">
        <v>163</v>
      </c>
      <c r="J103" s="5"/>
    </row>
    <row r="104" spans="2:10" ht="15">
      <c r="B104" s="5" t="s">
        <v>164</v>
      </c>
      <c r="C104" s="5"/>
      <c r="D104" s="5"/>
      <c r="E104" s="5"/>
      <c r="F104" s="5"/>
      <c r="G104" s="8" t="s">
        <v>138</v>
      </c>
      <c r="H104" s="8"/>
      <c r="I104" s="8" t="s">
        <v>165</v>
      </c>
      <c r="J104" s="5"/>
    </row>
    <row r="105" spans="2:10" ht="15">
      <c r="B105" s="5" t="s">
        <v>443</v>
      </c>
      <c r="C105" s="5"/>
      <c r="D105" s="5"/>
      <c r="E105" s="5"/>
      <c r="F105" s="5"/>
      <c r="G105" s="8" t="s">
        <v>127</v>
      </c>
      <c r="H105" s="8"/>
      <c r="I105" s="8" t="s">
        <v>166</v>
      </c>
      <c r="J105" s="5"/>
    </row>
    <row r="106" spans="2:10" ht="15">
      <c r="B106" s="5" t="s">
        <v>167</v>
      </c>
      <c r="C106" s="5"/>
      <c r="D106" s="5"/>
      <c r="E106" s="5"/>
      <c r="F106" s="5"/>
      <c r="G106" s="8" t="s">
        <v>162</v>
      </c>
      <c r="H106" s="8"/>
      <c r="I106" s="8" t="s">
        <v>163</v>
      </c>
      <c r="J106" s="5"/>
    </row>
    <row r="107" spans="2:10" ht="15">
      <c r="B107" s="5" t="s">
        <v>168</v>
      </c>
      <c r="C107" s="5"/>
      <c r="D107" s="5"/>
      <c r="E107" s="5"/>
      <c r="F107" s="5"/>
      <c r="G107" s="8" t="s">
        <v>169</v>
      </c>
      <c r="H107" s="8"/>
      <c r="I107" s="8" t="s">
        <v>136</v>
      </c>
      <c r="J107" s="5"/>
    </row>
    <row r="108" spans="2:10" ht="15">
      <c r="B108" s="5" t="s">
        <v>170</v>
      </c>
      <c r="C108" s="5"/>
      <c r="D108" s="5"/>
      <c r="E108" s="5"/>
      <c r="F108" s="5"/>
      <c r="G108" s="8" t="s">
        <v>171</v>
      </c>
      <c r="H108" s="8"/>
      <c r="I108" s="8" t="s">
        <v>165</v>
      </c>
      <c r="J108" s="5"/>
    </row>
    <row r="109" spans="2:10" ht="15">
      <c r="B109" s="5" t="s">
        <v>172</v>
      </c>
      <c r="C109" s="5"/>
      <c r="D109" s="5"/>
      <c r="E109" s="5"/>
      <c r="F109" s="5"/>
      <c r="G109" s="8" t="s">
        <v>173</v>
      </c>
      <c r="H109" s="8"/>
      <c r="I109" s="8" t="s">
        <v>165</v>
      </c>
      <c r="J109" s="5"/>
    </row>
    <row r="110" spans="2:10" ht="15">
      <c r="B110" s="5" t="s">
        <v>174</v>
      </c>
      <c r="C110" s="5"/>
      <c r="D110" s="5"/>
      <c r="E110" s="5"/>
      <c r="F110" s="5"/>
      <c r="G110" s="8" t="s">
        <v>175</v>
      </c>
      <c r="H110" s="8"/>
      <c r="I110" s="8" t="s">
        <v>176</v>
      </c>
      <c r="J110" s="5"/>
    </row>
    <row r="111" spans="2:10" ht="15">
      <c r="B111" s="5" t="s">
        <v>177</v>
      </c>
      <c r="C111" s="5"/>
      <c r="D111" s="5"/>
      <c r="E111" s="5"/>
      <c r="F111" s="5"/>
      <c r="G111" s="8" t="s">
        <v>178</v>
      </c>
      <c r="H111" s="8"/>
      <c r="I111" s="8" t="s">
        <v>176</v>
      </c>
      <c r="J111" s="5"/>
    </row>
    <row r="112" spans="2:10" ht="15">
      <c r="B112" s="5" t="s">
        <v>442</v>
      </c>
      <c r="C112" s="5"/>
      <c r="D112" s="5"/>
      <c r="E112" s="5"/>
      <c r="F112" s="5"/>
      <c r="G112" s="8" t="s">
        <v>179</v>
      </c>
      <c r="H112" s="8"/>
      <c r="I112" s="8" t="s">
        <v>176</v>
      </c>
      <c r="J112" s="5"/>
    </row>
    <row r="113" spans="2:10" ht="15">
      <c r="B113" s="5" t="s">
        <v>441</v>
      </c>
      <c r="C113" s="5"/>
      <c r="D113" s="5"/>
      <c r="E113" s="5"/>
      <c r="F113" s="5"/>
      <c r="G113" s="8" t="s">
        <v>180</v>
      </c>
      <c r="H113" s="8"/>
      <c r="I113" s="8" t="s">
        <v>181</v>
      </c>
      <c r="J113" s="5"/>
    </row>
    <row r="114" spans="2:10" ht="15">
      <c r="B114" s="5" t="s">
        <v>440</v>
      </c>
      <c r="C114" s="5"/>
      <c r="D114" s="5"/>
      <c r="E114" s="5"/>
      <c r="F114" s="5"/>
      <c r="G114" s="5"/>
      <c r="H114" s="5"/>
      <c r="I114" s="5"/>
      <c r="J114" s="5"/>
    </row>
    <row r="115" spans="2:10" ht="15">
      <c r="B115" s="5" t="s">
        <v>182</v>
      </c>
      <c r="C115" s="5"/>
      <c r="D115" s="5"/>
      <c r="E115" s="5"/>
      <c r="F115" s="5"/>
      <c r="G115" s="103" t="s">
        <v>432</v>
      </c>
      <c r="H115" s="104"/>
      <c r="I115" s="105"/>
      <c r="J115" s="5"/>
    </row>
    <row r="116" spans="2:10" ht="15">
      <c r="B116" s="5" t="s">
        <v>183</v>
      </c>
      <c r="C116" s="5"/>
      <c r="D116" s="5"/>
      <c r="E116" s="5"/>
      <c r="F116" s="5"/>
      <c r="G116" s="109" t="s">
        <v>433</v>
      </c>
      <c r="H116" s="110"/>
      <c r="I116" s="111"/>
      <c r="J116" s="5"/>
    </row>
    <row r="117" spans="2:10" ht="15">
      <c r="B117" s="5" t="s">
        <v>184</v>
      </c>
      <c r="C117" s="5"/>
      <c r="D117" s="5"/>
      <c r="E117" s="5"/>
      <c r="F117" s="5"/>
      <c r="G117" s="109" t="s">
        <v>434</v>
      </c>
      <c r="H117" s="110"/>
      <c r="I117" s="111"/>
      <c r="J117" s="5"/>
    </row>
    <row r="118" spans="2:10" ht="15">
      <c r="B118" s="5" t="s">
        <v>185</v>
      </c>
      <c r="C118" s="5"/>
      <c r="D118" s="5"/>
      <c r="E118" s="5"/>
      <c r="F118" s="5"/>
      <c r="G118" s="109" t="s">
        <v>435</v>
      </c>
      <c r="H118" s="110"/>
      <c r="I118" s="111"/>
      <c r="J118" s="5"/>
    </row>
    <row r="119" spans="2:10" ht="15">
      <c r="B119" s="5" t="s">
        <v>186</v>
      </c>
      <c r="C119" s="5"/>
      <c r="D119" s="5"/>
      <c r="E119" s="5"/>
      <c r="F119" s="5"/>
      <c r="G119" s="98"/>
      <c r="H119" s="106"/>
      <c r="I119" s="107"/>
      <c r="J119" s="5"/>
    </row>
    <row r="120" spans="2:10" ht="15">
      <c r="B120" s="5" t="s">
        <v>187</v>
      </c>
      <c r="C120" s="5"/>
      <c r="D120" s="5"/>
      <c r="E120" s="5"/>
      <c r="F120" s="5"/>
      <c r="G120" s="8" t="s">
        <v>162</v>
      </c>
      <c r="H120" s="8"/>
      <c r="I120" s="8" t="s">
        <v>163</v>
      </c>
      <c r="J120" s="5"/>
    </row>
    <row r="121" spans="2:10" ht="15">
      <c r="B121" s="5" t="s">
        <v>188</v>
      </c>
      <c r="C121" s="5"/>
      <c r="D121" s="5"/>
      <c r="E121" s="5"/>
      <c r="F121" s="5"/>
      <c r="G121" s="8" t="s">
        <v>146</v>
      </c>
      <c r="H121" s="8"/>
      <c r="I121" s="8" t="s">
        <v>189</v>
      </c>
      <c r="J121" s="5"/>
    </row>
    <row r="122" spans="2:10" ht="15">
      <c r="B122" s="5" t="s">
        <v>190</v>
      </c>
      <c r="C122" s="5"/>
      <c r="D122" s="5"/>
      <c r="E122" s="5"/>
      <c r="F122" s="5"/>
      <c r="G122" s="8" t="s">
        <v>146</v>
      </c>
      <c r="H122" s="8"/>
      <c r="I122" s="8" t="s">
        <v>189</v>
      </c>
      <c r="J122" s="5"/>
    </row>
    <row r="123" spans="2:10" ht="15">
      <c r="B123" s="5" t="s">
        <v>191</v>
      </c>
      <c r="C123" s="5"/>
      <c r="D123" s="5"/>
      <c r="E123" s="5"/>
      <c r="F123" s="5"/>
      <c r="G123" s="8" t="s">
        <v>146</v>
      </c>
      <c r="H123" s="8"/>
      <c r="I123" s="8" t="s">
        <v>192</v>
      </c>
      <c r="J123" s="5"/>
    </row>
    <row r="124" spans="2:10" ht="15">
      <c r="B124" s="5" t="s">
        <v>193</v>
      </c>
      <c r="C124" s="5"/>
      <c r="D124" s="5"/>
      <c r="E124" s="5"/>
      <c r="F124" s="5"/>
      <c r="G124" s="8" t="s">
        <v>146</v>
      </c>
      <c r="H124" s="8"/>
      <c r="I124" s="8" t="s">
        <v>192</v>
      </c>
      <c r="J124" s="5"/>
    </row>
    <row r="125" spans="2:10" ht="15">
      <c r="B125" s="5" t="s">
        <v>194</v>
      </c>
      <c r="C125" s="5"/>
      <c r="D125" s="5"/>
      <c r="E125" s="5"/>
      <c r="F125" s="5"/>
      <c r="G125" s="8" t="s">
        <v>146</v>
      </c>
      <c r="H125" s="8"/>
      <c r="I125" s="8" t="s">
        <v>192</v>
      </c>
      <c r="J125" s="5"/>
    </row>
    <row r="126" spans="2:10" ht="15">
      <c r="B126" s="5" t="s">
        <v>195</v>
      </c>
      <c r="C126" s="5"/>
      <c r="D126" s="5"/>
      <c r="E126" s="5"/>
      <c r="F126" s="5"/>
      <c r="G126" s="8" t="s">
        <v>196</v>
      </c>
      <c r="H126" s="8"/>
      <c r="I126" s="8" t="s">
        <v>151</v>
      </c>
      <c r="J126" s="5"/>
    </row>
    <row r="127" spans="2:10" ht="15">
      <c r="B127" s="5" t="s">
        <v>197</v>
      </c>
      <c r="C127" s="5"/>
      <c r="D127" s="5"/>
      <c r="E127" s="5"/>
      <c r="F127" s="5"/>
      <c r="G127" s="8" t="s">
        <v>198</v>
      </c>
      <c r="H127" s="8"/>
      <c r="I127" s="8" t="s">
        <v>151</v>
      </c>
      <c r="J127" s="5"/>
    </row>
    <row r="128" spans="2:10" ht="15">
      <c r="B128" s="5" t="s">
        <v>199</v>
      </c>
      <c r="C128" s="5"/>
      <c r="D128" s="5"/>
      <c r="E128" s="5"/>
      <c r="F128" s="5"/>
      <c r="G128" s="8" t="s">
        <v>200</v>
      </c>
      <c r="H128" s="8"/>
      <c r="I128" s="8" t="s">
        <v>151</v>
      </c>
      <c r="J128" s="5"/>
    </row>
    <row r="129" spans="2:10" ht="15">
      <c r="B129" s="5" t="s">
        <v>201</v>
      </c>
      <c r="C129" s="5"/>
      <c r="D129" s="5"/>
      <c r="E129" s="5"/>
      <c r="F129" s="5"/>
      <c r="G129" s="8" t="s">
        <v>202</v>
      </c>
      <c r="H129" s="8"/>
      <c r="I129" s="8" t="s">
        <v>192</v>
      </c>
      <c r="J129" s="5"/>
    </row>
    <row r="130" spans="2:10" ht="15">
      <c r="B130" s="5" t="s">
        <v>203</v>
      </c>
      <c r="C130" s="5"/>
      <c r="D130" s="5"/>
      <c r="E130" s="5"/>
      <c r="F130" s="5"/>
      <c r="G130" s="8" t="s">
        <v>121</v>
      </c>
      <c r="H130" s="8"/>
      <c r="I130" s="8" t="s">
        <v>192</v>
      </c>
      <c r="J130" s="5"/>
    </row>
    <row r="131" spans="2:10" ht="15">
      <c r="B131" s="5" t="s">
        <v>204</v>
      </c>
      <c r="C131" s="5"/>
      <c r="D131" s="5"/>
      <c r="E131" s="5"/>
      <c r="F131" s="5"/>
      <c r="G131" s="8" t="s">
        <v>121</v>
      </c>
      <c r="H131" s="8"/>
      <c r="I131" s="8" t="s">
        <v>192</v>
      </c>
      <c r="J131" s="5"/>
    </row>
    <row r="132" spans="2:10" ht="15">
      <c r="B132" s="5" t="s">
        <v>205</v>
      </c>
      <c r="C132" s="5"/>
      <c r="D132" s="5"/>
      <c r="E132" s="5"/>
      <c r="F132" s="5"/>
      <c r="G132" s="8" t="s">
        <v>140</v>
      </c>
      <c r="H132" s="8"/>
      <c r="I132" s="8" t="s">
        <v>163</v>
      </c>
      <c r="J132" s="5"/>
    </row>
    <row r="133" spans="2:10" ht="15">
      <c r="B133" s="5" t="s">
        <v>206</v>
      </c>
      <c r="C133" s="5"/>
      <c r="D133" s="5"/>
      <c r="E133" s="5"/>
      <c r="F133" s="5"/>
      <c r="G133" s="8" t="s">
        <v>127</v>
      </c>
      <c r="H133" s="8"/>
      <c r="I133" s="8" t="s">
        <v>163</v>
      </c>
      <c r="J133" s="5"/>
    </row>
    <row r="134" spans="2:10" ht="15">
      <c r="B134" s="5" t="s">
        <v>207</v>
      </c>
      <c r="C134" s="5"/>
      <c r="D134" s="5"/>
      <c r="E134" s="5"/>
      <c r="F134" s="5"/>
      <c r="G134" s="8" t="s">
        <v>208</v>
      </c>
      <c r="H134" s="8"/>
      <c r="I134" s="8" t="s">
        <v>176</v>
      </c>
      <c r="J134" s="5"/>
    </row>
    <row r="135" spans="2:10" ht="15">
      <c r="B135" s="5" t="s">
        <v>209</v>
      </c>
      <c r="C135" s="5"/>
      <c r="D135" s="5"/>
      <c r="E135" s="5"/>
      <c r="F135" s="5"/>
      <c r="G135" s="8" t="s">
        <v>210</v>
      </c>
      <c r="H135" s="8"/>
      <c r="I135" s="8" t="s">
        <v>176</v>
      </c>
      <c r="J135" s="5"/>
    </row>
    <row r="136" spans="2:10" ht="15">
      <c r="B136" s="5"/>
      <c r="C136" s="5"/>
      <c r="D136" s="5"/>
      <c r="E136" s="5"/>
      <c r="F136" s="5"/>
      <c r="G136" s="8"/>
      <c r="H136" s="8"/>
      <c r="I136" s="8"/>
      <c r="J136" s="5"/>
    </row>
    <row r="137" spans="2:10" ht="15">
      <c r="B137" s="5"/>
      <c r="C137" s="5"/>
      <c r="D137" s="5"/>
      <c r="E137" s="5"/>
      <c r="F137" s="5"/>
      <c r="G137" s="5"/>
      <c r="H137" s="5"/>
      <c r="I137" s="5"/>
      <c r="J137" s="5"/>
    </row>
    <row r="138" spans="2:10" ht="15">
      <c r="B138" s="5"/>
      <c r="C138" s="5"/>
      <c r="D138" s="5"/>
      <c r="E138" s="5"/>
      <c r="F138" s="5"/>
      <c r="G138" s="5"/>
      <c r="H138" s="5"/>
      <c r="I138" s="5"/>
      <c r="J138" s="5"/>
    </row>
    <row r="139" spans="2:10" ht="15">
      <c r="B139" s="5"/>
      <c r="C139" s="5"/>
      <c r="D139" s="5"/>
      <c r="E139" s="5"/>
      <c r="F139" s="5"/>
      <c r="G139" s="5"/>
      <c r="H139" s="5"/>
      <c r="I139" s="5"/>
      <c r="J139" s="5"/>
    </row>
  </sheetData>
  <printOptions/>
  <pageMargins left="0.75" right="0.75" top="1" bottom="1" header="0.5" footer="0.5"/>
  <pageSetup orientation="portrait" paperSize="9"/>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griffith</cp:lastModifiedBy>
  <cp:lastPrinted>2004-04-22T21:20:54Z</cp:lastPrinted>
  <dcterms:created xsi:type="dcterms:W3CDTF">2003-03-30T10:56:28Z</dcterms:created>
  <dcterms:modified xsi:type="dcterms:W3CDTF">2005-03-25T15:53:12Z</dcterms:modified>
  <cp:category/>
  <cp:version/>
  <cp:contentType/>
  <cp:contentStatus/>
</cp:coreProperties>
</file>