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4155" windowWidth="15330" windowHeight="4170" activeTab="0"/>
  </bookViews>
  <sheets>
    <sheet name="EweFlock" sheetId="1" r:id="rId1"/>
    <sheet name="Macros" sheetId="2" r:id="rId2"/>
    <sheet name="InputForm" sheetId="3" r:id="rId3"/>
  </sheets>
  <definedNames>
    <definedName name="_Order1" hidden="1">255</definedName>
    <definedName name="_Order2" hidden="1">255</definedName>
    <definedName name="PRINT_ALL">'Macros'!$H$6</definedName>
    <definedName name="_xlnm.Print_Area" localSheetId="0">'EweFlock'!$A$1:$D$31</definedName>
    <definedName name="Print_Area_MI" localSheetId="0">'EweFlock'!$A$1:$D$33</definedName>
    <definedName name="PRINT_COMPARE">'Macros'!$B$40</definedName>
    <definedName name="PRINT_COW_CALF">'Macros'!$B$6</definedName>
    <definedName name="PRINT_COW_LEASE">'Macros'!$H$33</definedName>
    <definedName name="PRINT_FEEDERS">'Macros'!$B$21</definedName>
    <definedName name="PRINT_STOCKERS">'Macros'!$B$31</definedName>
  </definedNames>
  <calcPr fullCalcOnLoad="1"/>
</workbook>
</file>

<file path=xl/comments1.xml><?xml version="1.0" encoding="utf-8"?>
<comments xmlns="http://schemas.openxmlformats.org/spreadsheetml/2006/main">
  <authors>
    <author>Duane Griffith</author>
  </authors>
  <commentList>
    <comment ref="A62" authorId="0">
      <text>
        <r>
          <rPr>
            <b/>
            <sz val="10"/>
            <color indexed="8"/>
            <rFont val="Tahoma"/>
            <family val="2"/>
          </rPr>
          <t xml:space="preserve">Care must be taken when reporting feed costs.  You should report all purchased feed costs here.  For raised feed on your own land, or leased land report the cost of inputs necessary for the hay enterprise (fuel, oil, repairs, cash labor, twine and other supplies, water costs, etc.) in the appropriate places below.  This is also true of owned grazing or leased grazing land.  Leased costs for the land can be reported in the feed cost section ($ per acre, $ per ton, $ per aum) but additional costs necessary to put up should also be reported.  The expenses reported should also be prorated to adjust for the amount of feed actually utilized by the ewe flock enterprise.  For example, if you raise 400 ton of hay per year but only feed 300 ton and the excess production is sold as a cash crop, include only expenses for producing the 300 ton fed to the ewe flock enterprise.  
Summary:
1. Report all purchase fed and AUMs of grazing
2. Report the lease costs for any leased land involved in hay or grazing  AND
3. Report the expense associated with producing hay or maintaining grazing.
</t>
        </r>
        <r>
          <rPr>
            <b/>
            <sz val="10"/>
            <color indexed="10"/>
            <rFont val="Tahoma"/>
            <family val="2"/>
          </rPr>
          <t>Do Not Double Count Expenses!!!!!</t>
        </r>
        <r>
          <rPr>
            <sz val="10"/>
            <rFont val="Tahoma"/>
            <family val="2"/>
          </rPr>
          <t xml:space="preserve">
</t>
        </r>
      </text>
    </comment>
    <comment ref="A16" authorId="0">
      <text>
        <r>
          <rPr>
            <b/>
            <sz val="8"/>
            <rFont val="Tahoma"/>
            <family val="0"/>
          </rPr>
          <t xml:space="preserve">Rams are typically purchased and depreciated over some period of time.  The revenue generated when they are sold is either a capital gain or a capital loss.  A capital gain is the revenue in excess of the rams book value.  A capital loss means the book value was greater than the revenue generated.  This treatment of cull ram income is associated with an individual ram in a given year.  For budgeting purposes, assume all rams are depreciated fully and the income generated when they are sold is capital gains.  The Farm Financial Standards Guidelines (FFSG) indicate that this income should be reported as capital gains but with other income that is reported as "ordinary," i.e. reported here.  Ordinary income is income generated under typical business operation.  
</t>
        </r>
      </text>
    </comment>
    <comment ref="A77" authorId="0">
      <text>
        <r>
          <rPr>
            <b/>
            <sz val="8"/>
            <color indexed="10"/>
            <rFont val="Tahoma"/>
            <family val="2"/>
          </rPr>
          <t xml:space="preserve">
Do Not Double Count Expenses!!!!!
</t>
        </r>
        <r>
          <rPr>
            <b/>
            <sz val="8"/>
            <rFont val="Tahoma"/>
            <family val="2"/>
          </rPr>
          <t xml:space="preserve">
</t>
        </r>
        <r>
          <rPr>
            <b/>
            <sz val="8"/>
            <color indexed="8"/>
            <rFont val="Tahoma"/>
            <family val="2"/>
          </rPr>
          <t>Please read the Help message next to feed costs above.</t>
        </r>
        <r>
          <rPr>
            <b/>
            <sz val="8"/>
            <color indexed="10"/>
            <rFont val="Tahoma"/>
            <family val="2"/>
          </rPr>
          <t xml:space="preserve">
</t>
        </r>
        <r>
          <rPr>
            <sz val="8"/>
            <rFont val="Tahoma"/>
            <family val="0"/>
          </rPr>
          <t xml:space="preserve">
</t>
        </r>
      </text>
    </comment>
    <comment ref="A92" authorId="0">
      <text>
        <r>
          <rPr>
            <b/>
            <sz val="8"/>
            <color indexed="10"/>
            <rFont val="Tahoma"/>
            <family val="2"/>
          </rPr>
          <t xml:space="preserve">
Do Not Double Count Expenses!!!!!
</t>
        </r>
        <r>
          <rPr>
            <b/>
            <sz val="8"/>
            <color indexed="8"/>
            <rFont val="Tahoma"/>
            <family val="2"/>
          </rPr>
          <t xml:space="preserve">
Please read the Help message next to feed costs above.</t>
        </r>
        <r>
          <rPr>
            <b/>
            <sz val="8"/>
            <color indexed="10"/>
            <rFont val="Tahoma"/>
            <family val="2"/>
          </rPr>
          <t xml:space="preserve">
</t>
        </r>
        <r>
          <rPr>
            <sz val="8"/>
            <rFont val="Tahoma"/>
            <family val="0"/>
          </rPr>
          <t xml:space="preserve">
</t>
        </r>
      </text>
    </comment>
    <comment ref="A130" authorId="0">
      <text>
        <r>
          <rPr>
            <b/>
            <sz val="10"/>
            <color indexed="8"/>
            <rFont val="Tahoma"/>
            <family val="2"/>
          </rPr>
          <t>Include the value of machinery, prorated if necessary, of all machinery and equipment used to feed and care for the livestock enterprise and the forage production enterprises, hay, grazing, straw, etc., necessary to feed the livestock.  
Include only the costs of machinery and equipment used in the ewe flock enterprise.  If necessary, prorate the values of the equipment used.  For example, if a tractor is worth $40,000 and is used only 30% of the time on the ewe flock enterprise, the "Dollars Invested" entered would not be $40,000 but $12,000.  The salvage value must also be prorated, if necessary.</t>
        </r>
        <r>
          <rPr>
            <b/>
            <sz val="10"/>
            <rFont val="Tahoma"/>
            <family val="2"/>
          </rPr>
          <t xml:space="preserve">
</t>
        </r>
        <r>
          <rPr>
            <b/>
            <sz val="10"/>
            <color indexed="10"/>
            <rFont val="Tahoma"/>
            <family val="2"/>
          </rPr>
          <t xml:space="preserve">
Do Not Double Count Expenses!!!!!
</t>
        </r>
        <r>
          <rPr>
            <b/>
            <sz val="10"/>
            <color indexed="8"/>
            <rFont val="Tahoma"/>
            <family val="2"/>
          </rPr>
          <t xml:space="preserve">
Please read the Help message next to feed costs above.</t>
        </r>
        <r>
          <rPr>
            <b/>
            <sz val="10"/>
            <color indexed="10"/>
            <rFont val="Tahoma"/>
            <family val="2"/>
          </rPr>
          <t xml:space="preserve">
</t>
        </r>
        <r>
          <rPr>
            <sz val="10"/>
            <rFont val="Tahoma"/>
            <family val="2"/>
          </rPr>
          <t xml:space="preserve">
</t>
        </r>
      </text>
    </comment>
    <comment ref="A153" authorId="0">
      <text>
        <r>
          <rPr>
            <b/>
            <sz val="8"/>
            <color indexed="10"/>
            <rFont val="Tahoma"/>
            <family val="2"/>
          </rPr>
          <t xml:space="preserve">
Do Not Double Count Expenses!!!!!
</t>
        </r>
        <r>
          <rPr>
            <b/>
            <sz val="8"/>
            <rFont val="Tahoma"/>
            <family val="2"/>
          </rPr>
          <t xml:space="preserve">
</t>
        </r>
        <r>
          <rPr>
            <b/>
            <sz val="8"/>
            <color indexed="8"/>
            <rFont val="Tahoma"/>
            <family val="2"/>
          </rPr>
          <t>Please read the Help message next to feed costs above.</t>
        </r>
        <r>
          <rPr>
            <b/>
            <sz val="8"/>
            <color indexed="10"/>
            <rFont val="Tahoma"/>
            <family val="2"/>
          </rPr>
          <t xml:space="preserve">
</t>
        </r>
        <r>
          <rPr>
            <sz val="8"/>
            <rFont val="Tahoma"/>
            <family val="0"/>
          </rPr>
          <t xml:space="preserve">
</t>
        </r>
      </text>
    </comment>
    <comment ref="A167" authorId="0">
      <text>
        <r>
          <rPr>
            <b/>
            <sz val="10"/>
            <color indexed="8"/>
            <rFont val="Tahoma"/>
            <family val="2"/>
          </rPr>
          <t xml:space="preserve">Purchased feed costs and the lease amount for leased hay or grazing land should be listed under Feed Costs (above).  The value of owned land used to grow forage, concentrate, or provide AUMs is entered here.   Prorate as necessary, i.e. if only a portion of the barley crop raised was used for feed, do not include all acres of barley, only that portion used to raise what was actually fed.  This is true of forage crops also.  </t>
        </r>
        <r>
          <rPr>
            <b/>
            <sz val="10"/>
            <rFont val="Tahoma"/>
            <family val="2"/>
          </rPr>
          <t xml:space="preserve">
</t>
        </r>
        <r>
          <rPr>
            <b/>
            <sz val="10"/>
            <color indexed="10"/>
            <rFont val="Tahoma"/>
            <family val="2"/>
          </rPr>
          <t xml:space="preserve">
Do Not Double Count Expenses!!!!!
</t>
        </r>
        <r>
          <rPr>
            <b/>
            <sz val="10"/>
            <color indexed="8"/>
            <rFont val="Tahoma"/>
            <family val="2"/>
          </rPr>
          <t xml:space="preserve">
Please read the Help message next to feed costs above.</t>
        </r>
        <r>
          <rPr>
            <b/>
            <sz val="10"/>
            <color indexed="10"/>
            <rFont val="Tahoma"/>
            <family val="2"/>
          </rPr>
          <t xml:space="preserve">
</t>
        </r>
        <r>
          <rPr>
            <sz val="10"/>
            <rFont val="Tahoma"/>
            <family val="2"/>
          </rPr>
          <t xml:space="preserve">
</t>
        </r>
      </text>
    </comment>
    <comment ref="A185" authorId="0">
      <text>
        <r>
          <rPr>
            <b/>
            <sz val="9"/>
            <color indexed="8"/>
            <rFont val="Times New Roman"/>
            <family val="1"/>
          </rPr>
          <t xml:space="preserve">Depreciation of the ewe flock </t>
        </r>
        <r>
          <rPr>
            <b/>
            <sz val="9"/>
            <color indexed="10"/>
            <rFont val="Times New Roman"/>
            <family val="1"/>
          </rPr>
          <t>for lease calculations and for cost of production estimates for your own operation should not</t>
        </r>
        <r>
          <rPr>
            <b/>
            <sz val="9"/>
            <color indexed="8"/>
            <rFont val="Times New Roman"/>
            <family val="1"/>
          </rPr>
          <t xml:space="preserve"> be entered if replacement ewes are provided by holding back  replacement ewe lambs at weaning.  While an individual ewe may be depreciating, (wearing out) over some period of time, the ewe flock does not wear out if normal replacement practices are carried out.  Replacement ewe lamb development espense should already be included in expenses you have entered in this budget.  Including a depreciation expense will double count the costs already included in the template above (feed, vet &amp; med, labor, etc, etc.) for replacement ewe development costs.  
If this template is being used to esitmate costs of production for your own ewe flock operation, and the normal practice is to keep a portion of the annual ewe lamb crop for replacements, then </t>
        </r>
        <r>
          <rPr>
            <b/>
            <sz val="9"/>
            <color indexed="10"/>
            <rFont val="Times New Roman"/>
            <family val="1"/>
          </rPr>
          <t>do not</t>
        </r>
        <r>
          <rPr>
            <b/>
            <sz val="9"/>
            <color indexed="8"/>
            <rFont val="Times New Roman"/>
            <family val="1"/>
          </rPr>
          <t xml:space="preserve"> fill in the cells at right for "Useful Life Yrs," and "Salvage Value."    You will note that the "Dollars Invested" is a calculated number.  This number is based on the number and average value of ewes enterd at the top of this spreadsheet.  It is necessary to use this number to calculate interest on investment.  
</t>
        </r>
        <r>
          <rPr>
            <b/>
            <sz val="9"/>
            <color indexed="12"/>
            <rFont val="Times New Roman"/>
            <family val="1"/>
          </rPr>
          <t>When do you enter numbers for Depreciation????</t>
        </r>
        <r>
          <rPr>
            <b/>
            <sz val="9"/>
            <color indexed="8"/>
            <rFont val="Times New Roman"/>
            <family val="1"/>
          </rPr>
          <t xml:space="preserve">
If replacements are purchased each year from outside the ewe flock, then a </t>
        </r>
        <r>
          <rPr>
            <b/>
            <sz val="9"/>
            <color indexed="10"/>
            <rFont val="Times New Roman"/>
            <family val="1"/>
          </rPr>
          <t>replacement allowance or deprecation expense</t>
        </r>
        <r>
          <rPr>
            <b/>
            <sz val="9"/>
            <color indexed="8"/>
            <rFont val="Times New Roman"/>
            <family val="1"/>
          </rPr>
          <t xml:space="preserve"> can be included.  This replacement allowance is calculated using standard economic depreciation calculations (straight line depreciation).  This assumes that the ewe flock is in a steady state, neither increasing or decreasing in size.   If replacements are purchased, then enter numbers for useful life in years and salvage value.
Straight line depreciation is the beginning value minus ending value divided by years of useful life.   
 </t>
        </r>
      </text>
    </comment>
    <comment ref="A22" authorId="0">
      <text>
        <r>
          <rPr>
            <b/>
            <sz val="8"/>
            <rFont val="Tahoma"/>
            <family val="0"/>
          </rPr>
          <t xml:space="preserve">If replacement ewe lambs are kept from the lamb crop, enter zeros in this row.  </t>
        </r>
      </text>
    </comment>
    <comment ref="A203" authorId="0">
      <text>
        <r>
          <rPr>
            <sz val="10"/>
            <rFont val="Tahoma"/>
            <family val="2"/>
          </rPr>
          <t xml:space="preserve">The percentage split calculated here shows the percentage of total costs that are shared by the ewe owner and the individual running the ewes.  As with all leases, it is assumed that an equitable arrangement is to share income in the same proportion as costs are shared.  The question is then, what income is shared.  As breeding livestock are capital assets, revenue generated from the sale of capital assets belongs to the capital asset owner.  Only revenue from the production of the primary crop, in this case calves, is shared by the parties to the lease.  
This split of lamb revenue however does not necessarily determine the final percentage of revenue sharing by the parties to the lease.  For example, if replacement heifers are kept from the lamb crop, the ewe flock owner receives a credit for the value of those animals going into the breeding flock.  This is a non-cash revenue received by the ewe owner.  The table below shows the revenue and cost split for the entire operation on a profitability and cash flow basis and for the ewe flock owner and the individual running the ewes for the same basis.  
</t>
        </r>
      </text>
    </comment>
    <comment ref="C274" authorId="0">
      <text>
        <r>
          <rPr>
            <b/>
            <sz val="10"/>
            <rFont val="Tahoma"/>
            <family val="2"/>
          </rPr>
          <t xml:space="preserve">Weighted average price do not include non-lamb revenue.
This table is generated using the initial lambing percentage entered by the user. 
Table values do not include credit for replacement ewe lambs kept.
</t>
        </r>
      </text>
    </comment>
    <comment ref="C285" authorId="0">
      <text>
        <r>
          <rPr>
            <b/>
            <sz val="10"/>
            <rFont val="Tahoma"/>
            <family val="2"/>
          </rPr>
          <t>This table is generated using the initial lambing percentage entered by the user.  That value is shown at the left of the table.</t>
        </r>
      </text>
    </comment>
    <comment ref="C296" authorId="0">
      <text>
        <r>
          <rPr>
            <b/>
            <sz val="10"/>
            <rFont val="Tahoma"/>
            <family val="2"/>
          </rPr>
          <t xml:space="preserve">This table uses the weighted average weaning weight calculated by the budget to generate the table values.  </t>
        </r>
      </text>
    </comment>
    <comment ref="C307" authorId="0">
      <text>
        <r>
          <rPr>
            <b/>
            <sz val="10"/>
            <rFont val="Tahoma"/>
            <family val="2"/>
          </rPr>
          <t xml:space="preserve">This table uses the weighted average weaning weight calculated by the budget to generate the table values.  </t>
        </r>
      </text>
    </comment>
    <comment ref="C266" authorId="0">
      <text>
        <r>
          <rPr>
            <b/>
            <sz val="10"/>
            <rFont val="Tahoma"/>
            <family val="2"/>
          </rPr>
          <t xml:space="preserve">Table values include adjustments to account for non-lamb revenue.
</t>
        </r>
      </text>
    </comment>
    <comment ref="F196" authorId="0">
      <text>
        <r>
          <rPr>
            <b/>
            <sz val="10"/>
            <rFont val="Tahoma"/>
            <family val="2"/>
          </rPr>
          <t xml:space="preserve">Includes death loss expense and excludes value of replacement ewe lambs kept.
The three basic factors of production are land, labor, and capital.  Since land and other capital items have been cost out in this analysis, this number is the return to unpaid labor and management for the enterprise.  </t>
        </r>
      </text>
    </comment>
    <comment ref="H26" authorId="0">
      <text>
        <r>
          <rPr>
            <b/>
            <sz val="8"/>
            <rFont val="Tahoma"/>
            <family val="0"/>
          </rPr>
          <t xml:space="preserve">Adjusted for death loss
</t>
        </r>
        <r>
          <rPr>
            <sz val="8"/>
            <rFont val="Tahoma"/>
            <family val="0"/>
          </rPr>
          <t xml:space="preserve">
</t>
        </r>
      </text>
    </comment>
    <comment ref="G331" authorId="0">
      <text>
        <r>
          <rPr>
            <b/>
            <sz val="10"/>
            <rFont val="Tahoma"/>
            <family val="2"/>
          </rPr>
          <t xml:space="preserve">Note: The percentage entered here may or may not match a percentage in the table above on the row labeled "Discount percent for cash lease amount."  The table above can be used to estimate the affects of a given risk premium adjustment to a share lease arrangement.  If the risk premium adjustment both parties agreed to is different than displayed in one of the columns in the table directly above, enter the percentage adjustment here. 
</t>
        </r>
        <r>
          <rPr>
            <sz val="10"/>
            <rFont val="Tahoma"/>
            <family val="2"/>
          </rPr>
          <t xml:space="preserve">
</t>
        </r>
      </text>
    </comment>
    <comment ref="E327" authorId="0">
      <text>
        <r>
          <rPr>
            <b/>
            <sz val="9"/>
            <rFont val="Tahoma"/>
            <family val="2"/>
          </rPr>
          <t xml:space="preserve">If the data was originally entered with the ewe owner sharing in operation expenses, the values calculated in this table </t>
        </r>
        <r>
          <rPr>
            <b/>
            <sz val="9"/>
            <color indexed="10"/>
            <rFont val="Tahoma"/>
            <family val="2"/>
          </rPr>
          <t xml:space="preserve">may </t>
        </r>
        <r>
          <rPr>
            <b/>
            <sz val="9"/>
            <rFont val="Tahoma"/>
            <family val="2"/>
          </rPr>
          <t xml:space="preserve">be incorrect for a cash lease.  To make the values correct, go back to the input and change the percent share to the ewe owner to zero for any operating expenses that were originally entered as shared.  </t>
        </r>
        <r>
          <rPr>
            <b/>
            <sz val="9"/>
            <color indexed="10"/>
            <rFont val="Tahoma"/>
            <family val="2"/>
          </rPr>
          <t>Typically</t>
        </r>
        <r>
          <rPr>
            <b/>
            <sz val="9"/>
            <rFont val="Tahoma"/>
            <family val="2"/>
          </rPr>
          <t xml:space="preserve"> in cash leases, the landlord (ewe owner) does not share in operating expenses.  
</t>
        </r>
      </text>
    </comment>
    <comment ref="F144" authorId="0">
      <text>
        <r>
          <rPr>
            <b/>
            <sz val="8"/>
            <color indexed="8"/>
            <rFont val="Tahoma"/>
            <family val="2"/>
          </rPr>
          <t>The interest or opportunity costs charged here is calculated using the average value of the asset listed.  The formula is:
  (Dollars invested + Salvage value)/2 X real interest rate
Real interest rate is the stated (nominal rate) minus the inflation rate.</t>
        </r>
        <r>
          <rPr>
            <sz val="8"/>
            <color indexed="8"/>
            <rFont val="Tahoma"/>
            <family val="2"/>
          </rPr>
          <t xml:space="preserve">
</t>
        </r>
      </text>
    </comment>
    <comment ref="F161" authorId="0">
      <text>
        <r>
          <rPr>
            <b/>
            <sz val="8"/>
            <color indexed="8"/>
            <rFont val="Tahoma"/>
            <family val="2"/>
          </rPr>
          <t xml:space="preserve">The interest or opportunity costs charged here is calculated using the average value of the asset listed.  The formula is:
  (Dollars invested + Salvage value)/2 X real interest rate
Real interest rate is the stated (nominal rate) minus the inflation rate.
</t>
        </r>
      </text>
    </comment>
    <comment ref="F178" authorId="0">
      <text>
        <r>
          <rPr>
            <b/>
            <sz val="8"/>
            <color indexed="8"/>
            <rFont val="Tahoma"/>
            <family val="2"/>
          </rPr>
          <t xml:space="preserve">The interest or opportunity costs charged here is calculated using the average value of the asset listed.  The formula is:
  (Dollars invested + Salvage value)/2 X real interest rate
Real interest rate is the stated (nominal rate) minus the inflation rate.
</t>
        </r>
      </text>
    </comment>
    <comment ref="F190" authorId="0">
      <text>
        <r>
          <rPr>
            <b/>
            <sz val="8"/>
            <rFont val="Tahoma"/>
            <family val="0"/>
          </rPr>
          <t xml:space="preserve">The interest or opportunity costs charged here is calculated using the average value of the asset listed.  The formula is:
  (Dollars invested + Salvage value)/2 X real interest rate
Real interest rate is the stated (nominal rate) minus the inflation rate.
</t>
        </r>
        <r>
          <rPr>
            <sz val="8"/>
            <rFont val="Tahoma"/>
            <family val="0"/>
          </rPr>
          <t xml:space="preserve">
</t>
        </r>
      </text>
    </comment>
    <comment ref="F197" authorId="0">
      <text>
        <r>
          <rPr>
            <b/>
            <sz val="10"/>
            <rFont val="Tahoma"/>
            <family val="2"/>
          </rPr>
          <t xml:space="preserve">Includes death loss expense and the value of replacement ewe lambs kept.
The three basic factors of production are land, labor, and capital.  Since land and other capital items have been cost out in this analysis, this number is the return to unpaid labor and management for the enterprise.  </t>
        </r>
      </text>
    </comment>
    <comment ref="G196" authorId="0">
      <text>
        <r>
          <rPr>
            <b/>
            <sz val="10"/>
            <rFont val="Tahoma"/>
            <family val="2"/>
          </rPr>
          <t xml:space="preserve">Includes death loss expense and excludes value of replacement ewe lambs kept.
The three basic factors of production are land, labor, and capital.  Since land and other capital items have been cost out in this analysis, this number is the return to unpaid labor and management for the enterprise.  </t>
        </r>
        <r>
          <rPr>
            <sz val="10"/>
            <rFont val="Tahoma"/>
            <family val="2"/>
          </rPr>
          <t xml:space="preserve">
</t>
        </r>
      </text>
    </comment>
    <comment ref="G197" authorId="0">
      <text>
        <r>
          <rPr>
            <b/>
            <sz val="10"/>
            <rFont val="Tahoma"/>
            <family val="2"/>
          </rPr>
          <t xml:space="preserve">Includes death loss expense and the value of replacement ewe lambs kept.
The three basic factors of production are land, labor, and capital.  Since land and other capital items have been cost out in this analysis, this number is the return to unpaid labor and management for the enterprise.  </t>
        </r>
      </text>
    </comment>
    <comment ref="A320" authorId="0">
      <text>
        <r>
          <rPr>
            <b/>
            <sz val="10"/>
            <rFont val="Tahoma"/>
            <family val="2"/>
          </rPr>
          <t xml:space="preserve">The analysis in this table assumes the ewe owner is supplying ewes and replacement rams.  If that is not the case, the numbers in this table are not valid and the remaining portions of the lease analysis are not valid. </t>
        </r>
        <r>
          <rPr>
            <sz val="10"/>
            <rFont val="Tahoma"/>
            <family val="2"/>
          </rPr>
          <t xml:space="preserve">
</t>
        </r>
      </text>
    </comment>
    <comment ref="D220" authorId="0">
      <text>
        <r>
          <rPr>
            <b/>
            <sz val="8"/>
            <rFont val="Tahoma"/>
            <family val="0"/>
          </rPr>
          <t>The Profitability analysis includes all income and expenses which includes both cash and non-cash income and expenses.  Non-cash expenses included in this analysis are depreciation, interest on investments (opportunity cost charges), and death loss on ewes and replacement ewe lambs.</t>
        </r>
      </text>
    </comment>
    <comment ref="F220" authorId="0">
      <text>
        <r>
          <rPr>
            <b/>
            <sz val="8"/>
            <rFont val="Tahoma"/>
            <family val="0"/>
          </rPr>
          <t>The Cash Flow analysis excludes both non-cash income (value of replacement ewe lambs kept for replacements and death loss) and non-cash expenses.  Non-cash expenses include depreciation on capital assets and the interest charge (opportunity cost) made on the value of investments.</t>
        </r>
      </text>
    </comment>
    <comment ref="D249" authorId="0">
      <text>
        <r>
          <rPr>
            <b/>
            <sz val="8"/>
            <rFont val="Tahoma"/>
            <family val="0"/>
          </rPr>
          <t>Includes the value of replacement ewe lambs kept as a non-cash revenue, if any.</t>
        </r>
        <r>
          <rPr>
            <sz val="8"/>
            <rFont val="Tahoma"/>
            <family val="0"/>
          </rPr>
          <t xml:space="preserve">
</t>
        </r>
      </text>
    </comment>
    <comment ref="E249" authorId="0">
      <text>
        <r>
          <rPr>
            <b/>
            <sz val="8"/>
            <rFont val="Tahoma"/>
            <family val="0"/>
          </rPr>
          <t>Includes the value of replacement ewe lambs kept as a non-cash revenue, if any.</t>
        </r>
      </text>
    </comment>
    <comment ref="F4" authorId="0">
      <text>
        <r>
          <rPr>
            <b/>
            <sz val="8"/>
            <color indexed="8"/>
            <rFont val="Tahoma"/>
            <family val="2"/>
          </rPr>
          <t>This is a calculated number and is rounded up if the calculation produces a fraction.</t>
        </r>
      </text>
    </comment>
    <comment ref="H216" authorId="0">
      <text>
        <r>
          <rPr>
            <b/>
            <sz val="8"/>
            <rFont val="Tahoma"/>
            <family val="0"/>
          </rPr>
          <t>The Profitability analysis includes all income and expenses which includes both cash and non-cash income and expenses.  Non-cash expenses included in this analysis are depreciation, interest on investments (opportunity costs charges), and death loss on ewes and replacement ewe lambs.</t>
        </r>
      </text>
    </comment>
    <comment ref="J216" authorId="0">
      <text>
        <r>
          <rPr>
            <b/>
            <sz val="8"/>
            <rFont val="Tahoma"/>
            <family val="0"/>
          </rPr>
          <t>The Cash Flow analysis excludes both non-cash income (value of replacement ewe lambs kept for replacements and death loss) and non-cash expenses.  Non-cash expenses include depreciation on capital assets and the interest charge (opportunity cost) made on the value of  investments.</t>
        </r>
      </text>
    </comment>
    <comment ref="B163" authorId="0">
      <text>
        <r>
          <rPr>
            <b/>
            <sz val="10"/>
            <rFont val="Tahoma"/>
            <family val="2"/>
          </rPr>
          <t xml:space="preserve">Include the insurance for the buildings and improvements and also for other blanket insurance coverage, (liability, etc.) for the entire operation. </t>
        </r>
        <r>
          <rPr>
            <sz val="10"/>
            <rFont val="Tahoma"/>
            <family val="2"/>
          </rPr>
          <t xml:space="preserve">
</t>
        </r>
      </text>
    </comment>
    <comment ref="A260" authorId="0">
      <text>
        <r>
          <rPr>
            <b/>
            <sz val="8"/>
            <rFont val="Tahoma"/>
            <family val="0"/>
          </rPr>
          <t xml:space="preserve">This calculation is made assuming that the weighted average price and weight calculated above is achieved.  The weighted average price times the weighted average weight gives the revenue from the average lamb weaned and sold.  This number divided into the total operating and then total costs gives the required lambing percentage necessary to cover these costs.  </t>
        </r>
      </text>
    </comment>
    <comment ref="A261" authorId="0">
      <text>
        <r>
          <rPr>
            <b/>
            <sz val="8"/>
            <rFont val="Tahoma"/>
            <family val="0"/>
          </rPr>
          <t>This calculation is made assuming that the weighted average price calculated above is achieved through whatever combinations of events.  Dividing the total operating and then total costs by total revenue from lamb sales gives the requried weight per lamb sold to generate enough revenue to cover these costs, respectively.</t>
        </r>
      </text>
    </comment>
    <comment ref="A262" authorId="0">
      <text>
        <r>
          <rPr>
            <b/>
            <sz val="8"/>
            <rFont val="Tahoma"/>
            <family val="0"/>
          </rPr>
          <t xml:space="preserve">This is the weighted average lamb price necessary to cover operating costs assuming that the weighted average lamb weight is correct. This calculation is made by dividing the total operating and then total costs by the pounds of lambs actually sold.  Pounds of lamb sold is calculated using the Weighted average weaning weight calculated above.  The result, the price necessary per pound of lamb sold to cover operating and ownership costs.  </t>
        </r>
      </text>
    </comment>
    <comment ref="E259" authorId="0">
      <text>
        <r>
          <rPr>
            <b/>
            <sz val="8"/>
            <rFont val="Tahoma"/>
            <family val="0"/>
          </rPr>
          <t>Calculated using total operating costs less shearing costs.  Shearing costs are subtracted since this breakeven excludes non-lamb revenue, i.e. wool.</t>
        </r>
        <r>
          <rPr>
            <sz val="8"/>
            <rFont val="Tahoma"/>
            <family val="0"/>
          </rPr>
          <t xml:space="preserve">
</t>
        </r>
      </text>
    </comment>
    <comment ref="F259" authorId="0">
      <text>
        <r>
          <rPr>
            <b/>
            <sz val="8"/>
            <rFont val="Tahoma"/>
            <family val="0"/>
          </rPr>
          <t>Calculated using total operating costs less shearing costs.  Shearing costs are subtracted since this breakeven excludes non-lamb revenue, i.e. wool.</t>
        </r>
        <r>
          <rPr>
            <sz val="8"/>
            <rFont val="Tahoma"/>
            <family val="0"/>
          </rPr>
          <t xml:space="preserve">
</t>
        </r>
      </text>
    </comment>
    <comment ref="A116" authorId="0">
      <text>
        <r>
          <rPr>
            <b/>
            <sz val="8"/>
            <rFont val="Tahoma"/>
            <family val="0"/>
          </rPr>
          <t xml:space="preserve">Interest on operating costs are calculated as follows:
 Total operating costs 
  * Annual Interest Rate                                              (User Entered) 
  * Avg. Numvber of Months Money Borrowed            (User Entered)
  = Total Interest Charge
</t>
        </r>
      </text>
    </comment>
    <comment ref="A142" authorId="0">
      <text>
        <r>
          <rPr>
            <b/>
            <sz val="8"/>
            <rFont val="Tahoma"/>
            <family val="0"/>
          </rPr>
          <t>Depreciation is calculated using standard Striaght Line Depreciation methods.  This ignores tax based depreciation allowed by the IRS and typically provides a better picture of what is happening to depreciable assets in the real world.
Straight Line Depreciation is calculated as:
Initial costs minus salvage value divided by years of useful life.</t>
        </r>
      </text>
    </comment>
    <comment ref="A144" authorId="0">
      <text>
        <r>
          <rPr>
            <b/>
            <sz val="8"/>
            <rFont val="Tahoma"/>
            <family val="0"/>
          </rPr>
          <t xml:space="preserve">Interest or opportunity costs are calculated using average investment and real rates of interest.  Average investment is the beginning value (labeled Dollars Invested in this template) plus the salvage value divided by two.  Once the average value is calculated, the average value is multiplied times the real rate of interest.  The real rate of interest is calculated as the nominal rate (the rate the bank quotes when you want to borrow money) minus the inflation rate.  The interest rate and the inflation rate were requested as input from the user in the last portion of the operating costs section above.  
The real rate of return is used so inflation is adjusted out of the cost calculations.  As this budgeting procedure is designed to reflect long run (3 to 5 years) average costs, real rates are used to eliminate the affects of inflation in cost calculations.  After adjusting for inflation, the opportunity cost (interest charge) is stated in terms of real dollars (real cost).
Since it would be very difficult to collect enough information about any particular indivduals debt structure by enterprise, interest is calculated using this opportunity cost approach.
</t>
        </r>
      </text>
    </comment>
    <comment ref="A159" authorId="0">
      <text>
        <r>
          <rPr>
            <b/>
            <sz val="8"/>
            <rFont val="Tahoma"/>
            <family val="0"/>
          </rPr>
          <t>Depreciation is calculated using standard Striaght Line Depreciation methods.  This ignores tax based depreciation allowed by the IRS and typically provides a better picture of what is happening to depreciable assets in the real world.
Straight Line Depreciation is calculated as:
Initial costs minus salvage value divided by years of useful life.</t>
        </r>
      </text>
    </comment>
    <comment ref="A161" authorId="0">
      <text>
        <r>
          <rPr>
            <b/>
            <sz val="8"/>
            <rFont val="Tahoma"/>
            <family val="0"/>
          </rPr>
          <t xml:space="preserve">Interest or opportunity costs are calculated using average investment and real rates of interest.  Average investment is the beginning value (labeled Dollars Invested in this template) plus the salvage value divided by two.  Once the average value is calculated, the average value is multiplied times the real rate of interest.  The real rate of interest is calculated as the nominal rate (the rate the bank quotes when you want to borrow money) minus the inflation rate.  The interest rate and the inflation rate were requested as input from the user in the last portion of the operating costs section above.  
The real rate of return is used so inflation is adjusted out of the cost calculations.  As this budgeting procedure is designed to reflect long run (3 to 5 years) average costs, real rates are used to eliminate the affects of inflation in cost calculations.  After adjusting for inflation, the opportunity cost (interest charge) is stated in terms of real dollars (real cost).
Since it would be very difficult to collect enough information about any particular indivduals debt structure by enterprise, interest is calculated using this opportunity cost approach.
</t>
        </r>
      </text>
    </comment>
    <comment ref="A178" authorId="0">
      <text>
        <r>
          <rPr>
            <b/>
            <sz val="8"/>
            <rFont val="Tahoma"/>
            <family val="0"/>
          </rPr>
          <t xml:space="preserve">Interest or opportunity costs are calculated using average investment and real rates of interest.  Average investment is the beginning value (labeled Dollars Invested in this template) plus the salvage value divided by two.  Once the average value is calculated, the average value is multiplied times the real rate of interest.  The real rate of interest is calculated as the nominal rate (the rate the bank quotes when you want to borrow money) minus the inflation rate.  The interest rate and the inflation rate were requested as input from the user in the last portion of the operating costs section above.  
The real rate of return is used so inflation is adjusted out of the cost calculations.  As this budgeting procedure is designed to reflect long run (3 to 5 years) average costs, real rates are used to eliminate the affects of inflation in cost calculations.  After adjusting for inflation, the opportunity cost (interest charge) is stated in terms of real dollars (real cost).
Since it would be very difficult to collect enough information about any particular indivduals debt structure by enterprise, interest is calculated using this opportunity cost approach.
</t>
        </r>
      </text>
    </comment>
    <comment ref="A188" authorId="0">
      <text>
        <r>
          <rPr>
            <b/>
            <sz val="8"/>
            <rFont val="Tahoma"/>
            <family val="0"/>
          </rPr>
          <t xml:space="preserve">Depreciation is calculated using standard Striaght Line Depreciation methods.  This ignores tax based depreciation allowed by the IRS and typically provides a better picture of what is happening to depreciable assets in the real world.
Straight Line Depreciation is calculated as:
Initial costs minus salvage value divided by years of useful life.
</t>
        </r>
      </text>
    </comment>
    <comment ref="A190" authorId="0">
      <text>
        <r>
          <rPr>
            <b/>
            <sz val="8"/>
            <rFont val="Tahoma"/>
            <family val="0"/>
          </rPr>
          <t xml:space="preserve">Interest or opportunity costs are calculated using average investment and real rates of interest.  Average investment is the beginning value (labeled Dollars Invested in this template) plus the salvage value divided by two.  Once the average value is calculated, the average value is multiplied times the real rate of interest.  The real rate of interest is calculated as the nominal rate (the rate the bank quotes when you want to borrow money) minus the inflation rate.  The interest rate and the inflation rate were requested as input from the user in the last portion of the operating costs section above.  
The real rate of return is used so inflation is adjusted out of the cost calculations.  As this budgeting procedure is designed to reflect long run (3 to 5 years) average costs, real rates are used to eliminate the affects of inflation in cost calculations.  After adjusting for inflation, the opportunity cost (interest charge) is stated in terms of real dollars (real cost).
Since it would be very difficult to collect enough information about any particular indivduals debt structure by enterprise, interest is calculated using this opportunity cost approach.
</t>
        </r>
      </text>
    </comment>
    <comment ref="A218" authorId="0">
      <text>
        <r>
          <rPr>
            <b/>
            <sz val="8"/>
            <rFont val="Tahoma"/>
            <family val="0"/>
          </rPr>
          <t xml:space="preserve">The tables below provide two approaches to financial analysis.  The Profitability approach looks at all income and expenses for the enterprise.  These may be either cash or non-cash.  This template includes both cash and non-cash income and expense items.  
A cash flow analysis considers only cash inflows and outflows.  As depreciation is a non cash expense, it is excluded from a cash flow analysis, for example.  
Principal payments are a cash outflow, but not an expense.  However, this template does not collect enough information to know what principal payments might be for a specific individual.  Users should be very careful when interpreting cash flow numbers included here.  Due to the difficulty of collecting information about principal and interest payments on assets that are financed, principal payments are not included in this cash flow analysis.  
</t>
        </r>
      </text>
    </comment>
    <comment ref="A252" authorId="0">
      <text>
        <r>
          <rPr>
            <b/>
            <sz val="8"/>
            <rFont val="Tahoma"/>
            <family val="2"/>
          </rPr>
          <t xml:space="preserve">The procedure for calculating ROI+ROA by the Farm Financial Standards Guidelines is as follows.  
Net Returns from Operations
+ Interest Expense
-  Value of operator &amp; Unpaid Family Labor and Management
divided by average total business assets
= ROI
In this template, interest expense are estimated using opportunity costs as acutal interest expense is difficult to collect.  This proxy for interest is used to calculate the ROI.  The user must also enter a figure for the value of operator and unpaid family labor and management.  This figure may be estimated as the opportunity cost of the labor and management provided to the entire operation.  The opportunity cost is the value of the labor and mangement in its next best alternative use.  An example is the salary yo might earn if not in agriculture.  This total must then be allowcated to this particular enterprise.  Total business assets in this instance are the asset values entered for this enterprise.  Hence the ROI is for the enteprise, not the entire farm/ranch unit, unless there is only the sheep enterprise.  Since this is a budgeting exercise and not an actual measurement of your operation, </t>
        </r>
        <r>
          <rPr>
            <b/>
            <sz val="8"/>
            <color indexed="10"/>
            <rFont val="Tahoma"/>
            <family val="2"/>
          </rPr>
          <t xml:space="preserve">be very careful of how you interpret this number.  
</t>
        </r>
        <r>
          <rPr>
            <b/>
            <sz val="8"/>
            <rFont val="Tahoma"/>
            <family val="2"/>
          </rPr>
          <t>ROI can only be calculated using profitability analysis.  The cash flow analysis will not provide a correct interpretation.</t>
        </r>
      </text>
    </comment>
    <comment ref="K224" authorId="0">
      <text>
        <r>
          <rPr>
            <b/>
            <sz val="8"/>
            <rFont val="Tahoma"/>
            <family val="0"/>
          </rPr>
          <t>This value will always be zero unless the Ewe Owner share calculated above is zero.  If the Ewe Owner share is zero that means the Tenant is the Ewe Owner and the numbers in this column will match the numbers for the entire Ewe Flock Enterprise (shown at left).</t>
        </r>
      </text>
    </comment>
    <comment ref="K226" authorId="0">
      <text>
        <r>
          <rPr>
            <b/>
            <sz val="8"/>
            <rFont val="Tahoma"/>
            <family val="0"/>
          </rPr>
          <t>This value will always be zero unless the Ewe Owner share calculated above is zero.  If the Ewe Owner share is zero that means the Tenant is the Ewe Owner and the numbers in this column will match the numbers for the entire Ewe Flock Enterprise (shown at left).</t>
        </r>
      </text>
    </comment>
    <comment ref="H250" authorId="0">
      <text>
        <r>
          <rPr>
            <b/>
            <sz val="8"/>
            <rFont val="Tahoma"/>
            <family val="0"/>
          </rPr>
          <t xml:space="preserve">While it is possible to calculate an ROI for the entire enterprise, it is not possible to include enough flexibility in this template to calculate an ROI for either the Ewe Owner or the Tenant.  </t>
        </r>
      </text>
    </comment>
    <comment ref="I224" authorId="0">
      <text>
        <r>
          <rPr>
            <b/>
            <sz val="8"/>
            <rFont val="Tahoma"/>
            <family val="0"/>
          </rPr>
          <t>This value will always be zero unless the Ewe Owner share calculated above is zero.  If the Ewe Owner share is zero that means the Tenant is the Ewe Owner and the numbers in this column will match the numbers for the entire Ewe Flock Enterprise (shown at left).</t>
        </r>
      </text>
    </comment>
    <comment ref="I229" authorId="0">
      <text>
        <r>
          <rPr>
            <b/>
            <sz val="8"/>
            <rFont val="Tahoma"/>
            <family val="0"/>
          </rPr>
          <t>This value will always be zero unless the Ewe Owner share calculated above is zero.  If the Ewe Owner share is zero that means the Tenant is the Ewe Owner and the numbers in this column will match the numbers for the entire Ewe Flock Enterprise (shown at left).</t>
        </r>
        <r>
          <rPr>
            <sz val="8"/>
            <rFont val="Tahoma"/>
            <family val="0"/>
          </rPr>
          <t xml:space="preserve">
</t>
        </r>
      </text>
    </comment>
    <comment ref="I230" authorId="0">
      <text>
        <r>
          <rPr>
            <b/>
            <sz val="8"/>
            <rFont val="Tahoma"/>
            <family val="0"/>
          </rPr>
          <t>This value will always be zero unless the Ewe Owner share calculated above is zero.  If the Ewe Owner share is zero that means the Tenant is the Ewe Owner and the numbers in this column will match the numbers for the entire Ewe Flock Enterprise (shown at left).</t>
        </r>
        <r>
          <rPr>
            <sz val="8"/>
            <rFont val="Tahoma"/>
            <family val="0"/>
          </rPr>
          <t xml:space="preserve">
</t>
        </r>
      </text>
    </comment>
    <comment ref="A250" authorId="0">
      <text>
        <r>
          <rPr>
            <b/>
            <sz val="8"/>
            <rFont val="Tahoma"/>
            <family val="0"/>
          </rPr>
          <t xml:space="preserve">Enter the value of unpaid family labor and management for the entire farm or ranch.  This value may not be the same as family living expenses drawn from the operation.  Family living may be more or less than the value of labor and management supplied.  The primary means of valuation is what that labor would earn in its next best alternative use, i.e. if not running the farm/ranch what would you be doing and what would the wages/salary be for that activity.  
</t>
        </r>
      </text>
    </comment>
    <comment ref="A251" authorId="0">
      <text>
        <r>
          <rPr>
            <b/>
            <sz val="8"/>
            <rFont val="Tahoma"/>
            <family val="0"/>
          </rPr>
          <t xml:space="preserve">Enter the percent of the total value of labor and management, entered directly above, that should be allocated to this particular enterprise.  For example, if the labor and management is worth $30,000 for the entire operation but only 40% of that total is applied to the sheep enterprise, then enter 40% here.  As an alternate method of data entry, you could enter $12,000 (40% of $30,000) for the total dollar value and then enter 100% here.  These numbers are used to calculate the ROI and the results will be identical. </t>
        </r>
      </text>
    </comment>
    <comment ref="A24" authorId="0">
      <text>
        <r>
          <rPr>
            <b/>
            <sz val="8"/>
            <rFont val="Tahoma"/>
            <family val="0"/>
          </rPr>
          <t xml:space="preserve">Note: The number entered here is not used in the calculations below for "Check on Breeding Ewe Numbers (Beginning to End)." That calculation is made using other information that has already been entered in this spreadsheet.  
It is not always the case that you would prepare a budget for a static operation.  An example would be to prepare a budget for a flock that is increasing in size due to additional replacements added to the flock each year above normal culling replacement needs. </t>
        </r>
      </text>
    </comment>
    <comment ref="B36" authorId="0">
      <text>
        <r>
          <rPr>
            <b/>
            <sz val="8"/>
            <rFont val="Tahoma"/>
            <family val="0"/>
          </rPr>
          <t xml:space="preserve">The number here does not necessarily have to match the number of replacement lambs kept. This number is simply the number of cull ewes sold.  It could be substantially smaller than the replacements calculated or the replacements kept due to death loss, predator problems, etc.  </t>
        </r>
      </text>
    </comment>
  </commentList>
</comments>
</file>

<file path=xl/comments3.xml><?xml version="1.0" encoding="utf-8"?>
<comments xmlns="http://schemas.openxmlformats.org/spreadsheetml/2006/main">
  <authors>
    <author>Duane Griffith</author>
  </authors>
  <commentList>
    <comment ref="F7" authorId="0">
      <text>
        <r>
          <rPr>
            <b/>
            <sz val="8"/>
            <color indexed="8"/>
            <rFont val="Tahoma"/>
            <family val="2"/>
          </rPr>
          <t>This is a calculated number and is rounded up if the calculation produces a fraction.</t>
        </r>
      </text>
    </comment>
    <comment ref="A19" authorId="0">
      <text>
        <r>
          <rPr>
            <b/>
            <sz val="8"/>
            <rFont val="Tahoma"/>
            <family val="0"/>
          </rPr>
          <t xml:space="preserve">Rams are typically purchased and depreciated over some period of time.  The revenue generated when they are sold is either a capital gain or a capital loss.  A capital gain is the revenue in excess of the rams book value.  A capital loss means the book value was greater than the revenue generated.  This treatment of cull ram income is associated with an individual ram in a given year.  For budgeting purposes, assume all rams are depreciated fully and the income generated when they are sold is capital gains.  The Farm Financial Standards Guidelines (FFSG) indicate that this income should be reported as capital gains but with other income that is reported as "ordinary," i.e. reported here.  Ordinary income is income generated under typical business operation.  
</t>
        </r>
      </text>
    </comment>
    <comment ref="A23" authorId="0">
      <text>
        <r>
          <rPr>
            <b/>
            <sz val="8"/>
            <rFont val="Tahoma"/>
            <family val="0"/>
          </rPr>
          <t xml:space="preserve">If replacement ewe lambs are kept from the lamb crop, enter zeros in this row.  </t>
        </r>
      </text>
    </comment>
    <comment ref="A99" authorId="0">
      <text>
        <r>
          <rPr>
            <b/>
            <sz val="10"/>
            <color indexed="8"/>
            <rFont val="Tahoma"/>
            <family val="2"/>
          </rPr>
          <t>Include the value of machinery, prorated if necessary, of all machinery and equipment used to feed and care for the livestock enterprise and the forage production enterprises, hay, grazing, straw, etc., necessary to feed the livestock.  
Include only the costs of machinery and equipment used in the ewe flock enterprise.  If necessary, prorate the values of the equipment used.  For example, if a tractor is worth $40,000 and is used only 30% of the time on the ewe flock enterprise, the "Dollars Invested" entered would not be $40,000 but $12,000.  The salvage value must also be prorated, if necessary.</t>
        </r>
        <r>
          <rPr>
            <b/>
            <sz val="10"/>
            <rFont val="Tahoma"/>
            <family val="2"/>
          </rPr>
          <t xml:space="preserve">
</t>
        </r>
        <r>
          <rPr>
            <b/>
            <sz val="10"/>
            <color indexed="10"/>
            <rFont val="Tahoma"/>
            <family val="2"/>
          </rPr>
          <t xml:space="preserve">
Do Not Double Count Expenses!!!!!
</t>
        </r>
        <r>
          <rPr>
            <b/>
            <sz val="10"/>
            <color indexed="8"/>
            <rFont val="Tahoma"/>
            <family val="2"/>
          </rPr>
          <t xml:space="preserve">
Please read the Help message next to feed costs above.</t>
        </r>
        <r>
          <rPr>
            <b/>
            <sz val="10"/>
            <color indexed="10"/>
            <rFont val="Tahoma"/>
            <family val="2"/>
          </rPr>
          <t xml:space="preserve">
</t>
        </r>
        <r>
          <rPr>
            <sz val="10"/>
            <rFont val="Tahoma"/>
            <family val="2"/>
          </rPr>
          <t xml:space="preserve">
</t>
        </r>
      </text>
    </comment>
    <comment ref="A111" authorId="0">
      <text>
        <r>
          <rPr>
            <b/>
            <sz val="8"/>
            <rFont val="Tahoma"/>
            <family val="0"/>
          </rPr>
          <t>Depreciation is calculated using standard Striaght Line Depreciation methods.  This ignores tax based depreciation allowed by the IRS and typically provides a better picture of what is happening to depreciable assets in the real world.
Straight Line Depreciation is calculated as:
Initial costs minus salvage value divided by years of useful life.</t>
        </r>
      </text>
    </comment>
    <comment ref="A113" authorId="0">
      <text>
        <r>
          <rPr>
            <b/>
            <sz val="8"/>
            <rFont val="Tahoma"/>
            <family val="0"/>
          </rPr>
          <t xml:space="preserve">Interest or opportunity costs are calculated using average investment and real rates of interest.  Average investment is the beginning value (labeled Dollars Invested in this template) plus the salvage value divided by two.  Once the average value is calculated, the average value is multiplied times the real rate of interest.  The real rate of interest is calculated as the nominal rate (the rate the bank quotes when you want to borrow money) minus the inflation rate.  The interest rate and the inflation rate were requested as input from the user in the last portion of the operating costs section above.  
The real rate of return is used so inflation is adjusted out of the cost calculations.  As this budgeting procedure is designed to reflect long run (3 to 5 years) average costs, real rates are used to eliminate the affects of inflation in cost calculations.  After adjusting for inflation, the opportunity cost (interest charge) is stated in terms of real dollars (real cost).
Since it would be very difficult to collect enough information about any particular indivduals debt structure by enterprise, interest is calculated using this opportunity cost approach.
</t>
        </r>
      </text>
    </comment>
    <comment ref="F113" authorId="0">
      <text>
        <r>
          <rPr>
            <b/>
            <sz val="8"/>
            <color indexed="8"/>
            <rFont val="Tahoma"/>
            <family val="2"/>
          </rPr>
          <t>The interest or opportunity costs charged here is calculated using the average value of the asset listed.  The formula is:
  (Dollars invested + Salvage value)/2 X real interest rate
Real interest rate is the stated (nominal rate) minus the inflation rate.</t>
        </r>
        <r>
          <rPr>
            <sz val="8"/>
            <color indexed="8"/>
            <rFont val="Tahoma"/>
            <family val="2"/>
          </rPr>
          <t xml:space="preserve">
</t>
        </r>
      </text>
    </comment>
    <comment ref="A122" authorId="0">
      <text>
        <r>
          <rPr>
            <b/>
            <sz val="8"/>
            <color indexed="10"/>
            <rFont val="Tahoma"/>
            <family val="2"/>
          </rPr>
          <t xml:space="preserve">
Do Not Double Count Expenses!!!!!
</t>
        </r>
        <r>
          <rPr>
            <b/>
            <sz val="8"/>
            <rFont val="Tahoma"/>
            <family val="2"/>
          </rPr>
          <t xml:space="preserve">
</t>
        </r>
        <r>
          <rPr>
            <b/>
            <sz val="8"/>
            <color indexed="8"/>
            <rFont val="Tahoma"/>
            <family val="2"/>
          </rPr>
          <t>Please read the Help message next to feed costs above.</t>
        </r>
        <r>
          <rPr>
            <b/>
            <sz val="8"/>
            <color indexed="10"/>
            <rFont val="Tahoma"/>
            <family val="2"/>
          </rPr>
          <t xml:space="preserve">
</t>
        </r>
        <r>
          <rPr>
            <sz val="8"/>
            <rFont val="Tahoma"/>
            <family val="0"/>
          </rPr>
          <t xml:space="preserve">
</t>
        </r>
      </text>
    </comment>
    <comment ref="A128" authorId="0">
      <text>
        <r>
          <rPr>
            <b/>
            <sz val="8"/>
            <rFont val="Tahoma"/>
            <family val="0"/>
          </rPr>
          <t>Depreciation is calculated using standard Striaght Line Depreciation methods.  This ignores tax based depreciation allowed by the IRS and typically provides a better picture of what is happening to depreciable assets in the real world.
Straight Line Depreciation is calculated as:
Initial costs minus salvage value divided by years of useful life.</t>
        </r>
      </text>
    </comment>
    <comment ref="A130" authorId="0">
      <text>
        <r>
          <rPr>
            <b/>
            <sz val="8"/>
            <rFont val="Tahoma"/>
            <family val="0"/>
          </rPr>
          <t xml:space="preserve">Interest or opportunity costs are calculated using average investment and real rates of interest.  Average investment is the beginning value (labeled Dollars Invested in this template) plus the salvage value divided by two.  Once the average value is calculated, the average value is multiplied times the real rate of interest.  The real rate of interest is calculated as the nominal rate (the rate the bank quotes when you want to borrow money) minus the inflation rate.  The interest rate and the inflation rate were requested as input from the user in the last portion of the operating costs section above.  
The real rate of return is used so inflation is adjusted out of the cost calculations.  As this budgeting procedure is designed to reflect long run (3 to 5 years) average costs, real rates are used to eliminate the affects of inflation in cost calculations.  After adjusting for inflation, the opportunity cost (interest charge) is stated in terms of real dollars (real cost).
Since it would be very difficult to collect enough information about any particular indivduals debt structure by enterprise, interest is calculated using this opportunity cost approach.
</t>
        </r>
      </text>
    </comment>
    <comment ref="F130" authorId="0">
      <text>
        <r>
          <rPr>
            <b/>
            <sz val="8"/>
            <color indexed="8"/>
            <rFont val="Tahoma"/>
            <family val="2"/>
          </rPr>
          <t xml:space="preserve">The interest or opportunity costs charged here is calculated using the average value of the asset listed.  The formula is:
  (Dollars invested + Salvage value)/2 X real interest rate
Real interest rate is the stated (nominal rate) minus the inflation rate.
</t>
        </r>
      </text>
    </comment>
    <comment ref="B132" authorId="0">
      <text>
        <r>
          <rPr>
            <b/>
            <sz val="10"/>
            <rFont val="Tahoma"/>
            <family val="2"/>
          </rPr>
          <t xml:space="preserve">Include the insurance for the buildings and improvements and also for other blanket insurance coverage, (liability, etc.) for the entire operation. </t>
        </r>
        <r>
          <rPr>
            <sz val="10"/>
            <rFont val="Tahoma"/>
            <family val="2"/>
          </rPr>
          <t xml:space="preserve">
</t>
        </r>
      </text>
    </comment>
    <comment ref="A136" authorId="0">
      <text>
        <r>
          <rPr>
            <b/>
            <sz val="10"/>
            <color indexed="8"/>
            <rFont val="Tahoma"/>
            <family val="2"/>
          </rPr>
          <t xml:space="preserve">Purchased feed costs and the lease amount for leased hay or grazing land should be listed under Feed Costs (above).  The value of owned land used to grow forage, concentrate, or provide AUMs is entered here.   Prorate as necessary, i.e. if only a portion of the barley crop raised was used for feed, do not include all acres of barley, only that portion used to raise what was actually fed.  This is true of forage crops also.  </t>
        </r>
        <r>
          <rPr>
            <b/>
            <sz val="10"/>
            <rFont val="Tahoma"/>
            <family val="2"/>
          </rPr>
          <t xml:space="preserve">
</t>
        </r>
        <r>
          <rPr>
            <b/>
            <sz val="10"/>
            <color indexed="10"/>
            <rFont val="Tahoma"/>
            <family val="2"/>
          </rPr>
          <t xml:space="preserve">
Do Not Double Count Expenses!!!!!
</t>
        </r>
        <r>
          <rPr>
            <b/>
            <sz val="10"/>
            <color indexed="8"/>
            <rFont val="Tahoma"/>
            <family val="2"/>
          </rPr>
          <t xml:space="preserve">
Please read the Help message next to feed costs above.</t>
        </r>
        <r>
          <rPr>
            <b/>
            <sz val="10"/>
            <color indexed="10"/>
            <rFont val="Tahoma"/>
            <family val="2"/>
          </rPr>
          <t xml:space="preserve">
</t>
        </r>
        <r>
          <rPr>
            <sz val="10"/>
            <rFont val="Tahoma"/>
            <family val="2"/>
          </rPr>
          <t xml:space="preserve">
</t>
        </r>
      </text>
    </comment>
    <comment ref="A147" authorId="0">
      <text>
        <r>
          <rPr>
            <b/>
            <sz val="8"/>
            <rFont val="Tahoma"/>
            <family val="0"/>
          </rPr>
          <t xml:space="preserve">Interest or opportunity costs are calculated using average investment and real rates of interest.  Average investment is the beginning value (labeled Dollars Invested in this template) plus the salvage value divided by two.  Once the average value is calculated, the average value is multiplied times the real rate of interest.  The real rate of interest is calculated as the nominal rate (the rate the bank quotes when you want to borrow money) minus the inflation rate.  The interest rate and the inflation rate were requested as input from the user in the last portion of the operating costs section above.  
The real rate of return is used so inflation is adjusted out of the cost calculations.  As this budgeting procedure is designed to reflect long run (3 to 5 years) average costs, real rates are used to eliminate the affects of inflation in cost calculations.  After adjusting for inflation, the opportunity cost (interest charge) is stated in terms of real dollars (real cost).
Since it would be very difficult to collect enough information about any particular indivduals debt structure by enterprise, interest is calculated using this opportunity cost approach.
</t>
        </r>
      </text>
    </comment>
    <comment ref="F147" authorId="0">
      <text>
        <r>
          <rPr>
            <b/>
            <sz val="8"/>
            <color indexed="8"/>
            <rFont val="Tahoma"/>
            <family val="2"/>
          </rPr>
          <t xml:space="preserve">The interest or opportunity costs charged here is calculated using the average value of the asset listed.  The formula is:
  (Dollars invested + Salvage value)/2 X real interest rate
Real interest rate is the stated (nominal rate) minus the inflation rate.
</t>
        </r>
      </text>
    </comment>
    <comment ref="A154" authorId="0">
      <text>
        <r>
          <rPr>
            <b/>
            <sz val="9"/>
            <color indexed="8"/>
            <rFont val="Times New Roman"/>
            <family val="1"/>
          </rPr>
          <t xml:space="preserve">Depreciation of the ewe flock </t>
        </r>
        <r>
          <rPr>
            <b/>
            <sz val="9"/>
            <color indexed="10"/>
            <rFont val="Times New Roman"/>
            <family val="1"/>
          </rPr>
          <t>for lease calculations and for cost of production estimates for your own operation should not</t>
        </r>
        <r>
          <rPr>
            <b/>
            <sz val="9"/>
            <color indexed="8"/>
            <rFont val="Times New Roman"/>
            <family val="1"/>
          </rPr>
          <t xml:space="preserve"> be entered if replacement ewes are provided by holding back  replacement ewe lambs at weaning.  While an individual ewe may be depreciating, (wearing out) over some period of time, the ewe flock does not wear out if normal replacement practices are carried out.  Replacement ewe lamb development espense should already be included in expenses you have entered in this budget.  Including a depreciation expense will double count the costs already included in the template above (feed, vet &amp; med, labor, etc, etc.) for replacement ewe development costs.  
If this template is being used to esitmate costs of production for your own ewe flock operation, and the normal practice is to keep a portion of the annual ewe lamb crop for replacements, then </t>
        </r>
        <r>
          <rPr>
            <b/>
            <sz val="9"/>
            <color indexed="10"/>
            <rFont val="Times New Roman"/>
            <family val="1"/>
          </rPr>
          <t>do not</t>
        </r>
        <r>
          <rPr>
            <b/>
            <sz val="9"/>
            <color indexed="8"/>
            <rFont val="Times New Roman"/>
            <family val="1"/>
          </rPr>
          <t xml:space="preserve"> fill in the cells at right for "Useful Life Yrs," and "Salvage Value."    You will note that the "Dollars Invested" is a calculated number.  This number is based on the number and average value of ewes enterd at the top of this spreadsheet.  It is necessary to use this number to calculate interest on investment.  
</t>
        </r>
        <r>
          <rPr>
            <b/>
            <sz val="9"/>
            <color indexed="12"/>
            <rFont val="Times New Roman"/>
            <family val="1"/>
          </rPr>
          <t>When do you enter numbers for Depreciation????</t>
        </r>
        <r>
          <rPr>
            <b/>
            <sz val="9"/>
            <color indexed="8"/>
            <rFont val="Times New Roman"/>
            <family val="1"/>
          </rPr>
          <t xml:space="preserve">
If replacements are purchased each year from outside the ewe flock, then a </t>
        </r>
        <r>
          <rPr>
            <b/>
            <sz val="9"/>
            <color indexed="10"/>
            <rFont val="Times New Roman"/>
            <family val="1"/>
          </rPr>
          <t>replacement allowance or deprecation expense</t>
        </r>
        <r>
          <rPr>
            <b/>
            <sz val="9"/>
            <color indexed="8"/>
            <rFont val="Times New Roman"/>
            <family val="1"/>
          </rPr>
          <t xml:space="preserve"> can be included.  This replacement allowance is calculated using standard economic depreciation calculations (straight line depreciation).  This assumes that the ewe flock is in a steady state, neither increasing or decreasing in size.   If replacements are purchased, then enter numbers for useful life in years and salvage value.
Straight line depreciation is the beginning value minus ending value divided by years of useful life.   
 </t>
        </r>
      </text>
    </comment>
    <comment ref="A157" authorId="0">
      <text>
        <r>
          <rPr>
            <b/>
            <sz val="8"/>
            <rFont val="Tahoma"/>
            <family val="0"/>
          </rPr>
          <t xml:space="preserve">Depreciation is calculated using standard Striaght Line Depreciation methods.  This ignores tax based depreciation allowed by the IRS and typically provides a better picture of what is happening to depreciable assets in the real world.
Straight Line Depreciation is calculated as:
Initial costs minus salvage value divided by years of useful life.
</t>
        </r>
      </text>
    </comment>
    <comment ref="A159" authorId="0">
      <text>
        <r>
          <rPr>
            <b/>
            <sz val="8"/>
            <rFont val="Tahoma"/>
            <family val="0"/>
          </rPr>
          <t xml:space="preserve">Interest or opportunity costs are calculated using average investment and real rates of interest.  Average investment is the beginning value (labeled Dollars Invested in this template) plus the salvage value divided by two.  Once the average value is calculated, the average value is multiplied times the real rate of interest.  The real rate of interest is calculated as the nominal rate (the rate the bank quotes when you want to borrow money) minus the inflation rate.  The interest rate and the inflation rate were requested as input from the user in the last portion of the operating costs section above.  
The real rate of return is used so inflation is adjusted out of the cost calculations.  As this budgeting procedure is designed to reflect long run (3 to 5 years) average costs, real rates are used to eliminate the affects of inflation in cost calculations.  After adjusting for inflation, the opportunity cost (interest charge) is stated in terms of real dollars (real cost).
Since it would be very difficult to collect enough information about any particular indivduals debt structure by enterprise, interest is calculated using this opportunity cost approach.
</t>
        </r>
      </text>
    </comment>
    <comment ref="F159" authorId="0">
      <text>
        <r>
          <rPr>
            <b/>
            <sz val="8"/>
            <rFont val="Tahoma"/>
            <family val="0"/>
          </rPr>
          <t xml:space="preserve">The interest or opportunity costs charged here is calculated using the average value of the asset listed.  The formula is:
  (Dollars invested + Salvage value)/2 X real interest rate
Real interest rate is the stated (nominal rate) minus the inflation rate.
</t>
        </r>
        <r>
          <rPr>
            <sz val="8"/>
            <rFont val="Tahoma"/>
            <family val="0"/>
          </rPr>
          <t xml:space="preserve">
</t>
        </r>
      </text>
    </comment>
    <comment ref="A167" authorId="0">
      <text>
        <r>
          <rPr>
            <b/>
            <sz val="8"/>
            <rFont val="Tahoma"/>
            <family val="0"/>
          </rPr>
          <t xml:space="preserve">Enter the value of unpaid family labor and management for the entire farm or ranch.  This value may not be the same as family living expenses drawn from the operation.  Family living may be more or less than the value of labor and management supplied.  The primary means of valuation is what that labor would earn in its next best alternative use, i.e. if not running the farm/ranch what would you be doing and what would the wages/salary be for that activity.  
</t>
        </r>
      </text>
    </comment>
    <comment ref="A168" authorId="0">
      <text>
        <r>
          <rPr>
            <b/>
            <sz val="8"/>
            <rFont val="Tahoma"/>
            <family val="0"/>
          </rPr>
          <t xml:space="preserve">Enter the percent of the total value of labor and management, entered directly above, that should be allocated to this particular enterprise.  For example, if the labor and management is worth $30,000 for the entire operation but only 40% of that total is applied to the sheep enterprise, then enter 40% here.  As an alternate method of data entry, you could enter $12,000 (40% of $30,000) for the total dollar value and then enter 100% here.  These numbers are used to calculate the ROI and the results will be identical. </t>
        </r>
      </text>
    </comment>
    <comment ref="A36" authorId="0">
      <text>
        <r>
          <rPr>
            <b/>
            <sz val="10"/>
            <color indexed="8"/>
            <rFont val="Tahoma"/>
            <family val="2"/>
          </rPr>
          <t xml:space="preserve">Care must be taken when reporting feed costs.  You should report all purchased feed costs here.  For raised feed on your own land, or leased land report the cost of inputs necessary for the hay enterprise (fuel, oil, repairs, cash labor, twine and other supplies, water costs, etc.) in the appropriate places below.  This is also true of owned grazing or leased grazing land.  Leased costs for the land can be reported in the feed cost section ($ per acre, $ per ton, $ per aum) but additional costs necessary to put up should also be reported.  The expenses reported should also be prorated to adjust for the amount of feed actually utilized by the ewe flock enterprise.  For example, if you raise 400 ton of hay per year but only feed 300 ton and the excess production is sold as a cash crop, include only expenses for producing the 300 ton fed to the ewe flock enterprise.  
Summary:
1. Report all purchase fed and AUMs of grazing
2. Report the lease costs for any leased land involved in hay or grazing  AND
3. Report the expense associated with producing hay or maintaining grazing.
</t>
        </r>
        <r>
          <rPr>
            <b/>
            <sz val="10"/>
            <color indexed="10"/>
            <rFont val="Tahoma"/>
            <family val="2"/>
          </rPr>
          <t>Do Not Double Count Expenses!!!!!</t>
        </r>
        <r>
          <rPr>
            <sz val="10"/>
            <rFont val="Tahoma"/>
            <family val="2"/>
          </rPr>
          <t xml:space="preserve">
</t>
        </r>
      </text>
    </comment>
    <comment ref="A51" authorId="0">
      <text>
        <r>
          <rPr>
            <b/>
            <sz val="8"/>
            <color indexed="10"/>
            <rFont val="Tahoma"/>
            <family val="2"/>
          </rPr>
          <t xml:space="preserve">
Do Not Double Count Expenses!!!!!
</t>
        </r>
        <r>
          <rPr>
            <b/>
            <sz val="8"/>
            <rFont val="Tahoma"/>
            <family val="2"/>
          </rPr>
          <t xml:space="preserve">
</t>
        </r>
        <r>
          <rPr>
            <b/>
            <sz val="8"/>
            <color indexed="8"/>
            <rFont val="Tahoma"/>
            <family val="2"/>
          </rPr>
          <t>Please read the Help message next to feed costs above.</t>
        </r>
        <r>
          <rPr>
            <b/>
            <sz val="8"/>
            <color indexed="10"/>
            <rFont val="Tahoma"/>
            <family val="2"/>
          </rPr>
          <t xml:space="preserve">
</t>
        </r>
        <r>
          <rPr>
            <sz val="8"/>
            <rFont val="Tahoma"/>
            <family val="0"/>
          </rPr>
          <t xml:space="preserve">
</t>
        </r>
      </text>
    </comment>
    <comment ref="A66" authorId="0">
      <text>
        <r>
          <rPr>
            <b/>
            <sz val="8"/>
            <color indexed="10"/>
            <rFont val="Tahoma"/>
            <family val="2"/>
          </rPr>
          <t xml:space="preserve">
Do Not Double Count Expenses!!!!!
</t>
        </r>
        <r>
          <rPr>
            <b/>
            <sz val="8"/>
            <color indexed="8"/>
            <rFont val="Tahoma"/>
            <family val="2"/>
          </rPr>
          <t xml:space="preserve">
Please read the Help message next to feed costs above.</t>
        </r>
        <r>
          <rPr>
            <b/>
            <sz val="8"/>
            <color indexed="10"/>
            <rFont val="Tahoma"/>
            <family val="2"/>
          </rPr>
          <t xml:space="preserve">
</t>
        </r>
        <r>
          <rPr>
            <sz val="8"/>
            <rFont val="Tahoma"/>
            <family val="0"/>
          </rPr>
          <t xml:space="preserve">
</t>
        </r>
      </text>
    </comment>
    <comment ref="A90" authorId="0">
      <text>
        <r>
          <rPr>
            <b/>
            <sz val="8"/>
            <rFont val="Tahoma"/>
            <family val="0"/>
          </rPr>
          <t xml:space="preserve">Interest on operating costs are calculated as follows:
 Total operating costs 
  * Annual Interest Rate                                              (User Entered) 
  * Avg. Numvber of Months Money Borrowed            (User Entered)
  = Total Interest Charge
</t>
        </r>
      </text>
    </comment>
  </commentList>
</comments>
</file>

<file path=xl/sharedStrings.xml><?xml version="1.0" encoding="utf-8"?>
<sst xmlns="http://schemas.openxmlformats.org/spreadsheetml/2006/main" count="729" uniqueCount="368">
  <si>
    <t>Cull Rate</t>
  </si>
  <si>
    <t>Value of Production</t>
  </si>
  <si>
    <t>Value of Production for Actual Cash Sales</t>
  </si>
  <si>
    <t>Price</t>
  </si>
  <si>
    <t>Pounds</t>
  </si>
  <si>
    <t>Value Per</t>
  </si>
  <si>
    <t>Quantity</t>
  </si>
  <si>
    <t>Weight</t>
  </si>
  <si>
    <t>Per Pound</t>
  </si>
  <si>
    <t>Produced</t>
  </si>
  <si>
    <t>Head</t>
  </si>
  <si>
    <t>Total Value</t>
  </si>
  <si>
    <t xml:space="preserve"> </t>
  </si>
  <si>
    <t>Cash</t>
  </si>
  <si>
    <t>Revenue</t>
  </si>
  <si>
    <t>Totals</t>
  </si>
  <si>
    <t>Base Value</t>
  </si>
  <si>
    <t>Per Head</t>
  </si>
  <si>
    <t>Total</t>
  </si>
  <si>
    <r>
      <t>Non-Cash Adjustments</t>
    </r>
    <r>
      <rPr>
        <b/>
        <sz val="12"/>
        <rFont val="Times New Roman"/>
        <family val="1"/>
      </rPr>
      <t xml:space="preserve"> to the "Cash" Value of Production </t>
    </r>
  </si>
  <si>
    <t>Per Brood</t>
  </si>
  <si>
    <t xml:space="preserve">If the numbers entered show significant variation from the beginning to the end of the year in the numbers check below, </t>
  </si>
  <si>
    <t>Number</t>
  </si>
  <si>
    <t>Dollar Value</t>
  </si>
  <si>
    <t xml:space="preserve"> +</t>
  </si>
  <si>
    <t xml:space="preserve"> -</t>
  </si>
  <si>
    <t>+</t>
  </si>
  <si>
    <t>Death Loss</t>
  </si>
  <si>
    <t xml:space="preserve"> =</t>
  </si>
  <si>
    <t>Ending Inventory</t>
  </si>
  <si>
    <t>Template Options and Explanations:</t>
  </si>
  <si>
    <t>Continued</t>
  </si>
  <si>
    <t>Value</t>
  </si>
  <si>
    <t>Feed Costs (Raised and Purchased)</t>
  </si>
  <si>
    <t>Units</t>
  </si>
  <si>
    <t>Share (%)</t>
  </si>
  <si>
    <t>Share ($)</t>
  </si>
  <si>
    <t>Ton</t>
  </si>
  <si>
    <t>AUM</t>
  </si>
  <si>
    <t>Salt &amp; Mineral</t>
  </si>
  <si>
    <t>Crop Residue</t>
  </si>
  <si>
    <t>Straw</t>
  </si>
  <si>
    <t>Other</t>
  </si>
  <si>
    <t>Subtotal of Feed Costs</t>
  </si>
  <si>
    <t>Operating Costs Directly Associated With Livestock Care and Handling</t>
  </si>
  <si>
    <t>Vet and Medicine</t>
  </si>
  <si>
    <t>Livestock Hauling (Not Related to Marketing)</t>
  </si>
  <si>
    <t>Professional Fees (Dues, Subscriptions, Legal, etc.)</t>
  </si>
  <si>
    <t>Hired Labor</t>
  </si>
  <si>
    <t>Marketing Costs</t>
  </si>
  <si>
    <t>Price/Unit</t>
  </si>
  <si>
    <t>No. of Units</t>
  </si>
  <si>
    <t xml:space="preserve">  Sales Commission</t>
  </si>
  <si>
    <t xml:space="preserve">  Hauling to Market </t>
  </si>
  <si>
    <t xml:space="preserve">  Yardage</t>
  </si>
  <si>
    <t>Custom Hire</t>
  </si>
  <si>
    <t>Rent or Lease (Vehicle, Machinery, Equipment)</t>
  </si>
  <si>
    <t>Utilities</t>
  </si>
  <si>
    <t>Supplies</t>
  </si>
  <si>
    <t>Operating Costs of Facilities and Equip. Used in Lvstk Production.</t>
  </si>
  <si>
    <t>Operating Costs of Equipment (Fuel, Oil, Repairs)</t>
  </si>
  <si>
    <t>Operating Costs on Machinery (Fuel, Oil, Repairs)</t>
  </si>
  <si>
    <t>Operating Costs of Vehicles (Fuel, Oil, Repairs)</t>
  </si>
  <si>
    <t>Facility Repairs and Maintenance</t>
  </si>
  <si>
    <t xml:space="preserve">   Fences</t>
  </si>
  <si>
    <t xml:space="preserve">   Corrals</t>
  </si>
  <si>
    <t xml:space="preserve">   Buildings</t>
  </si>
  <si>
    <t xml:space="preserve">   Water Facilities</t>
  </si>
  <si>
    <t>Rent or Lease</t>
  </si>
  <si>
    <t xml:space="preserve">Supplies </t>
  </si>
  <si>
    <t>SUBTOTAL OTHER VARIABLE COSTS</t>
  </si>
  <si>
    <t>Interest on Operating Costs</t>
  </si>
  <si>
    <t xml:space="preserve">Sum of Operating Costs x Months Borrowed </t>
  </si>
  <si>
    <t>x Interest Rate Per Month</t>
  </si>
  <si>
    <t>Annual Interest Rate (11% = .11)</t>
  </si>
  <si>
    <t>Avg. Number of Months Money Borrowed</t>
  </si>
  <si>
    <t>Annual Inflation Rate ( 9% = .09)</t>
  </si>
  <si>
    <t xml:space="preserve">       Total Interest Cost (Real Rate of Interest)</t>
  </si>
  <si>
    <t xml:space="preserve">Total Operating Costs </t>
  </si>
  <si>
    <t>Tenants</t>
  </si>
  <si>
    <t xml:space="preserve">Returns Above Total Operating Costs </t>
  </si>
  <si>
    <t>Dollars</t>
  </si>
  <si>
    <t>Useful</t>
  </si>
  <si>
    <t>Salvage</t>
  </si>
  <si>
    <t>Calculated</t>
  </si>
  <si>
    <t>Depreciation</t>
  </si>
  <si>
    <t>Item Name</t>
  </si>
  <si>
    <t>Invested</t>
  </si>
  <si>
    <t>Life Yrs</t>
  </si>
  <si>
    <t>Tractor</t>
  </si>
  <si>
    <t>Tractor #2</t>
  </si>
  <si>
    <t>Pickup#1</t>
  </si>
  <si>
    <t>Pickup #2</t>
  </si>
  <si>
    <t>Lvstk Handling Equip</t>
  </si>
  <si>
    <t>Waters</t>
  </si>
  <si>
    <t>Interest (Opportunity Cost Using Real Rate of Int.)</t>
  </si>
  <si>
    <t>Personal Prop. Taxes on Mach &amp; Equip Used for Lvstk</t>
  </si>
  <si>
    <t>Insurance</t>
  </si>
  <si>
    <t>Barn</t>
  </si>
  <si>
    <t>Personal Property Taxes and Buildings &amp; Imprv.</t>
  </si>
  <si>
    <t>Parcel Description</t>
  </si>
  <si>
    <t>No. Acres</t>
  </si>
  <si>
    <t>Value/Acre</t>
  </si>
  <si>
    <t>Hay Base</t>
  </si>
  <si>
    <t>Real Estate Taxes</t>
  </si>
  <si>
    <t>Personal Property Taxes</t>
  </si>
  <si>
    <t>Tenant's</t>
  </si>
  <si>
    <t>Total Ownership Costs</t>
  </si>
  <si>
    <t>Share of</t>
  </si>
  <si>
    <t xml:space="preserve">Share of </t>
  </si>
  <si>
    <t>Total Costs (Operating Plus Ownership)</t>
  </si>
  <si>
    <t>Ownership ($)</t>
  </si>
  <si>
    <t>Non-Cash Revenue Adjustment for Death Loss</t>
  </si>
  <si>
    <t>Breakeven Calculations</t>
  </si>
  <si>
    <t>Operating</t>
  </si>
  <si>
    <t>+ Ownership</t>
  </si>
  <si>
    <t>Costs</t>
  </si>
  <si>
    <t>Weighted Average Weaning Weights</t>
  </si>
  <si>
    <t>Weighted Average</t>
  </si>
  <si>
    <t>Weaning Weights</t>
  </si>
  <si>
    <t>Percentages And Market Prices</t>
  </si>
  <si>
    <t>Percentages And Market Prices (Contribution Towards Ownership Costs)</t>
  </si>
  <si>
    <t>Help</t>
  </si>
  <si>
    <t>Interpretation of percentage split calculation</t>
  </si>
  <si>
    <t>Initial</t>
  </si>
  <si>
    <t>Percentage</t>
  </si>
  <si>
    <t>Weighted Avg.</t>
  </si>
  <si>
    <t>Weaning Wgt.</t>
  </si>
  <si>
    <r>
      <t>Raised</t>
    </r>
    <r>
      <rPr>
        <b/>
        <sz val="10"/>
        <rFont val="Times New Roman"/>
        <family val="1"/>
      </rPr>
      <t xml:space="preserve"> Replacements </t>
    </r>
  </si>
  <si>
    <r>
      <t xml:space="preserve">Net Returns Above </t>
    </r>
    <r>
      <rPr>
        <b/>
        <sz val="10"/>
        <color indexed="10"/>
        <rFont val="Times New Roman"/>
        <family val="1"/>
      </rPr>
      <t>Total Costs</t>
    </r>
  </si>
  <si>
    <r>
      <t xml:space="preserve">Net Returns Above </t>
    </r>
    <r>
      <rPr>
        <b/>
        <sz val="10"/>
        <color indexed="10"/>
        <rFont val="Times New Roman"/>
        <family val="1"/>
      </rPr>
      <t>Operating Costs</t>
    </r>
    <r>
      <rPr>
        <b/>
        <sz val="10"/>
        <rFont val="Times New Roman"/>
        <family val="1"/>
      </rPr>
      <t xml:space="preserve"> (Contribution Towards Ownership Costs)</t>
    </r>
  </si>
  <si>
    <t>Tenant's Share of Total Cost of Production</t>
  </si>
  <si>
    <t>Tenant Share</t>
  </si>
  <si>
    <t>Lease Percent based on cost share</t>
  </si>
  <si>
    <t xml:space="preserve">Check for updates to this software at the following web site </t>
  </si>
  <si>
    <t>Farm Management Specialist at Montana State University</t>
  </si>
  <si>
    <t>Discount percent for cash lease amount</t>
  </si>
  <si>
    <t/>
  </si>
  <si>
    <t>Set increment value for table below</t>
  </si>
  <si>
    <t xml:space="preserve">         after adjusting by an agreed upon discount for receiving a certain cash lease</t>
  </si>
  <si>
    <t xml:space="preserve">          Table values are based on expected yields and prices entered earlier.</t>
  </si>
  <si>
    <t>Flexible Cash Lease</t>
  </si>
  <si>
    <t>Expected Price</t>
  </si>
  <si>
    <t>Price Ratio</t>
  </si>
  <si>
    <t>Subtotal</t>
  </si>
  <si>
    <t>Weight Ratio</t>
  </si>
  <si>
    <t>Lease Analysis for this example, if the lease information was completed</t>
  </si>
  <si>
    <t>All</t>
  </si>
  <si>
    <t>All Operating</t>
  </si>
  <si>
    <t>Note: Please Read</t>
  </si>
  <si>
    <t>Written by Duane Griffith</t>
  </si>
  <si>
    <t>Net Market</t>
  </si>
  <si>
    <r>
      <t xml:space="preserve">Straight Cash Lease </t>
    </r>
    <r>
      <rPr>
        <b/>
        <sz val="12"/>
        <color indexed="10"/>
        <rFont val="Times New Roman"/>
        <family val="1"/>
      </rPr>
      <t>Sensitivity Table</t>
    </r>
  </si>
  <si>
    <r>
      <t>Machinery and Equipment</t>
    </r>
    <r>
      <rPr>
        <b/>
        <sz val="12"/>
        <rFont val="Times New Roman"/>
        <family val="1"/>
      </rPr>
      <t xml:space="preserve"> used for Livestock</t>
    </r>
  </si>
  <si>
    <r>
      <t>Buildings and Improvements</t>
    </r>
    <r>
      <rPr>
        <b/>
        <sz val="12"/>
        <rFont val="Times New Roman"/>
        <family val="1"/>
      </rPr>
      <t xml:space="preserve"> Used for Livestock</t>
    </r>
  </si>
  <si>
    <r>
      <t xml:space="preserve">Owned Land </t>
    </r>
    <r>
      <rPr>
        <b/>
        <sz val="12"/>
        <rFont val="Times New Roman"/>
        <family val="1"/>
      </rPr>
      <t>Used for Livestock Operations</t>
    </r>
  </si>
  <si>
    <t>check sum</t>
  </si>
  <si>
    <r>
      <t>Total revenue when adjusted for</t>
    </r>
    <r>
      <rPr>
        <b/>
        <sz val="10"/>
        <color indexed="10"/>
        <rFont val="Times New Roman"/>
        <family val="1"/>
      </rPr>
      <t xml:space="preserve"> price and weight</t>
    </r>
    <r>
      <rPr>
        <b/>
        <sz val="10"/>
        <rFont val="Times New Roman"/>
        <family val="1"/>
      </rPr>
      <t xml:space="preserve"> variations</t>
    </r>
  </si>
  <si>
    <t>Weighted Average Sale Price</t>
  </si>
  <si>
    <t>Weighted Average Sales Weight</t>
  </si>
  <si>
    <t>Profitability</t>
  </si>
  <si>
    <t>Cash Flow</t>
  </si>
  <si>
    <t xml:space="preserve">Total Revenue </t>
  </si>
  <si>
    <t>Total Operating Costs of Production</t>
  </si>
  <si>
    <t>Total Costs (Operating and Ownership)</t>
  </si>
  <si>
    <t>Share</t>
  </si>
  <si>
    <t xml:space="preserve">Based on </t>
  </si>
  <si>
    <t>Percent Cost</t>
  </si>
  <si>
    <t>Share based</t>
  </si>
  <si>
    <t>On Percent</t>
  </si>
  <si>
    <t>Cost Share</t>
  </si>
  <si>
    <t>Net Returns Above Operating Plus Ownership Costs</t>
  </si>
  <si>
    <t>Percent total Revenue (Cash and Non-Cash)  &gt;&gt;</t>
  </si>
  <si>
    <r>
      <t>Note-</t>
    </r>
    <r>
      <rPr>
        <b/>
        <sz val="11"/>
        <color indexed="10"/>
        <rFont val="Times New Roman"/>
        <family val="1"/>
      </rPr>
      <t>Read</t>
    </r>
  </si>
  <si>
    <t>Graphics of Income and Expenses to right of this table.  (Column R)</t>
  </si>
  <si>
    <t xml:space="preserve">   Feed Costs</t>
  </si>
  <si>
    <t xml:space="preserve">   Operating Costs Associated with Lvstk Care</t>
  </si>
  <si>
    <t xml:space="preserve">   Facilities and Equipment Operating Costs</t>
  </si>
  <si>
    <t xml:space="preserve">   Interest on Operating Costs</t>
  </si>
  <si>
    <t>Taxes</t>
  </si>
  <si>
    <t>Ownership Costs (Fixed Costs)</t>
  </si>
  <si>
    <t xml:space="preserve">   Depreciation</t>
  </si>
  <si>
    <t xml:space="preserve">   Insurance</t>
  </si>
  <si>
    <t xml:space="preserve">   Taxes</t>
  </si>
  <si>
    <t>Operating Costs (Variable Costs)</t>
  </si>
  <si>
    <t>Expense Labels</t>
  </si>
  <si>
    <t>Lvstk Care</t>
  </si>
  <si>
    <t>Feed Costs</t>
  </si>
  <si>
    <t>Facilities &amp; Equip.</t>
  </si>
  <si>
    <t>Interest, Variable</t>
  </si>
  <si>
    <t>Revenue Labels</t>
  </si>
  <si>
    <t>Interest, Fixed</t>
  </si>
  <si>
    <t xml:space="preserve">   Interest (Opportunity Cost)</t>
  </si>
  <si>
    <t>Sources of Revenue</t>
  </si>
  <si>
    <t>Number of ewes</t>
  </si>
  <si>
    <t>Value of Avg Ewe in Breeding Flock</t>
  </si>
  <si>
    <t xml:space="preserve">   Weaning Percentage</t>
  </si>
  <si>
    <t xml:space="preserve">   Rep. Lambs Needed</t>
  </si>
  <si>
    <t xml:space="preserve">   Rep. Lambs Kept</t>
  </si>
  <si>
    <t>Other Income  (Wool and …..)</t>
  </si>
  <si>
    <t>Cull Ram Sales</t>
  </si>
  <si>
    <t>Wether</t>
  </si>
  <si>
    <t>Ewe Lambs</t>
  </si>
  <si>
    <t>Cull Ewe Sales</t>
  </si>
  <si>
    <t>Total Pounds Produced From Wethers and Ewe Lambs</t>
  </si>
  <si>
    <t>Per</t>
  </si>
  <si>
    <t>Breeding Ewe</t>
  </si>
  <si>
    <t>Per Ewe</t>
  </si>
  <si>
    <t>Ewe</t>
  </si>
  <si>
    <t>Replacement Ewe Lambs</t>
  </si>
  <si>
    <r>
      <t>Purchased</t>
    </r>
    <r>
      <rPr>
        <b/>
        <sz val="10"/>
        <rFont val="Times New Roman"/>
        <family val="1"/>
      </rPr>
      <t xml:space="preserve"> Replacement Ewes/Lambs</t>
    </r>
  </si>
  <si>
    <t>Transferred of Raised Ewe Lambs To Breeding</t>
  </si>
  <si>
    <t>Death Loss of Replacement Ewe Lambs</t>
  </si>
  <si>
    <t>Total Revenue (Lamb &amp; Non-Lamb, Cash and Non-Cash)</t>
  </si>
  <si>
    <t>Since this is a "budget" for a typical years operation, ewe flock size should not vary significantly from the beginning to the end of the year.</t>
  </si>
  <si>
    <t>adjust the cull ewe numbers, death loss, or replacement ewe lamb numbers until that variation is eliminated.</t>
  </si>
  <si>
    <t>Beginning Inventory of Ewes</t>
  </si>
  <si>
    <t>Raised Replacement Lambs Kept</t>
  </si>
  <si>
    <t>Excess Raised Rep. Ewe Lambs Sold</t>
  </si>
  <si>
    <t>Purchased Replacement Lambs</t>
  </si>
  <si>
    <t>Death Loss Breeding Ewes</t>
  </si>
  <si>
    <t>Death Loss Replacement Ewes Lambs</t>
  </si>
  <si>
    <t>EweCost</t>
  </si>
  <si>
    <r>
      <t>Operating</t>
    </r>
    <r>
      <rPr>
        <b/>
        <sz val="14"/>
        <rFont val="Times New Roman"/>
        <family val="1"/>
      </rPr>
      <t xml:space="preserve"> Costs for a Ewe Flock Enterprise</t>
    </r>
  </si>
  <si>
    <t>Ewe Owner</t>
  </si>
  <si>
    <t xml:space="preserve">    (Excluding Replacement Ewe Lambs Non-Cash Revenue; Includes Death Loss)</t>
  </si>
  <si>
    <r>
      <t xml:space="preserve">Ownership </t>
    </r>
    <r>
      <rPr>
        <b/>
        <sz val="14"/>
        <rFont val="Times New Roman"/>
        <family val="1"/>
      </rPr>
      <t>Costs for a Ewe Flock Enterprise</t>
    </r>
  </si>
  <si>
    <t>Livestock -- Ewe Flock</t>
  </si>
  <si>
    <t>Rams</t>
  </si>
  <si>
    <t>Breeding Ewes</t>
  </si>
  <si>
    <r>
      <t>Returns Above Total Costs (</t>
    </r>
    <r>
      <rPr>
        <b/>
        <sz val="10"/>
        <color indexed="10"/>
        <rFont val="Times New Roman"/>
        <family val="1"/>
      </rPr>
      <t>Excludes</t>
    </r>
    <r>
      <rPr>
        <b/>
        <sz val="10"/>
        <rFont val="Times New Roman"/>
        <family val="1"/>
      </rPr>
      <t xml:space="preserve"> Rep Ewe Lamb Non-Cash $; Includes Death Loss)</t>
    </r>
  </si>
  <si>
    <r>
      <t>Returns Above Total Costs (</t>
    </r>
    <r>
      <rPr>
        <b/>
        <sz val="10"/>
        <color indexed="10"/>
        <rFont val="Times New Roman"/>
        <family val="1"/>
      </rPr>
      <t>Includes</t>
    </r>
    <r>
      <rPr>
        <b/>
        <sz val="10"/>
        <rFont val="Times New Roman"/>
        <family val="1"/>
      </rPr>
      <t xml:space="preserve"> Rep Ewe Lamb Non-Cash $; Includes Death Loss)</t>
    </r>
  </si>
  <si>
    <t>EweOwner share of Total Cost of Production</t>
  </si>
  <si>
    <t>Profitability and Cash Flow Summary for the Ewe Flock Enterprise</t>
  </si>
  <si>
    <t>For Entire Ewe Flock Enterprise</t>
  </si>
  <si>
    <t>Ewe Flock Enterprise divided among leasee and leasor</t>
  </si>
  <si>
    <t xml:space="preserve">Ewe Owner </t>
  </si>
  <si>
    <t>Cull Ewes</t>
  </si>
  <si>
    <t>Excess Rep Ewe Lambs</t>
  </si>
  <si>
    <t>Cull Rams</t>
  </si>
  <si>
    <t>Cash Revenue from Ewe Flock Enterprise -- Subtotal</t>
  </si>
  <si>
    <t>Non-Cash Revenue Adjustment - Rep Ewe Lambs</t>
  </si>
  <si>
    <t>Required Lambing Percentage (Using Weighted Averages) to Cover</t>
  </si>
  <si>
    <t>Required Avg. Lamb Weaning Weights (Using Weighted Avg Prices)</t>
  </si>
  <si>
    <t>Required Avg. Lamb Prices ($/Cwt) (Using Weighted Avg Weight)</t>
  </si>
  <si>
    <t>Sensitivity Analysis for Commercial Ewe Flock Operation</t>
  </si>
  <si>
    <t>Excluding the Value of Replacement Ewe Lambs Kept</t>
  </si>
  <si>
    <t>Weighted Average Price of Weaned Lambs Sold</t>
  </si>
  <si>
    <t>Lambing</t>
  </si>
  <si>
    <t>Excluding the Value of Replacement Ewe LambsKept</t>
  </si>
  <si>
    <r>
      <t>Returns Above</t>
    </r>
    <r>
      <rPr>
        <b/>
        <sz val="10"/>
        <color indexed="10"/>
        <rFont val="Times New Roman"/>
        <family val="1"/>
      </rPr>
      <t xml:space="preserve"> Total Costs </t>
    </r>
    <r>
      <rPr>
        <b/>
        <sz val="10"/>
        <rFont val="Times New Roman"/>
        <family val="1"/>
      </rPr>
      <t>Per Breeding Ewe At Alternative Lambing</t>
    </r>
  </si>
  <si>
    <t>Percent Lamb Crop</t>
  </si>
  <si>
    <r>
      <t xml:space="preserve">Returns Above </t>
    </r>
    <r>
      <rPr>
        <b/>
        <sz val="10"/>
        <color indexed="10"/>
        <rFont val="Times New Roman"/>
        <family val="1"/>
      </rPr>
      <t>Total Operating Costs</t>
    </r>
    <r>
      <rPr>
        <b/>
        <sz val="10"/>
        <rFont val="Times New Roman"/>
        <family val="1"/>
      </rPr>
      <t xml:space="preserve"> Per Breeding Ewe At Alternative Lambing</t>
    </r>
  </si>
  <si>
    <t xml:space="preserve">         The table below shows the revenue that would be received by the ewe owner</t>
  </si>
  <si>
    <t>Cull Replacement Ewe Lamb Sales</t>
  </si>
  <si>
    <t>http://www.montana.edu/wwwextec/index.htm</t>
  </si>
  <si>
    <t>hay</t>
  </si>
  <si>
    <t>ton</t>
  </si>
  <si>
    <t>State lease</t>
  </si>
  <si>
    <t xml:space="preserve"> AUM </t>
  </si>
  <si>
    <t>Forest service</t>
  </si>
  <si>
    <t>Barley</t>
  </si>
  <si>
    <t>Other Operating Costs- tagging</t>
  </si>
  <si>
    <t>tractor #3</t>
  </si>
  <si>
    <t>lamb shed #1</t>
  </si>
  <si>
    <t>lamb shed#2</t>
  </si>
  <si>
    <t>shed #1</t>
  </si>
  <si>
    <t>shed #2</t>
  </si>
  <si>
    <t>shed #3</t>
  </si>
  <si>
    <t>improvements</t>
  </si>
  <si>
    <t>Extra</t>
  </si>
  <si>
    <t>Wethers</t>
  </si>
  <si>
    <t>NC Rep Ewe Lambs</t>
  </si>
  <si>
    <t>Check on Breeding Ewe Numbers (Beginning to End)</t>
  </si>
  <si>
    <t xml:space="preserve">All Shearing Costs </t>
  </si>
  <si>
    <t>Wether Lamb Cash Revenue</t>
  </si>
  <si>
    <t>Other Income (Wool, and ……)</t>
  </si>
  <si>
    <t>Returns Above Operating Costs (Excluding Rep. Lamb N.C. Rev.)</t>
  </si>
  <si>
    <t>Other Income-Wool</t>
  </si>
  <si>
    <r>
      <t>Excluding</t>
    </r>
    <r>
      <rPr>
        <b/>
        <sz val="12"/>
        <rFont val="Times New Roman"/>
        <family val="1"/>
      </rPr>
      <t xml:space="preserve"> Non Lamb Revenue</t>
    </r>
  </si>
  <si>
    <r>
      <t>Including</t>
    </r>
    <r>
      <rPr>
        <b/>
        <sz val="12"/>
        <rFont val="Times New Roman"/>
        <family val="1"/>
      </rPr>
      <t xml:space="preserve"> Non Lamb Revenue</t>
    </r>
  </si>
  <si>
    <t>Costs are adjusted for Non-Lamb Revenue</t>
  </si>
  <si>
    <t>Breakeven Covering Total Costs ($ per Cwt.)</t>
  </si>
  <si>
    <t>Breakeven Covering Operating Costs ($/Cwt)</t>
  </si>
  <si>
    <t>alfalfa pellets (processing)</t>
  </si>
  <si>
    <t>Pasture #1</t>
  </si>
  <si>
    <t>Pasture #2</t>
  </si>
  <si>
    <t>Pasture #3</t>
  </si>
  <si>
    <t>Section 1: Renvenues and Cow Numbers Check--Cost of Production Estimates for Commercial Ewe Flock Enterprise</t>
  </si>
  <si>
    <t>Section 2:</t>
  </si>
  <si>
    <t>Section 3:</t>
  </si>
  <si>
    <t>Section 4:                   Results-- Cost of Production and Leasing, if Leasing Analysis Utilized</t>
  </si>
  <si>
    <t xml:space="preserve">                    Double lined boxes and blue text indicate numbers that are required/allowed for data entry.</t>
  </si>
  <si>
    <t>Insurance -- Include in insurance cost under buildings and improvments</t>
  </si>
  <si>
    <t>Dep. Formula</t>
  </si>
  <si>
    <t>Int. Formula</t>
  </si>
  <si>
    <r>
      <t>Help - Please Read</t>
    </r>
    <r>
      <rPr>
        <b/>
        <sz val="10"/>
        <color indexed="10"/>
        <rFont val="Times New Roman"/>
        <family val="1"/>
      </rPr>
      <t xml:space="preserve"> Important</t>
    </r>
  </si>
  <si>
    <r>
      <t>Interpretation of Profitability and Cash Flow--</t>
    </r>
    <r>
      <rPr>
        <b/>
        <sz val="12"/>
        <color indexed="10"/>
        <rFont val="Times New Roman"/>
        <family val="1"/>
      </rPr>
      <t>Caution</t>
    </r>
  </si>
  <si>
    <t>Return on Investment/Assets (ROI=ROA)</t>
  </si>
  <si>
    <t>Lease share precentages based on how costs are shared</t>
  </si>
  <si>
    <t>Enterprise</t>
  </si>
  <si>
    <t>Investment</t>
  </si>
  <si>
    <t>total</t>
  </si>
  <si>
    <t>Investement amounts for ROI calculation</t>
  </si>
  <si>
    <t>ROI for Owner or Tenant</t>
  </si>
  <si>
    <t>For accurate presentation of the Profitability and Cash Flow tables below for the Ewe Owner and Tenant, sharing</t>
  </si>
  <si>
    <t>of cull ewe and cull ram revenue must be determined.  Economic theory suggests that if the ewe owner is providing the</t>
  </si>
  <si>
    <t>replacement ewes and rams, he/she is entitled to all cull revenue.  If however, replacements are kept from the lamb crop, and</t>
  </si>
  <si>
    <t xml:space="preserve">development costs are shared by the ewe owner and tenant, the cull revenue should also be shared.  </t>
  </si>
  <si>
    <t>Y or N</t>
  </si>
  <si>
    <t xml:space="preserve">  Tenant-Owner</t>
  </si>
  <si>
    <t>Y</t>
  </si>
  <si>
    <t xml:space="preserve">      If No, who receives revenue? (O or T)</t>
  </si>
  <si>
    <t>O</t>
  </si>
  <si>
    <t>T</t>
  </si>
  <si>
    <t>Enter only an O or T</t>
  </si>
  <si>
    <r>
      <t>Do not</t>
    </r>
    <r>
      <rPr>
        <b/>
        <sz val="10"/>
        <rFont val="Times New Roman"/>
        <family val="1"/>
      </rPr>
      <t xml:space="preserve"> enter Yes or No, only  Y or N, your input is not case sensative.</t>
    </r>
  </si>
  <si>
    <t>Is cull ewe revenue shared?</t>
  </si>
  <si>
    <t>Is cull ram revenue shared?</t>
  </si>
  <si>
    <t>Breakeven Calculations With Varing Weaning Weights</t>
  </si>
  <si>
    <t>Cash Revenue received by ewe owner after % adjustment</t>
  </si>
  <si>
    <r>
      <t xml:space="preserve">Non-cash Revenue for ewe owner </t>
    </r>
    <r>
      <rPr>
        <b/>
        <sz val="10"/>
        <color indexed="10"/>
        <rFont val="Times New Roman"/>
        <family val="1"/>
      </rPr>
      <t>NOT adjusted</t>
    </r>
  </si>
  <si>
    <t>Total revenue (cash + non-cash) after adjusting for cash discount</t>
  </si>
  <si>
    <t>this section can only be used to estimate impacts on lease revenue during lease negotiation.</t>
  </si>
  <si>
    <t xml:space="preserve">Since lease adjustments of the type described below can not be made until after the sale of lambs and cull animals, </t>
  </si>
  <si>
    <t>Enter percent adjustment agreed to from the  "Straight Cash Lease" analysis directly above.</t>
  </si>
  <si>
    <t>Straight Cash Lease Agreement</t>
  </si>
  <si>
    <t>Straight Cash Lease Adjusted by Price Ratio</t>
  </si>
  <si>
    <t>Subtotal- Cash revenue after agreed percentage adjustment</t>
  </si>
  <si>
    <t>Non-cash revenue received by the ewe owner</t>
  </si>
  <si>
    <t>Revenue received with a straight cash lease</t>
  </si>
  <si>
    <r>
      <t>Ewe owner revenue after adjustments for Cash Discount</t>
    </r>
    <r>
      <rPr>
        <b/>
        <sz val="10"/>
        <color indexed="10"/>
        <rFont val="Times New Roman"/>
        <family val="1"/>
      </rPr>
      <t xml:space="preserve"> and Price Changes</t>
    </r>
  </si>
  <si>
    <t>Straight Cash Lease Adjusted by Weight Ratio</t>
  </si>
  <si>
    <t>Cull Replacement Ewe Lamb Sales Price</t>
  </si>
  <si>
    <t>Ewe Lamb Calf Cash Sales Price</t>
  </si>
  <si>
    <t>Wether Lamb Cash  sales Price</t>
  </si>
  <si>
    <t>Cull Ewes Sales Price</t>
  </si>
  <si>
    <t>Cull Rams Sales Price</t>
  </si>
  <si>
    <t>Actual Price at Sale Time</t>
  </si>
  <si>
    <t xml:space="preserve">     The precentage entered may be between the increment values displayed above.</t>
  </si>
  <si>
    <t>Wether Lamb Sales Weight</t>
  </si>
  <si>
    <t>Ewe Lamb Sales Weight</t>
  </si>
  <si>
    <t>Cull Replacement Ewe Lamb Sales Weight</t>
  </si>
  <si>
    <t>Cull Ewes Sales Weight</t>
  </si>
  <si>
    <t>Cull Rams Sales Weight</t>
  </si>
  <si>
    <t>Actual Sales Weight</t>
  </si>
  <si>
    <t>Expected Sales Weight</t>
  </si>
  <si>
    <r>
      <t>Total Cash Lease Paid After Adjustments for Cash Discount</t>
    </r>
    <r>
      <rPr>
        <b/>
        <sz val="10"/>
        <color indexed="10"/>
        <rFont val="Times New Roman"/>
        <family val="1"/>
      </rPr>
      <t xml:space="preserve"> and Weight Changes</t>
    </r>
  </si>
  <si>
    <t>Straight Cash Lease Agreement Dollar Amounts</t>
  </si>
  <si>
    <t>Straight Cash Lease Adjusted by Price and Yield Variations</t>
  </si>
  <si>
    <t>Cull Replacement Ewe Lambs</t>
  </si>
  <si>
    <t>Ewe Lamb Cash Revenue</t>
  </si>
  <si>
    <t>Cash revenue received by the ewe owner after adjustments for variation in price and weights</t>
  </si>
  <si>
    <t>Revenue that is NOT adjusted and received by the ewe owner</t>
  </si>
  <si>
    <t>Enter the total value of unpaid family labor and management</t>
  </si>
  <si>
    <t>Percent of unpaid labor and management for this enterprise</t>
  </si>
  <si>
    <t>Other Dep. Brding Stock</t>
  </si>
  <si>
    <t>calculated</t>
  </si>
  <si>
    <t xml:space="preserve">This input form is provided so it can be printed off and used to collect information while away from this program. </t>
  </si>
  <si>
    <t>Additional input is required for a share or cash lease analysis.  Please see the EweFlock page tab, starting on row 320.</t>
  </si>
  <si>
    <t>Information below entered on rows 212 &amp; 213.</t>
  </si>
  <si>
    <t>Information below entered on rows 250 and 251 of the EweFlock page tab.</t>
  </si>
  <si>
    <t>Base Case for</t>
  </si>
  <si>
    <t>EweCost Example</t>
  </si>
  <si>
    <t>Section 1: Renvenues and Ewe Numbers Check--Cost of Production Estimates for Commercial Ewe Flock Enterprise</t>
  </si>
  <si>
    <t>Average Annual Ewe Replacement Rate</t>
  </si>
  <si>
    <t>Owned Pasture Land</t>
  </si>
  <si>
    <t>Other Pasture Lease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</si>
</sst>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quot;$&quot;#,##0.00"/>
    <numFmt numFmtId="168" formatCode="&quot;$&quot;#,##0"/>
    <numFmt numFmtId="169" formatCode="0.000"/>
    <numFmt numFmtId="170" formatCode="&quot;$&quot;#,##0.000"/>
    <numFmt numFmtId="171" formatCode="_(&quot;$&quot;* #,##0.0_);_(&quot;$&quot;* \(#,##0.0\);_(&quot;$&quot;* &quot;-&quot;??_);_(@_)"/>
    <numFmt numFmtId="172" formatCode="_(&quot;$&quot;* #,##0_);_(&quot;$&quot;* \(#,##0\);_(&quot;$&quot;* &quot;-&quot;??_);_(@_)"/>
    <numFmt numFmtId="173" formatCode="0.0%"/>
    <numFmt numFmtId="174" formatCode="[Red]0.00%"/>
    <numFmt numFmtId="175" formatCode="0.00%;[Red]0.00%"/>
    <numFmt numFmtId="176" formatCode="0.00%;[Red]\-0.00%"/>
    <numFmt numFmtId="177" formatCode="0.000%;[Red]\-0.000%"/>
    <numFmt numFmtId="178" formatCode="&quot;$&quot;#,##0.0_);\(&quot;$&quot;#,##0.0\)"/>
  </numFmts>
  <fonts count="79">
    <font>
      <sz val="10"/>
      <name val="Helv"/>
      <family val="0"/>
    </font>
    <font>
      <b/>
      <sz val="10"/>
      <name val="Times New Roman"/>
      <family val="0"/>
    </font>
    <font>
      <i/>
      <sz val="10"/>
      <name val="Times New Roman"/>
      <family val="0"/>
    </font>
    <font>
      <b/>
      <i/>
      <sz val="10"/>
      <name val="Times New Roman"/>
      <family val="0"/>
    </font>
    <font>
      <sz val="10"/>
      <name val="Times New Roman"/>
      <family val="0"/>
    </font>
    <font>
      <b/>
      <sz val="10"/>
      <name val="Helv"/>
      <family val="0"/>
    </font>
    <font>
      <b/>
      <i/>
      <sz val="10"/>
      <name val="Helv"/>
      <family val="0"/>
    </font>
    <font>
      <b/>
      <sz val="10"/>
      <color indexed="12"/>
      <name val="Times New Roman"/>
      <family val="1"/>
    </font>
    <font>
      <b/>
      <sz val="12"/>
      <name val="Times New Roman"/>
      <family val="1"/>
    </font>
    <font>
      <b/>
      <sz val="14"/>
      <name val="Times New Roman"/>
      <family val="1"/>
    </font>
    <font>
      <b/>
      <sz val="10"/>
      <color indexed="10"/>
      <name val="Times New Roman"/>
      <family val="1"/>
    </font>
    <font>
      <sz val="10"/>
      <color indexed="10"/>
      <name val="Times New Roman"/>
      <family val="1"/>
    </font>
    <font>
      <b/>
      <sz val="10"/>
      <color indexed="8"/>
      <name val="Times New Roman"/>
      <family val="1"/>
    </font>
    <font>
      <b/>
      <sz val="12"/>
      <color indexed="10"/>
      <name val="Times New Roman"/>
      <family val="1"/>
    </font>
    <font>
      <b/>
      <sz val="11"/>
      <name val="Times New Roman"/>
      <family val="1"/>
    </font>
    <font>
      <sz val="8"/>
      <name val="Tahoma"/>
      <family val="0"/>
    </font>
    <font>
      <b/>
      <sz val="8"/>
      <name val="Tahoma"/>
      <family val="0"/>
    </font>
    <font>
      <b/>
      <sz val="8"/>
      <color indexed="10"/>
      <name val="Tahoma"/>
      <family val="2"/>
    </font>
    <font>
      <sz val="12"/>
      <name val="Times New Roman"/>
      <family val="1"/>
    </font>
    <font>
      <b/>
      <sz val="10"/>
      <name val="Arial"/>
      <family val="0"/>
    </font>
    <font>
      <b/>
      <sz val="10"/>
      <color indexed="12"/>
      <name val="Arial"/>
      <family val="2"/>
    </font>
    <font>
      <b/>
      <sz val="9"/>
      <name val="Tahoma"/>
      <family val="2"/>
    </font>
    <font>
      <b/>
      <sz val="9"/>
      <color indexed="10"/>
      <name val="Tahoma"/>
      <family val="2"/>
    </font>
    <font>
      <b/>
      <sz val="14"/>
      <color indexed="10"/>
      <name val="Times New Roman"/>
      <family val="1"/>
    </font>
    <font>
      <b/>
      <sz val="8"/>
      <color indexed="8"/>
      <name val="Tahoma"/>
      <family val="2"/>
    </font>
    <font>
      <sz val="8"/>
      <color indexed="8"/>
      <name val="Tahoma"/>
      <family val="2"/>
    </font>
    <font>
      <b/>
      <sz val="10"/>
      <color indexed="8"/>
      <name val="Tahoma"/>
      <family val="2"/>
    </font>
    <font>
      <b/>
      <sz val="10"/>
      <name val="Tahoma"/>
      <family val="2"/>
    </font>
    <font>
      <b/>
      <sz val="10"/>
      <color indexed="10"/>
      <name val="Tahoma"/>
      <family val="2"/>
    </font>
    <font>
      <sz val="10"/>
      <name val="Tahoma"/>
      <family val="2"/>
    </font>
    <font>
      <b/>
      <sz val="11"/>
      <color indexed="10"/>
      <name val="Times New Roman"/>
      <family val="1"/>
    </font>
    <font>
      <b/>
      <sz val="16"/>
      <name val="Times New Roman"/>
      <family val="1"/>
    </font>
    <font>
      <u val="single"/>
      <sz val="8"/>
      <color indexed="12"/>
      <name val="Helv"/>
      <family val="0"/>
    </font>
    <font>
      <sz val="14"/>
      <name val="Times New Roman"/>
      <family val="1"/>
    </font>
    <font>
      <b/>
      <sz val="9"/>
      <color indexed="8"/>
      <name val="Times New Roman"/>
      <family val="1"/>
    </font>
    <font>
      <b/>
      <sz val="9"/>
      <color indexed="10"/>
      <name val="Times New Roman"/>
      <family val="1"/>
    </font>
    <font>
      <b/>
      <sz val="9"/>
      <color indexed="12"/>
      <name val="Times New Roman"/>
      <family val="1"/>
    </font>
    <font>
      <sz val="8"/>
      <color indexed="8"/>
      <name val="Times New Roman"/>
      <family val="0"/>
    </font>
    <font>
      <sz val="5.75"/>
      <color indexed="8"/>
      <name val="Times New Roman"/>
      <family val="0"/>
    </font>
    <font>
      <sz val="7.35"/>
      <color indexed="8"/>
      <name val="Times New Roman"/>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Helv"/>
      <family val="0"/>
    </font>
    <font>
      <sz val="10"/>
      <color indexed="10"/>
      <name val="Helv"/>
      <family val="0"/>
    </font>
    <font>
      <b/>
      <sz val="8"/>
      <color indexed="11"/>
      <name val="Times New Roman"/>
      <family val="0"/>
    </font>
    <font>
      <b/>
      <sz val="8"/>
      <color indexed="8"/>
      <name val="Times New Roman"/>
      <family val="0"/>
    </font>
    <font>
      <b/>
      <sz val="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Helv"/>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16"/>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lightGray">
        <fgColor indexed="8"/>
        <bgColor indexed="24"/>
      </patternFill>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9"/>
        <bgColor indexed="64"/>
      </patternFill>
    </fill>
    <fill>
      <patternFill patternType="solid">
        <fgColor indexed="13"/>
        <bgColor indexed="64"/>
      </patternFill>
    </fill>
    <fill>
      <patternFill patternType="solid">
        <fgColor indexed="13"/>
        <bgColor indexed="64"/>
      </patternFill>
    </fill>
  </fills>
  <borders count="1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style="double">
        <color indexed="8"/>
      </right>
      <top style="double">
        <color indexed="8"/>
      </top>
      <bottom style="double">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medium">
        <color indexed="8"/>
      </right>
      <top style="medium">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style="double"/>
    </border>
    <border>
      <left>
        <color indexed="63"/>
      </left>
      <right style="thin"/>
      <top>
        <color indexed="63"/>
      </top>
      <bottom style="double"/>
    </border>
    <border>
      <left style="thin"/>
      <right style="thin"/>
      <top style="thin"/>
      <bottom>
        <color indexed="63"/>
      </bottom>
    </border>
    <border>
      <left style="thin"/>
      <right>
        <color indexed="63"/>
      </right>
      <top style="double"/>
      <bottom style="double"/>
    </border>
    <border>
      <left>
        <color indexed="63"/>
      </left>
      <right style="thin"/>
      <top style="double"/>
      <bottom style="double"/>
    </border>
    <border>
      <left style="thin"/>
      <right>
        <color indexed="63"/>
      </right>
      <top style="thin"/>
      <bottom style="medium"/>
    </border>
    <border>
      <left>
        <color indexed="63"/>
      </left>
      <right>
        <color indexed="63"/>
      </right>
      <top style="thin"/>
      <bottom style="medium"/>
    </border>
    <border>
      <left style="medium"/>
      <right>
        <color indexed="63"/>
      </right>
      <top style="double"/>
      <bottom style="medium"/>
    </border>
    <border>
      <left>
        <color indexed="63"/>
      </left>
      <right style="medium"/>
      <top style="double"/>
      <bottom style="medium"/>
    </border>
    <border>
      <left>
        <color indexed="63"/>
      </left>
      <right style="thin"/>
      <top style="thin"/>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style="thin"/>
      <right style="thin"/>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color indexed="63"/>
      </top>
      <bottom style="medium"/>
    </border>
    <border>
      <left style="medium">
        <color indexed="8"/>
      </left>
      <right>
        <color indexed="63"/>
      </right>
      <top>
        <color indexed="63"/>
      </top>
      <bottom style="medium">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color indexed="63"/>
      </right>
      <top style="double">
        <color indexed="8"/>
      </top>
      <bottom style="double">
        <color indexed="8"/>
      </bottom>
    </border>
    <border>
      <left style="thin"/>
      <right style="thin"/>
      <top style="medium"/>
      <bottom>
        <color indexed="63"/>
      </bottom>
    </border>
    <border>
      <left style="thin"/>
      <right>
        <color indexed="63"/>
      </right>
      <top style="thin"/>
      <bottom style="thin"/>
    </border>
    <border>
      <left>
        <color indexed="63"/>
      </left>
      <right>
        <color indexed="63"/>
      </right>
      <top style="double">
        <color indexed="8"/>
      </top>
      <bottom>
        <color indexed="63"/>
      </bottom>
    </border>
    <border>
      <left style="double">
        <color indexed="8"/>
      </left>
      <right>
        <color indexed="63"/>
      </right>
      <top>
        <color indexed="63"/>
      </top>
      <bottom style="double"/>
    </border>
    <border>
      <left style="double">
        <color indexed="8"/>
      </left>
      <right style="double">
        <color indexed="8"/>
      </right>
      <top>
        <color indexed="63"/>
      </top>
      <bottom>
        <color indexed="63"/>
      </bottom>
    </border>
    <border>
      <left style="double"/>
      <right style="double"/>
      <top>
        <color indexed="63"/>
      </top>
      <bottom style="double"/>
    </border>
    <border>
      <left style="double">
        <color indexed="8"/>
      </left>
      <right style="double">
        <color indexed="8"/>
      </right>
      <top style="double">
        <color indexed="8"/>
      </top>
      <bottom style="hair">
        <color indexed="12"/>
      </bottom>
    </border>
    <border>
      <left style="double">
        <color indexed="8"/>
      </left>
      <right style="double">
        <color indexed="8"/>
      </right>
      <top style="hair">
        <color indexed="12"/>
      </top>
      <bottom style="hair">
        <color indexed="12"/>
      </bottom>
    </border>
    <border>
      <left style="double">
        <color indexed="8"/>
      </left>
      <right style="double">
        <color indexed="8"/>
      </right>
      <top style="hair">
        <color indexed="12"/>
      </top>
      <bottom style="double">
        <color indexed="8"/>
      </bottom>
    </border>
    <border>
      <left style="double">
        <color indexed="8"/>
      </left>
      <right style="hair">
        <color indexed="12"/>
      </right>
      <top style="double">
        <color indexed="8"/>
      </top>
      <bottom style="hair">
        <color indexed="12"/>
      </bottom>
    </border>
    <border>
      <left style="hair">
        <color indexed="12"/>
      </left>
      <right style="double">
        <color indexed="8"/>
      </right>
      <top style="double">
        <color indexed="8"/>
      </top>
      <bottom style="hair">
        <color indexed="12"/>
      </bottom>
    </border>
    <border>
      <left style="double">
        <color indexed="8"/>
      </left>
      <right style="hair">
        <color indexed="12"/>
      </right>
      <top style="hair">
        <color indexed="12"/>
      </top>
      <bottom style="hair">
        <color indexed="12"/>
      </bottom>
    </border>
    <border>
      <left style="hair">
        <color indexed="12"/>
      </left>
      <right style="double">
        <color indexed="8"/>
      </right>
      <top style="hair">
        <color indexed="12"/>
      </top>
      <bottom style="hair">
        <color indexed="12"/>
      </bottom>
    </border>
    <border>
      <left style="hair">
        <color indexed="12"/>
      </left>
      <right style="double">
        <color indexed="8"/>
      </right>
      <top style="hair">
        <color indexed="12"/>
      </top>
      <bottom style="double">
        <color indexed="8"/>
      </bottom>
    </border>
    <border>
      <left style="hair">
        <color indexed="12"/>
      </left>
      <right style="hair">
        <color indexed="12"/>
      </right>
      <top style="hair">
        <color indexed="12"/>
      </top>
      <bottom style="hair">
        <color indexed="12"/>
      </bottom>
    </border>
    <border>
      <left style="double">
        <color indexed="8"/>
      </left>
      <right style="hair">
        <color indexed="12"/>
      </right>
      <top style="hair">
        <color indexed="12"/>
      </top>
      <bottom style="double">
        <color indexed="8"/>
      </bottom>
    </border>
    <border>
      <left style="hair">
        <color indexed="12"/>
      </left>
      <right style="hair">
        <color indexed="12"/>
      </right>
      <top style="hair">
        <color indexed="12"/>
      </top>
      <bottom style="double">
        <color indexed="8"/>
      </bottom>
    </border>
    <border>
      <left style="double"/>
      <right style="hair">
        <color indexed="12"/>
      </right>
      <top style="double"/>
      <bottom style="double"/>
    </border>
    <border>
      <left style="hair">
        <color indexed="12"/>
      </left>
      <right style="hair">
        <color indexed="12"/>
      </right>
      <top style="double"/>
      <bottom style="double"/>
    </border>
    <border>
      <left style="hair">
        <color indexed="12"/>
      </left>
      <right style="double"/>
      <top style="double"/>
      <bottom style="double"/>
    </border>
    <border>
      <left style="double">
        <color indexed="8"/>
      </left>
      <right style="hair">
        <color indexed="12"/>
      </right>
      <top style="double"/>
      <bottom style="hair">
        <color indexed="12"/>
      </bottom>
    </border>
    <border>
      <left style="hair">
        <color indexed="12"/>
      </left>
      <right style="hair">
        <color indexed="12"/>
      </right>
      <top style="double"/>
      <bottom style="hair">
        <color indexed="12"/>
      </bottom>
    </border>
    <border>
      <left style="hair">
        <color indexed="12"/>
      </left>
      <right style="double">
        <color indexed="8"/>
      </right>
      <top style="double"/>
      <bottom style="hair">
        <color indexed="12"/>
      </bottom>
    </border>
    <border>
      <left style="hair">
        <color indexed="12"/>
      </left>
      <right style="hair">
        <color indexed="12"/>
      </right>
      <top style="double">
        <color indexed="8"/>
      </top>
      <bottom style="hair">
        <color indexed="12"/>
      </bottom>
    </border>
    <border>
      <left style="double"/>
      <right style="double"/>
      <top style="double"/>
      <bottom style="hair">
        <color indexed="12"/>
      </bottom>
    </border>
    <border>
      <left style="double"/>
      <right style="double"/>
      <top style="hair">
        <color indexed="12"/>
      </top>
      <bottom style="hair">
        <color indexed="12"/>
      </bottom>
    </border>
    <border>
      <left style="double"/>
      <right style="double"/>
      <top style="hair">
        <color indexed="12"/>
      </top>
      <bottom>
        <color indexed="63"/>
      </bottom>
    </border>
    <border>
      <left style="double">
        <color indexed="8"/>
      </left>
      <right style="double">
        <color indexed="8"/>
      </right>
      <top style="hair">
        <color indexed="12"/>
      </top>
      <bottom style="double"/>
    </border>
    <border>
      <left style="double">
        <color indexed="8"/>
      </left>
      <right style="double">
        <color indexed="8"/>
      </right>
      <top>
        <color indexed="63"/>
      </top>
      <bottom style="hair">
        <color indexed="12"/>
      </bottom>
    </border>
    <border>
      <left style="double"/>
      <right style="double"/>
      <top>
        <color indexed="63"/>
      </top>
      <bottom style="hair">
        <color indexed="12"/>
      </bottom>
    </border>
    <border>
      <left style="double"/>
      <right style="double"/>
      <top style="hair">
        <color indexed="12"/>
      </top>
      <bottom style="double"/>
    </border>
    <border>
      <left style="double"/>
      <right style="hair">
        <color indexed="12"/>
      </right>
      <top style="double"/>
      <bottom style="hair">
        <color indexed="12"/>
      </bottom>
    </border>
    <border>
      <left style="hair">
        <color indexed="12"/>
      </left>
      <right style="double"/>
      <top style="double"/>
      <bottom style="hair">
        <color indexed="12"/>
      </bottom>
    </border>
    <border>
      <left style="double"/>
      <right style="hair">
        <color indexed="12"/>
      </right>
      <top style="hair">
        <color indexed="12"/>
      </top>
      <bottom style="hair">
        <color indexed="12"/>
      </bottom>
    </border>
    <border>
      <left style="hair">
        <color indexed="12"/>
      </left>
      <right style="double"/>
      <top style="hair">
        <color indexed="12"/>
      </top>
      <bottom style="hair">
        <color indexed="12"/>
      </bottom>
    </border>
    <border>
      <left style="double"/>
      <right style="hair">
        <color indexed="12"/>
      </right>
      <top style="hair">
        <color indexed="12"/>
      </top>
      <bottom style="double"/>
    </border>
    <border>
      <left style="hair">
        <color indexed="12"/>
      </left>
      <right style="hair">
        <color indexed="12"/>
      </right>
      <top style="hair">
        <color indexed="12"/>
      </top>
      <bottom style="double"/>
    </border>
    <border>
      <left style="hair">
        <color indexed="12"/>
      </left>
      <right style="double"/>
      <top style="hair">
        <color indexed="12"/>
      </top>
      <bottom style="double"/>
    </border>
    <border>
      <left>
        <color indexed="63"/>
      </left>
      <right style="thin"/>
      <top style="double"/>
      <bottom style="thin"/>
    </border>
    <border>
      <left style="thin"/>
      <right style="thin"/>
      <top style="double"/>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ouble">
        <color indexed="8"/>
      </left>
      <right style="hair">
        <color indexed="12"/>
      </right>
      <top>
        <color indexed="63"/>
      </top>
      <bottom style="double">
        <color indexed="8"/>
      </bottom>
    </border>
    <border>
      <left>
        <color indexed="63"/>
      </left>
      <right style="hair">
        <color indexed="12"/>
      </right>
      <top style="hair">
        <color indexed="12"/>
      </top>
      <bottom style="hair">
        <color indexed="12"/>
      </bottom>
    </border>
    <border>
      <left>
        <color indexed="63"/>
      </left>
      <right style="hair">
        <color indexed="12"/>
      </right>
      <top style="double"/>
      <bottom>
        <color indexed="63"/>
      </bottom>
    </border>
    <border>
      <left style="hair">
        <color indexed="12"/>
      </left>
      <right style="hair">
        <color indexed="12"/>
      </right>
      <top>
        <color indexed="63"/>
      </top>
      <bottom style="double">
        <color indexed="8"/>
      </bottom>
    </border>
    <border>
      <left>
        <color indexed="63"/>
      </left>
      <right style="double"/>
      <top style="double"/>
      <bottom style="double"/>
    </border>
    <border>
      <left>
        <color indexed="63"/>
      </left>
      <right style="double"/>
      <top>
        <color indexed="63"/>
      </top>
      <bottom>
        <color indexed="63"/>
      </bottom>
    </border>
    <border>
      <left style="double">
        <color indexed="8"/>
      </left>
      <right>
        <color indexed="63"/>
      </right>
      <top style="double">
        <color indexed="8"/>
      </top>
      <bottom style="hair">
        <color indexed="12"/>
      </bottom>
    </border>
    <border>
      <left>
        <color indexed="63"/>
      </left>
      <right style="double">
        <color indexed="8"/>
      </right>
      <top style="double">
        <color indexed="8"/>
      </top>
      <bottom style="hair">
        <color indexed="12"/>
      </bottom>
    </border>
    <border>
      <left style="double">
        <color indexed="8"/>
      </left>
      <right>
        <color indexed="63"/>
      </right>
      <top style="hair">
        <color indexed="12"/>
      </top>
      <bottom style="hair">
        <color indexed="12"/>
      </bottom>
    </border>
    <border>
      <left>
        <color indexed="63"/>
      </left>
      <right style="double">
        <color indexed="8"/>
      </right>
      <top style="hair">
        <color indexed="12"/>
      </top>
      <bottom style="hair">
        <color indexed="12"/>
      </bottom>
    </border>
    <border>
      <left style="double">
        <color indexed="8"/>
      </left>
      <right>
        <color indexed="63"/>
      </right>
      <top style="hair">
        <color indexed="12"/>
      </top>
      <bottom style="double">
        <color indexed="8"/>
      </bottom>
    </border>
    <border>
      <left>
        <color indexed="63"/>
      </left>
      <right style="double">
        <color indexed="8"/>
      </right>
      <top style="hair">
        <color indexed="12"/>
      </top>
      <bottom style="double">
        <color indexed="8"/>
      </bottom>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3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4"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50">
    <xf numFmtId="164" fontId="0" fillId="0" borderId="0" xfId="0" applyAlignment="1">
      <alignment/>
    </xf>
    <xf numFmtId="164" fontId="0" fillId="0" borderId="0" xfId="0" applyAlignment="1">
      <alignment horizontal="left"/>
    </xf>
    <xf numFmtId="164" fontId="6" fillId="0" borderId="0" xfId="0" applyNumberFormat="1" applyFont="1" applyAlignment="1" applyProtection="1">
      <alignment horizontal="left"/>
      <protection/>
    </xf>
    <xf numFmtId="164" fontId="4" fillId="0" borderId="0" xfId="0" applyNumberFormat="1" applyFont="1" applyAlignment="1" applyProtection="1">
      <alignment horizontal="left"/>
      <protection/>
    </xf>
    <xf numFmtId="164" fontId="4" fillId="0" borderId="0" xfId="0" applyFont="1" applyAlignment="1">
      <alignment/>
    </xf>
    <xf numFmtId="164" fontId="1" fillId="0" borderId="0" xfId="0" applyNumberFormat="1" applyFont="1" applyAlignment="1" applyProtection="1">
      <alignment horizontal="left"/>
      <protection/>
    </xf>
    <xf numFmtId="164" fontId="1" fillId="0" borderId="0" xfId="0" applyNumberFormat="1" applyFont="1" applyAlignment="1" applyProtection="1">
      <alignment/>
      <protection/>
    </xf>
    <xf numFmtId="164" fontId="8" fillId="33" borderId="0" xfId="0" applyNumberFormat="1" applyFont="1" applyFill="1" applyAlignment="1" applyProtection="1">
      <alignment horizontal="centerContinuous"/>
      <protection/>
    </xf>
    <xf numFmtId="164" fontId="1" fillId="0" borderId="0" xfId="0" applyNumberFormat="1" applyFont="1" applyAlignment="1" applyProtection="1">
      <alignment horizontal="center"/>
      <protection/>
    </xf>
    <xf numFmtId="5" fontId="4" fillId="0" borderId="0" xfId="0" applyNumberFormat="1" applyFont="1" applyAlignment="1" applyProtection="1">
      <alignment/>
      <protection/>
    </xf>
    <xf numFmtId="7" fontId="4" fillId="0" borderId="0" xfId="0" applyNumberFormat="1" applyFont="1" applyAlignment="1" applyProtection="1">
      <alignment horizontal="left"/>
      <protection/>
    </xf>
    <xf numFmtId="7" fontId="4" fillId="0" borderId="0" xfId="0" applyNumberFormat="1" applyFont="1" applyAlignment="1" applyProtection="1">
      <alignment/>
      <protection/>
    </xf>
    <xf numFmtId="164" fontId="1" fillId="0" borderId="0" xfId="0" applyNumberFormat="1" applyFont="1" applyAlignment="1" applyProtection="1">
      <alignment horizontal="right"/>
      <protection/>
    </xf>
    <xf numFmtId="164" fontId="4" fillId="0" borderId="0" xfId="0" applyNumberFormat="1" applyFont="1" applyAlignment="1" applyProtection="1">
      <alignment/>
      <protection/>
    </xf>
    <xf numFmtId="164" fontId="1" fillId="0" borderId="10" xfId="0" applyNumberFormat="1" applyFont="1" applyBorder="1" applyAlignment="1" applyProtection="1">
      <alignment horizontal="left"/>
      <protection/>
    </xf>
    <xf numFmtId="164" fontId="4" fillId="0" borderId="11" xfId="0" applyNumberFormat="1" applyFont="1" applyBorder="1" applyAlignment="1" applyProtection="1">
      <alignment horizontal="left"/>
      <protection/>
    </xf>
    <xf numFmtId="164" fontId="4" fillId="0" borderId="12" xfId="0" applyNumberFormat="1" applyFont="1" applyBorder="1" applyAlignment="1" applyProtection="1">
      <alignment/>
      <protection/>
    </xf>
    <xf numFmtId="164" fontId="4" fillId="0" borderId="13" xfId="0" applyNumberFormat="1" applyFont="1" applyBorder="1" applyAlignment="1" applyProtection="1">
      <alignment/>
      <protection/>
    </xf>
    <xf numFmtId="164" fontId="4" fillId="0" borderId="14" xfId="0" applyNumberFormat="1" applyFont="1" applyBorder="1" applyAlignment="1" applyProtection="1">
      <alignment horizontal="left"/>
      <protection/>
    </xf>
    <xf numFmtId="164" fontId="4" fillId="0" borderId="15" xfId="0" applyNumberFormat="1" applyFont="1" applyBorder="1" applyAlignment="1" applyProtection="1">
      <alignment/>
      <protection/>
    </xf>
    <xf numFmtId="164" fontId="4" fillId="0" borderId="16" xfId="0" applyNumberFormat="1" applyFont="1" applyBorder="1" applyAlignment="1" applyProtection="1">
      <alignment horizontal="left"/>
      <protection/>
    </xf>
    <xf numFmtId="164" fontId="4" fillId="0" borderId="17" xfId="0" applyNumberFormat="1" applyFont="1" applyBorder="1" applyAlignment="1" applyProtection="1">
      <alignment/>
      <protection/>
    </xf>
    <xf numFmtId="164" fontId="4" fillId="0" borderId="18" xfId="0" applyNumberFormat="1" applyFont="1" applyBorder="1" applyAlignment="1" applyProtection="1">
      <alignment/>
      <protection/>
    </xf>
    <xf numFmtId="164" fontId="9" fillId="0" borderId="0" xfId="0" applyNumberFormat="1" applyFont="1" applyAlignment="1" applyProtection="1">
      <alignment horizontal="left"/>
      <protection/>
    </xf>
    <xf numFmtId="164" fontId="8" fillId="0" borderId="0" xfId="0" applyNumberFormat="1" applyFont="1" applyAlignment="1" applyProtection="1">
      <alignment horizontal="left"/>
      <protection/>
    </xf>
    <xf numFmtId="5" fontId="1" fillId="0" borderId="0" xfId="0" applyNumberFormat="1" applyFont="1" applyAlignment="1" applyProtection="1">
      <alignment/>
      <protection/>
    </xf>
    <xf numFmtId="164" fontId="8" fillId="0" borderId="0" xfId="0" applyNumberFormat="1" applyFont="1" applyAlignment="1" applyProtection="1">
      <alignment horizontal="right"/>
      <protection/>
    </xf>
    <xf numFmtId="164" fontId="8" fillId="0" borderId="17" xfId="0" applyNumberFormat="1" applyFont="1" applyBorder="1" applyAlignment="1" applyProtection="1">
      <alignment horizontal="right"/>
      <protection/>
    </xf>
    <xf numFmtId="164" fontId="4" fillId="34" borderId="0" xfId="0" applyNumberFormat="1" applyFont="1" applyFill="1" applyAlignment="1" applyProtection="1">
      <alignment/>
      <protection/>
    </xf>
    <xf numFmtId="164" fontId="9" fillId="34" borderId="0" xfId="0" applyNumberFormat="1" applyFont="1" applyFill="1" applyAlignment="1" applyProtection="1">
      <alignment horizontal="left"/>
      <protection/>
    </xf>
    <xf numFmtId="164" fontId="7" fillId="0" borderId="19" xfId="0" applyNumberFormat="1" applyFont="1" applyBorder="1" applyAlignment="1" applyProtection="1">
      <alignment horizontal="center"/>
      <protection locked="0"/>
    </xf>
    <xf numFmtId="164" fontId="8" fillId="34" borderId="0" xfId="0" applyNumberFormat="1" applyFont="1" applyFill="1" applyAlignment="1" applyProtection="1">
      <alignment horizontal="left"/>
      <protection/>
    </xf>
    <xf numFmtId="164" fontId="1" fillId="34" borderId="0" xfId="0" applyNumberFormat="1" applyFont="1" applyFill="1" applyAlignment="1" applyProtection="1">
      <alignment/>
      <protection/>
    </xf>
    <xf numFmtId="5" fontId="1" fillId="34" borderId="0" xfId="0" applyNumberFormat="1" applyFont="1" applyFill="1" applyAlignment="1" applyProtection="1">
      <alignment/>
      <protection/>
    </xf>
    <xf numFmtId="7" fontId="1" fillId="34" borderId="0" xfId="0" applyNumberFormat="1" applyFont="1" applyFill="1" applyAlignment="1" applyProtection="1">
      <alignment/>
      <protection/>
    </xf>
    <xf numFmtId="164" fontId="4" fillId="0" borderId="20" xfId="0" applyNumberFormat="1" applyFont="1" applyBorder="1" applyAlignment="1" applyProtection="1">
      <alignment horizontal="center"/>
      <protection/>
    </xf>
    <xf numFmtId="164" fontId="4" fillId="0" borderId="21" xfId="0" applyNumberFormat="1" applyFont="1" applyBorder="1" applyAlignment="1" applyProtection="1">
      <alignment horizontal="center"/>
      <protection/>
    </xf>
    <xf numFmtId="7" fontId="1" fillId="0" borderId="0" xfId="0" applyNumberFormat="1" applyFont="1" applyAlignment="1" applyProtection="1">
      <alignment/>
      <protection/>
    </xf>
    <xf numFmtId="7" fontId="1" fillId="0" borderId="22" xfId="0" applyNumberFormat="1" applyFont="1" applyBorder="1" applyAlignment="1" applyProtection="1">
      <alignment horizontal="center"/>
      <protection/>
    </xf>
    <xf numFmtId="164" fontId="1" fillId="0" borderId="23" xfId="0" applyNumberFormat="1" applyFont="1" applyBorder="1" applyAlignment="1" applyProtection="1">
      <alignment horizontal="center"/>
      <protection/>
    </xf>
    <xf numFmtId="164" fontId="4" fillId="0" borderId="23" xfId="0" applyNumberFormat="1" applyFont="1" applyBorder="1" applyAlignment="1" applyProtection="1">
      <alignment/>
      <protection/>
    </xf>
    <xf numFmtId="166" fontId="1" fillId="33" borderId="24" xfId="0" applyNumberFormat="1" applyFont="1" applyFill="1" applyBorder="1" applyAlignment="1" applyProtection="1">
      <alignment/>
      <protection/>
    </xf>
    <xf numFmtId="164" fontId="1" fillId="0" borderId="0" xfId="0" applyNumberFormat="1" applyFont="1" applyAlignment="1" applyProtection="1">
      <alignment horizontal="centerContinuous"/>
      <protection/>
    </xf>
    <xf numFmtId="164" fontId="4" fillId="0" borderId="0" xfId="0" applyNumberFormat="1" applyFont="1" applyAlignment="1" applyProtection="1">
      <alignment horizontal="centerContinuous"/>
      <protection/>
    </xf>
    <xf numFmtId="7" fontId="1" fillId="33" borderId="24" xfId="0" applyNumberFormat="1" applyFont="1" applyFill="1" applyBorder="1" applyAlignment="1" applyProtection="1">
      <alignment/>
      <protection/>
    </xf>
    <xf numFmtId="166" fontId="1" fillId="0" borderId="25" xfId="0" applyNumberFormat="1" applyFont="1" applyBorder="1" applyAlignment="1" applyProtection="1">
      <alignment horizontal="center"/>
      <protection/>
    </xf>
    <xf numFmtId="7" fontId="1" fillId="33" borderId="0" xfId="0" applyNumberFormat="1" applyFont="1" applyFill="1" applyAlignment="1" applyProtection="1">
      <alignment/>
      <protection/>
    </xf>
    <xf numFmtId="166" fontId="1" fillId="0" borderId="26" xfId="0" applyNumberFormat="1" applyFont="1" applyBorder="1" applyAlignment="1" applyProtection="1">
      <alignment horizontal="center"/>
      <protection/>
    </xf>
    <xf numFmtId="7" fontId="1" fillId="0" borderId="23" xfId="0" applyNumberFormat="1" applyFont="1" applyBorder="1" applyAlignment="1" applyProtection="1">
      <alignment/>
      <protection/>
    </xf>
    <xf numFmtId="9" fontId="1" fillId="0" borderId="25" xfId="0" applyNumberFormat="1" applyFont="1" applyBorder="1" applyAlignment="1" applyProtection="1">
      <alignment horizontal="center"/>
      <protection/>
    </xf>
    <xf numFmtId="9" fontId="1" fillId="0" borderId="26" xfId="0" applyNumberFormat="1" applyFont="1" applyBorder="1" applyAlignment="1" applyProtection="1">
      <alignment horizontal="center"/>
      <protection/>
    </xf>
    <xf numFmtId="164" fontId="1" fillId="35" borderId="0" xfId="0" applyNumberFormat="1" applyFont="1" applyFill="1" applyAlignment="1" applyProtection="1">
      <alignment horizontal="center"/>
      <protection/>
    </xf>
    <xf numFmtId="164" fontId="8" fillId="0" borderId="0" xfId="0" applyNumberFormat="1" applyFont="1" applyAlignment="1" applyProtection="1" quotePrefix="1">
      <alignment horizontal="right"/>
      <protection/>
    </xf>
    <xf numFmtId="164" fontId="1" fillId="36" borderId="0" xfId="0" applyNumberFormat="1" applyFont="1" applyFill="1" applyAlignment="1" applyProtection="1">
      <alignment/>
      <protection/>
    </xf>
    <xf numFmtId="164" fontId="10" fillId="37" borderId="0" xfId="0" applyNumberFormat="1" applyFont="1" applyFill="1" applyAlignment="1" applyProtection="1">
      <alignment horizontal="left"/>
      <protection/>
    </xf>
    <xf numFmtId="164" fontId="10" fillId="37" borderId="0" xfId="0" applyNumberFormat="1" applyFont="1" applyFill="1" applyAlignment="1" applyProtection="1">
      <alignment/>
      <protection/>
    </xf>
    <xf numFmtId="5" fontId="10" fillId="37" borderId="0" xfId="0" applyNumberFormat="1" applyFont="1" applyFill="1" applyAlignment="1" applyProtection="1">
      <alignment/>
      <protection/>
    </xf>
    <xf numFmtId="7" fontId="10" fillId="37" borderId="0" xfId="0" applyNumberFormat="1" applyFont="1" applyFill="1" applyAlignment="1" applyProtection="1">
      <alignment/>
      <protection/>
    </xf>
    <xf numFmtId="164" fontId="1" fillId="0" borderId="0" xfId="0" applyNumberFormat="1" applyFont="1" applyFill="1" applyAlignment="1" applyProtection="1">
      <alignment horizontal="left"/>
      <protection/>
    </xf>
    <xf numFmtId="5" fontId="1" fillId="0" borderId="0" xfId="0" applyNumberFormat="1" applyFont="1" applyFill="1" applyAlignment="1" applyProtection="1">
      <alignment/>
      <protection/>
    </xf>
    <xf numFmtId="164" fontId="1" fillId="0" borderId="0" xfId="0" applyNumberFormat="1" applyFont="1" applyFill="1" applyAlignment="1" applyProtection="1">
      <alignment/>
      <protection/>
    </xf>
    <xf numFmtId="5" fontId="1" fillId="0" borderId="0" xfId="0" applyNumberFormat="1" applyFont="1" applyAlignment="1" applyProtection="1">
      <alignment horizontal="center"/>
      <protection/>
    </xf>
    <xf numFmtId="7" fontId="1" fillId="0" borderId="0" xfId="0" applyNumberFormat="1" applyFont="1" applyFill="1" applyAlignment="1" applyProtection="1">
      <alignment/>
      <protection/>
    </xf>
    <xf numFmtId="164" fontId="10" fillId="0" borderId="0" xfId="0" applyNumberFormat="1" applyFont="1" applyBorder="1" applyAlignment="1" applyProtection="1">
      <alignment/>
      <protection/>
    </xf>
    <xf numFmtId="164" fontId="10" fillId="0" borderId="15" xfId="0" applyNumberFormat="1" applyFont="1" applyBorder="1" applyAlignment="1" applyProtection="1">
      <alignment horizontal="left"/>
      <protection/>
    </xf>
    <xf numFmtId="164" fontId="10" fillId="0" borderId="0" xfId="0" applyNumberFormat="1" applyFont="1" applyBorder="1" applyAlignment="1" applyProtection="1">
      <alignment horizontal="left"/>
      <protection/>
    </xf>
    <xf numFmtId="164" fontId="10" fillId="0" borderId="15" xfId="0" applyNumberFormat="1" applyFont="1" applyBorder="1" applyAlignment="1" applyProtection="1">
      <alignment/>
      <protection/>
    </xf>
    <xf numFmtId="164" fontId="1" fillId="38" borderId="15" xfId="0" applyNumberFormat="1" applyFont="1" applyFill="1" applyBorder="1" applyAlignment="1" applyProtection="1">
      <alignment horizontal="center"/>
      <protection/>
    </xf>
    <xf numFmtId="164" fontId="10" fillId="0" borderId="27" xfId="0" applyNumberFormat="1" applyFont="1" applyBorder="1" applyAlignment="1" applyProtection="1">
      <alignment horizontal="left"/>
      <protection/>
    </xf>
    <xf numFmtId="164" fontId="11" fillId="0" borderId="27" xfId="0" applyNumberFormat="1" applyFont="1" applyBorder="1" applyAlignment="1" applyProtection="1">
      <alignment/>
      <protection/>
    </xf>
    <xf numFmtId="164" fontId="18" fillId="0" borderId="0" xfId="0" applyNumberFormat="1" applyFont="1" applyAlignment="1" applyProtection="1">
      <alignment horizontal="left"/>
      <protection/>
    </xf>
    <xf numFmtId="5" fontId="1" fillId="0" borderId="28" xfId="0" applyNumberFormat="1" applyFont="1" applyFill="1" applyBorder="1" applyAlignment="1" applyProtection="1">
      <alignment/>
      <protection/>
    </xf>
    <xf numFmtId="164" fontId="4" fillId="39" borderId="29" xfId="0" applyNumberFormat="1" applyFont="1" applyFill="1" applyBorder="1" applyAlignment="1" applyProtection="1">
      <alignment/>
      <protection/>
    </xf>
    <xf numFmtId="164" fontId="4" fillId="39" borderId="30" xfId="0" applyNumberFormat="1" applyFont="1" applyFill="1" applyBorder="1" applyAlignment="1" applyProtection="1">
      <alignment/>
      <protection/>
    </xf>
    <xf numFmtId="164" fontId="4" fillId="40" borderId="0" xfId="0" applyNumberFormat="1" applyFont="1" applyFill="1" applyAlignment="1" applyProtection="1">
      <alignment/>
      <protection/>
    </xf>
    <xf numFmtId="164" fontId="1" fillId="40" borderId="0" xfId="0" applyNumberFormat="1" applyFont="1" applyFill="1" applyAlignment="1" applyProtection="1">
      <alignment/>
      <protection/>
    </xf>
    <xf numFmtId="7" fontId="4" fillId="40" borderId="0" xfId="0" applyNumberFormat="1" applyFont="1" applyFill="1" applyAlignment="1" applyProtection="1">
      <alignment/>
      <protection/>
    </xf>
    <xf numFmtId="164" fontId="4" fillId="0" borderId="15" xfId="0" applyNumberFormat="1" applyFont="1" applyBorder="1" applyAlignment="1" applyProtection="1">
      <alignment horizontal="left"/>
      <protection/>
    </xf>
    <xf numFmtId="164" fontId="4" fillId="0" borderId="0" xfId="0" applyNumberFormat="1" applyFont="1" applyBorder="1" applyAlignment="1" applyProtection="1">
      <alignment horizontal="left"/>
      <protection/>
    </xf>
    <xf numFmtId="7" fontId="4" fillId="0" borderId="15" xfId="0" applyNumberFormat="1" applyFont="1" applyBorder="1" applyAlignment="1" applyProtection="1">
      <alignment horizontal="left"/>
      <protection/>
    </xf>
    <xf numFmtId="7" fontId="4" fillId="0" borderId="15" xfId="0" applyNumberFormat="1" applyFont="1" applyBorder="1" applyAlignment="1" applyProtection="1">
      <alignment horizontal="center"/>
      <protection/>
    </xf>
    <xf numFmtId="164" fontId="4" fillId="0" borderId="15" xfId="0" applyNumberFormat="1" applyFont="1" applyBorder="1" applyAlignment="1" applyProtection="1">
      <alignment horizontal="center"/>
      <protection/>
    </xf>
    <xf numFmtId="10" fontId="4" fillId="0" borderId="15" xfId="0" applyNumberFormat="1" applyFont="1" applyBorder="1" applyAlignment="1" applyProtection="1">
      <alignment horizontal="center"/>
      <protection/>
    </xf>
    <xf numFmtId="166" fontId="4" fillId="0" borderId="15" xfId="0" applyNumberFormat="1" applyFont="1" applyBorder="1" applyAlignment="1" applyProtection="1">
      <alignment horizontal="center"/>
      <protection/>
    </xf>
    <xf numFmtId="10" fontId="1" fillId="0" borderId="31" xfId="0" applyNumberFormat="1" applyFont="1" applyBorder="1" applyAlignment="1" applyProtection="1">
      <alignment horizontal="center"/>
      <protection/>
    </xf>
    <xf numFmtId="10" fontId="1" fillId="0" borderId="0" xfId="0" applyNumberFormat="1" applyFont="1" applyAlignment="1" applyProtection="1">
      <alignment horizontal="center"/>
      <protection/>
    </xf>
    <xf numFmtId="166" fontId="1" fillId="0" borderId="0" xfId="0" applyNumberFormat="1" applyFont="1" applyAlignment="1" applyProtection="1">
      <alignment horizontal="center"/>
      <protection/>
    </xf>
    <xf numFmtId="7" fontId="1" fillId="0" borderId="25" xfId="0" applyNumberFormat="1" applyFont="1" applyBorder="1" applyAlignment="1" applyProtection="1">
      <alignment horizontal="center"/>
      <protection/>
    </xf>
    <xf numFmtId="7" fontId="1" fillId="0" borderId="0" xfId="0" applyNumberFormat="1" applyFont="1" applyAlignment="1" applyProtection="1">
      <alignment horizontal="center"/>
      <protection/>
    </xf>
    <xf numFmtId="164" fontId="1" fillId="0" borderId="25" xfId="0" applyNumberFormat="1" applyFont="1" applyBorder="1" applyAlignment="1" applyProtection="1">
      <alignment horizontal="center"/>
      <protection/>
    </xf>
    <xf numFmtId="164" fontId="1" fillId="0" borderId="26" xfId="0" applyNumberFormat="1" applyFont="1" applyBorder="1" applyAlignment="1" applyProtection="1">
      <alignment horizontal="center"/>
      <protection/>
    </xf>
    <xf numFmtId="7" fontId="1" fillId="33" borderId="32" xfId="0" applyNumberFormat="1" applyFont="1" applyFill="1" applyBorder="1" applyAlignment="1" applyProtection="1">
      <alignment horizontal="center"/>
      <protection/>
    </xf>
    <xf numFmtId="7" fontId="1" fillId="33" borderId="33" xfId="0" applyNumberFormat="1" applyFont="1" applyFill="1" applyBorder="1" applyAlignment="1" applyProtection="1">
      <alignment horizontal="center"/>
      <protection/>
    </xf>
    <xf numFmtId="164" fontId="13" fillId="41" borderId="0" xfId="0" applyNumberFormat="1" applyFont="1" applyFill="1" applyAlignment="1" applyProtection="1">
      <alignment horizontal="left"/>
      <protection/>
    </xf>
    <xf numFmtId="164" fontId="7" fillId="42" borderId="0" xfId="0" applyNumberFormat="1" applyFont="1" applyFill="1" applyBorder="1" applyAlignment="1" applyProtection="1">
      <alignment/>
      <protection/>
    </xf>
    <xf numFmtId="164" fontId="1" fillId="42" borderId="0" xfId="0" applyNumberFormat="1" applyFont="1" applyFill="1" applyAlignment="1" applyProtection="1">
      <alignment horizontal="center"/>
      <protection/>
    </xf>
    <xf numFmtId="164" fontId="1" fillId="0" borderId="0" xfId="0" applyNumberFormat="1" applyFont="1" applyFill="1" applyAlignment="1" applyProtection="1">
      <alignment horizontal="right"/>
      <protection/>
    </xf>
    <xf numFmtId="164" fontId="4" fillId="0" borderId="0" xfId="0" applyNumberFormat="1" applyFont="1" applyBorder="1" applyAlignment="1" applyProtection="1">
      <alignment/>
      <protection/>
    </xf>
    <xf numFmtId="164" fontId="1" fillId="0" borderId="34" xfId="0" applyNumberFormat="1" applyFont="1" applyBorder="1" applyAlignment="1" applyProtection="1">
      <alignment horizontal="centerContinuous"/>
      <protection/>
    </xf>
    <xf numFmtId="164" fontId="4" fillId="0" borderId="34" xfId="0" applyNumberFormat="1" applyFont="1" applyBorder="1" applyAlignment="1" applyProtection="1">
      <alignment horizontal="centerContinuous"/>
      <protection/>
    </xf>
    <xf numFmtId="164" fontId="1" fillId="0" borderId="34" xfId="0" applyNumberFormat="1" applyFont="1" applyBorder="1" applyAlignment="1" applyProtection="1">
      <alignment horizontal="left"/>
      <protection/>
    </xf>
    <xf numFmtId="164" fontId="8" fillId="0" borderId="0" xfId="0" applyNumberFormat="1" applyFont="1" applyFill="1" applyAlignment="1" applyProtection="1">
      <alignment/>
      <protection/>
    </xf>
    <xf numFmtId="164" fontId="1" fillId="0" borderId="0" xfId="0" applyFont="1" applyAlignment="1" applyProtection="1">
      <alignment/>
      <protection/>
    </xf>
    <xf numFmtId="164" fontId="19" fillId="0" borderId="0" xfId="0" applyFont="1" applyAlignment="1" applyProtection="1">
      <alignment/>
      <protection/>
    </xf>
    <xf numFmtId="164" fontId="0" fillId="0" borderId="0" xfId="0" applyAlignment="1" applyProtection="1">
      <alignment/>
      <protection/>
    </xf>
    <xf numFmtId="164" fontId="1" fillId="0" borderId="0" xfId="0" applyFont="1" applyAlignment="1" applyProtection="1">
      <alignment horizontal="left"/>
      <protection/>
    </xf>
    <xf numFmtId="164" fontId="1" fillId="0" borderId="0" xfId="0" applyFont="1" applyAlignment="1">
      <alignment/>
    </xf>
    <xf numFmtId="164" fontId="1" fillId="0" borderId="0" xfId="0" applyFont="1" applyBorder="1" applyAlignment="1" applyProtection="1">
      <alignment/>
      <protection/>
    </xf>
    <xf numFmtId="164" fontId="4" fillId="0" borderId="0" xfId="0" applyFont="1" applyAlignment="1" applyProtection="1">
      <alignment/>
      <protection/>
    </xf>
    <xf numFmtId="164" fontId="4" fillId="0" borderId="0" xfId="0" applyFont="1" applyAlignment="1" applyProtection="1">
      <alignment horizontal="left"/>
      <protection/>
    </xf>
    <xf numFmtId="164" fontId="4" fillId="0" borderId="0" xfId="0" applyFont="1" applyFill="1" applyAlignment="1" applyProtection="1">
      <alignment/>
      <protection/>
    </xf>
    <xf numFmtId="164" fontId="4" fillId="43" borderId="0" xfId="0" applyFont="1" applyFill="1" applyAlignment="1" applyProtection="1">
      <alignment/>
      <protection/>
    </xf>
    <xf numFmtId="164" fontId="11" fillId="37" borderId="0" xfId="0" applyFont="1" applyFill="1" applyAlignment="1" applyProtection="1">
      <alignment/>
      <protection/>
    </xf>
    <xf numFmtId="164" fontId="14" fillId="0" borderId="0" xfId="0" applyFont="1" applyFill="1" applyAlignment="1" applyProtection="1">
      <alignment horizontal="left"/>
      <protection/>
    </xf>
    <xf numFmtId="2" fontId="5" fillId="0" borderId="22" xfId="0" applyNumberFormat="1" applyFont="1" applyBorder="1" applyAlignment="1" applyProtection="1">
      <alignment horizontal="center"/>
      <protection/>
    </xf>
    <xf numFmtId="164" fontId="4" fillId="0" borderId="0" xfId="0" applyFont="1" applyBorder="1" applyAlignment="1" applyProtection="1">
      <alignment/>
      <protection/>
    </xf>
    <xf numFmtId="164" fontId="4" fillId="0" borderId="0" xfId="0" applyFont="1" applyAlignment="1" applyProtection="1">
      <alignment horizontal="centerContinuous"/>
      <protection/>
    </xf>
    <xf numFmtId="164" fontId="4" fillId="0" borderId="34" xfId="0" applyFont="1" applyBorder="1" applyAlignment="1" applyProtection="1">
      <alignment horizontal="centerContinuous"/>
      <protection/>
    </xf>
    <xf numFmtId="164" fontId="4" fillId="0" borderId="34" xfId="0" applyFont="1" applyBorder="1" applyAlignment="1" applyProtection="1">
      <alignment/>
      <protection/>
    </xf>
    <xf numFmtId="7" fontId="1" fillId="0" borderId="0" xfId="0" applyNumberFormat="1" applyFont="1" applyFill="1" applyBorder="1" applyAlignment="1" applyProtection="1">
      <alignment horizontal="center"/>
      <protection/>
    </xf>
    <xf numFmtId="10" fontId="1" fillId="33" borderId="0" xfId="0" applyNumberFormat="1" applyFont="1" applyFill="1" applyBorder="1" applyAlignment="1" applyProtection="1">
      <alignment horizontal="center"/>
      <protection/>
    </xf>
    <xf numFmtId="10" fontId="4" fillId="0" borderId="0" xfId="0" applyNumberFormat="1" applyFont="1" applyAlignment="1" applyProtection="1">
      <alignment horizontal="center"/>
      <protection/>
    </xf>
    <xf numFmtId="164" fontId="18" fillId="0" borderId="0" xfId="0" applyFont="1" applyFill="1" applyAlignment="1" applyProtection="1">
      <alignment/>
      <protection/>
    </xf>
    <xf numFmtId="164" fontId="23" fillId="39" borderId="29" xfId="0" applyNumberFormat="1" applyFont="1" applyFill="1" applyBorder="1" applyAlignment="1" applyProtection="1">
      <alignment horizontal="left"/>
      <protection/>
    </xf>
    <xf numFmtId="164" fontId="23" fillId="40" borderId="0" xfId="0" applyNumberFormat="1" applyFont="1" applyFill="1" applyAlignment="1" applyProtection="1">
      <alignment horizontal="left"/>
      <protection/>
    </xf>
    <xf numFmtId="168" fontId="1" fillId="0" borderId="0" xfId="0" applyNumberFormat="1" applyFont="1" applyAlignment="1" applyProtection="1">
      <alignment/>
      <protection/>
    </xf>
    <xf numFmtId="168" fontId="1" fillId="0" borderId="0" xfId="0" applyNumberFormat="1" applyFont="1" applyAlignment="1" applyProtection="1">
      <alignment horizontal="center"/>
      <protection/>
    </xf>
    <xf numFmtId="164" fontId="8" fillId="0" borderId="0" xfId="0" applyNumberFormat="1" applyFont="1" applyAlignment="1" applyProtection="1">
      <alignment horizontal="center"/>
      <protection/>
    </xf>
    <xf numFmtId="168" fontId="1" fillId="0" borderId="0" xfId="0" applyNumberFormat="1" applyFont="1" applyBorder="1" applyAlignment="1" applyProtection="1">
      <alignment horizontal="center"/>
      <protection/>
    </xf>
    <xf numFmtId="168" fontId="1" fillId="0" borderId="35" xfId="0" applyNumberFormat="1" applyFont="1" applyBorder="1" applyAlignment="1" applyProtection="1">
      <alignment horizontal="center"/>
      <protection/>
    </xf>
    <xf numFmtId="164" fontId="4" fillId="44" borderId="0" xfId="0" applyFont="1" applyFill="1" applyAlignment="1" applyProtection="1">
      <alignment/>
      <protection/>
    </xf>
    <xf numFmtId="164" fontId="1" fillId="0" borderId="0" xfId="0" applyNumberFormat="1" applyFont="1" applyAlignment="1" applyProtection="1" quotePrefix="1">
      <alignment/>
      <protection/>
    </xf>
    <xf numFmtId="10" fontId="1" fillId="0" borderId="34" xfId="0" applyNumberFormat="1" applyFont="1" applyBorder="1" applyAlignment="1" applyProtection="1">
      <alignment/>
      <protection/>
    </xf>
    <xf numFmtId="37" fontId="1" fillId="0" borderId="0" xfId="0" applyNumberFormat="1" applyFont="1" applyAlignment="1" applyProtection="1">
      <alignment horizontal="center"/>
      <protection/>
    </xf>
    <xf numFmtId="9" fontId="7" fillId="0" borderId="19" xfId="0" applyNumberFormat="1" applyFont="1" applyBorder="1" applyAlignment="1" applyProtection="1">
      <alignment horizontal="center"/>
      <protection locked="0"/>
    </xf>
    <xf numFmtId="164" fontId="8" fillId="0" borderId="17" xfId="0" applyNumberFormat="1" applyFont="1" applyBorder="1" applyAlignment="1" applyProtection="1">
      <alignment horizontal="center"/>
      <protection/>
    </xf>
    <xf numFmtId="5" fontId="1" fillId="0" borderId="17" xfId="0" applyNumberFormat="1" applyFont="1" applyBorder="1" applyAlignment="1" applyProtection="1">
      <alignment horizontal="center"/>
      <protection/>
    </xf>
    <xf numFmtId="164" fontId="13" fillId="0" borderId="0" xfId="0" applyNumberFormat="1" applyFont="1" applyAlignment="1" applyProtection="1">
      <alignment horizontal="left"/>
      <protection/>
    </xf>
    <xf numFmtId="164" fontId="1" fillId="0" borderId="34" xfId="0" applyNumberFormat="1" applyFont="1" applyBorder="1" applyAlignment="1" applyProtection="1">
      <alignment/>
      <protection/>
    </xf>
    <xf numFmtId="164" fontId="1" fillId="0" borderId="34" xfId="0" applyNumberFormat="1" applyFont="1" applyBorder="1" applyAlignment="1" applyProtection="1">
      <alignment horizontal="right"/>
      <protection/>
    </xf>
    <xf numFmtId="168" fontId="1" fillId="0" borderId="36" xfId="0" applyNumberFormat="1" applyFont="1" applyBorder="1" applyAlignment="1" applyProtection="1">
      <alignment horizontal="center"/>
      <protection/>
    </xf>
    <xf numFmtId="164" fontId="1" fillId="0" borderId="0" xfId="0" applyFont="1" applyFill="1" applyAlignment="1" applyProtection="1">
      <alignment/>
      <protection/>
    </xf>
    <xf numFmtId="164" fontId="1" fillId="0" borderId="0" xfId="0" applyFont="1" applyAlignment="1" applyProtection="1">
      <alignment horizontal="center"/>
      <protection/>
    </xf>
    <xf numFmtId="164" fontId="1" fillId="45" borderId="0" xfId="0" applyNumberFormat="1" applyFont="1" applyFill="1" applyAlignment="1" applyProtection="1">
      <alignment/>
      <protection/>
    </xf>
    <xf numFmtId="164" fontId="1" fillId="33" borderId="0" xfId="0" applyNumberFormat="1" applyFont="1" applyFill="1" applyAlignment="1" applyProtection="1">
      <alignment/>
      <protection/>
    </xf>
    <xf numFmtId="165" fontId="1" fillId="0" borderId="0" xfId="0" applyNumberFormat="1" applyFont="1" applyAlignment="1" applyProtection="1">
      <alignment horizontal="center"/>
      <protection/>
    </xf>
    <xf numFmtId="7" fontId="1" fillId="0" borderId="0" xfId="0" applyNumberFormat="1" applyFont="1" applyAlignment="1" applyProtection="1">
      <alignment horizontal="left"/>
      <protection/>
    </xf>
    <xf numFmtId="37" fontId="1" fillId="33" borderId="0" xfId="0" applyNumberFormat="1" applyFont="1" applyFill="1" applyAlignment="1" applyProtection="1">
      <alignment horizontal="center"/>
      <protection/>
    </xf>
    <xf numFmtId="164" fontId="1" fillId="33" borderId="0" xfId="0" applyNumberFormat="1" applyFont="1" applyFill="1" applyAlignment="1" applyProtection="1">
      <alignment horizontal="center"/>
      <protection/>
    </xf>
    <xf numFmtId="5" fontId="1" fillId="33" borderId="0" xfId="0" applyNumberFormat="1" applyFont="1" applyFill="1" applyAlignment="1" applyProtection="1">
      <alignment horizontal="center"/>
      <protection/>
    </xf>
    <xf numFmtId="164" fontId="1" fillId="0" borderId="0" xfId="0" applyFont="1" applyAlignment="1" applyProtection="1">
      <alignment horizontal="right"/>
      <protection/>
    </xf>
    <xf numFmtId="2" fontId="5" fillId="0" borderId="0" xfId="0" applyNumberFormat="1" applyFont="1" applyFill="1" applyAlignment="1" applyProtection="1">
      <alignment horizontal="center"/>
      <protection/>
    </xf>
    <xf numFmtId="164" fontId="5" fillId="0" borderId="0" xfId="0" applyFont="1" applyAlignment="1" applyProtection="1">
      <alignment/>
      <protection/>
    </xf>
    <xf numFmtId="5" fontId="1" fillId="42" borderId="0" xfId="0" applyNumberFormat="1" applyFont="1" applyFill="1" applyAlignment="1" applyProtection="1">
      <alignment horizontal="center"/>
      <protection/>
    </xf>
    <xf numFmtId="7" fontId="1" fillId="42" borderId="0" xfId="0" applyNumberFormat="1" applyFont="1" applyFill="1" applyAlignment="1" applyProtection="1">
      <alignment horizontal="center"/>
      <protection/>
    </xf>
    <xf numFmtId="164" fontId="14" fillId="0" borderId="0" xfId="0" applyFont="1" applyAlignment="1" applyProtection="1">
      <alignment horizontal="center"/>
      <protection/>
    </xf>
    <xf numFmtId="164" fontId="14" fillId="0" borderId="0" xfId="0" applyFont="1" applyAlignment="1" applyProtection="1">
      <alignment horizontal="center" wrapText="1"/>
      <protection/>
    </xf>
    <xf numFmtId="164" fontId="1" fillId="0" borderId="0" xfId="0" applyFont="1" applyAlignment="1" applyProtection="1">
      <alignment horizontal="center" wrapText="1"/>
      <protection/>
    </xf>
    <xf numFmtId="164" fontId="14" fillId="38" borderId="0" xfId="0" applyFont="1" applyFill="1" applyAlignment="1" applyProtection="1">
      <alignment horizontal="center"/>
      <protection/>
    </xf>
    <xf numFmtId="164" fontId="1" fillId="0" borderId="36" xfId="0" applyFont="1" applyBorder="1" applyAlignment="1" applyProtection="1">
      <alignment horizontal="center"/>
      <protection/>
    </xf>
    <xf numFmtId="164" fontId="1" fillId="0" borderId="36" xfId="0" applyFont="1" applyBorder="1" applyAlignment="1" applyProtection="1">
      <alignment horizontal="center" wrapText="1"/>
      <protection/>
    </xf>
    <xf numFmtId="7" fontId="1" fillId="0" borderId="37" xfId="0" applyNumberFormat="1" applyFont="1" applyBorder="1" applyAlignment="1" applyProtection="1">
      <alignment horizontal="center"/>
      <protection/>
    </xf>
    <xf numFmtId="169" fontId="1" fillId="0" borderId="38" xfId="0" applyNumberFormat="1" applyFont="1" applyBorder="1" applyAlignment="1" applyProtection="1">
      <alignment horizontal="center"/>
      <protection/>
    </xf>
    <xf numFmtId="168" fontId="1" fillId="0" borderId="38" xfId="0" applyNumberFormat="1" applyFont="1" applyBorder="1" applyAlignment="1" applyProtection="1">
      <alignment horizontal="center"/>
      <protection/>
    </xf>
    <xf numFmtId="168" fontId="1" fillId="0" borderId="39" xfId="0" applyNumberFormat="1" applyFont="1" applyBorder="1" applyAlignment="1" applyProtection="1">
      <alignment horizontal="center"/>
      <protection/>
    </xf>
    <xf numFmtId="7" fontId="1" fillId="0" borderId="40" xfId="0" applyNumberFormat="1" applyFont="1" applyBorder="1" applyAlignment="1" applyProtection="1">
      <alignment horizontal="center"/>
      <protection/>
    </xf>
    <xf numFmtId="167" fontId="7" fillId="0" borderId="0" xfId="0" applyNumberFormat="1" applyFont="1" applyBorder="1" applyAlignment="1" applyProtection="1">
      <alignment horizontal="center"/>
      <protection/>
    </xf>
    <xf numFmtId="169" fontId="1" fillId="0" borderId="0" xfId="0" applyNumberFormat="1" applyFont="1" applyBorder="1" applyAlignment="1" applyProtection="1">
      <alignment horizontal="center"/>
      <protection/>
    </xf>
    <xf numFmtId="168" fontId="1" fillId="0" borderId="41" xfId="0" applyNumberFormat="1" applyFont="1" applyBorder="1" applyAlignment="1" applyProtection="1">
      <alignment horizontal="center"/>
      <protection/>
    </xf>
    <xf numFmtId="7" fontId="1" fillId="0" borderId="42" xfId="0" applyNumberFormat="1" applyFont="1" applyBorder="1" applyAlignment="1" applyProtection="1">
      <alignment horizontal="center"/>
      <protection/>
    </xf>
    <xf numFmtId="169" fontId="1" fillId="0" borderId="34" xfId="0" applyNumberFormat="1" applyFont="1" applyBorder="1" applyAlignment="1" applyProtection="1">
      <alignment horizontal="center"/>
      <protection/>
    </xf>
    <xf numFmtId="168" fontId="1" fillId="0" borderId="43" xfId="0" applyNumberFormat="1" applyFont="1" applyBorder="1" applyAlignment="1" applyProtection="1">
      <alignment horizontal="center"/>
      <protection/>
    </xf>
    <xf numFmtId="7" fontId="1" fillId="0" borderId="0" xfId="0" applyNumberFormat="1" applyFont="1" applyBorder="1" applyAlignment="1" applyProtection="1">
      <alignment horizontal="center"/>
      <protection/>
    </xf>
    <xf numFmtId="2" fontId="1" fillId="0" borderId="0" xfId="0" applyNumberFormat="1" applyFont="1" applyBorder="1" applyAlignment="1" applyProtection="1">
      <alignment horizontal="center"/>
      <protection/>
    </xf>
    <xf numFmtId="168" fontId="1" fillId="35" borderId="36" xfId="0" applyNumberFormat="1" applyFont="1" applyFill="1" applyBorder="1" applyAlignment="1" applyProtection="1">
      <alignment horizontal="center"/>
      <protection/>
    </xf>
    <xf numFmtId="169" fontId="1" fillId="0" borderId="36" xfId="0" applyNumberFormat="1" applyFont="1" applyBorder="1" applyAlignment="1" applyProtection="1">
      <alignment horizontal="center"/>
      <protection/>
    </xf>
    <xf numFmtId="164" fontId="1" fillId="0" borderId="37" xfId="0" applyFont="1" applyBorder="1" applyAlignment="1" applyProtection="1">
      <alignment horizontal="center"/>
      <protection/>
    </xf>
    <xf numFmtId="164" fontId="1" fillId="0" borderId="40" xfId="0" applyFont="1" applyBorder="1" applyAlignment="1" applyProtection="1">
      <alignment horizontal="center"/>
      <protection/>
    </xf>
    <xf numFmtId="168" fontId="1" fillId="0" borderId="34" xfId="0" applyNumberFormat="1" applyFont="1" applyBorder="1" applyAlignment="1" applyProtection="1">
      <alignment horizontal="center"/>
      <protection/>
    </xf>
    <xf numFmtId="164" fontId="1" fillId="35" borderId="0" xfId="0" applyFont="1" applyFill="1" applyAlignment="1" applyProtection="1">
      <alignment/>
      <protection/>
    </xf>
    <xf numFmtId="168" fontId="1" fillId="0" borderId="37" xfId="0" applyNumberFormat="1" applyFont="1" applyBorder="1" applyAlignment="1" applyProtection="1">
      <alignment horizontal="center"/>
      <protection/>
    </xf>
    <xf numFmtId="168" fontId="1" fillId="0" borderId="40" xfId="0" applyNumberFormat="1" applyFont="1" applyBorder="1" applyAlignment="1" applyProtection="1">
      <alignment horizontal="center"/>
      <protection/>
    </xf>
    <xf numFmtId="168" fontId="1" fillId="0" borderId="42" xfId="0" applyNumberFormat="1" applyFont="1" applyBorder="1" applyAlignment="1" applyProtection="1">
      <alignment horizontal="center"/>
      <protection/>
    </xf>
    <xf numFmtId="10" fontId="7" fillId="0" borderId="36" xfId="0" applyNumberFormat="1" applyFont="1" applyBorder="1" applyAlignment="1" applyProtection="1">
      <alignment/>
      <protection locked="0"/>
    </xf>
    <xf numFmtId="164" fontId="1" fillId="0" borderId="44" xfId="0" applyFont="1" applyBorder="1" applyAlignment="1" applyProtection="1">
      <alignment horizontal="center"/>
      <protection/>
    </xf>
    <xf numFmtId="164" fontId="1" fillId="0" borderId="35" xfId="0" applyFont="1" applyBorder="1" applyAlignment="1" applyProtection="1">
      <alignment horizontal="center"/>
      <protection/>
    </xf>
    <xf numFmtId="164" fontId="8" fillId="0" borderId="0" xfId="0" applyFont="1" applyBorder="1" applyAlignment="1" applyProtection="1">
      <alignment horizontal="center"/>
      <protection/>
    </xf>
    <xf numFmtId="5" fontId="1" fillId="0" borderId="40" xfId="0" applyNumberFormat="1" applyFont="1" applyBorder="1" applyAlignment="1" applyProtection="1">
      <alignment horizontal="center"/>
      <protection/>
    </xf>
    <xf numFmtId="167" fontId="1" fillId="0" borderId="41" xfId="0" applyNumberFormat="1" applyFont="1" applyBorder="1" applyAlignment="1" applyProtection="1">
      <alignment horizontal="center"/>
      <protection/>
    </xf>
    <xf numFmtId="7" fontId="1" fillId="0" borderId="41" xfId="0" applyNumberFormat="1" applyFont="1" applyBorder="1" applyAlignment="1" applyProtection="1">
      <alignment horizontal="center"/>
      <protection/>
    </xf>
    <xf numFmtId="5" fontId="1" fillId="0" borderId="40" xfId="0" applyNumberFormat="1" applyFont="1" applyFill="1" applyBorder="1" applyAlignment="1" applyProtection="1">
      <alignment horizontal="center"/>
      <protection/>
    </xf>
    <xf numFmtId="164" fontId="1" fillId="0" borderId="43" xfId="0" applyFont="1" applyBorder="1" applyAlignment="1" applyProtection="1">
      <alignment horizontal="center"/>
      <protection/>
    </xf>
    <xf numFmtId="164" fontId="4" fillId="35" borderId="40" xfId="0" applyFont="1" applyFill="1" applyBorder="1" applyAlignment="1">
      <alignment/>
    </xf>
    <xf numFmtId="164" fontId="1" fillId="0" borderId="45" xfId="0" applyNumberFormat="1" applyFont="1" applyBorder="1" applyAlignment="1" applyProtection="1">
      <alignment horizontal="center"/>
      <protection/>
    </xf>
    <xf numFmtId="164" fontId="1" fillId="0" borderId="46" xfId="0" applyFont="1" applyBorder="1" applyAlignment="1">
      <alignment horizontal="center"/>
    </xf>
    <xf numFmtId="164" fontId="1" fillId="0" borderId="45" xfId="0" applyFont="1" applyBorder="1" applyAlignment="1">
      <alignment horizontal="center"/>
    </xf>
    <xf numFmtId="164" fontId="4" fillId="35" borderId="41" xfId="0" applyFont="1" applyFill="1" applyBorder="1" applyAlignment="1" applyProtection="1">
      <alignment/>
      <protection/>
    </xf>
    <xf numFmtId="5" fontId="1" fillId="0" borderId="0" xfId="0" applyNumberFormat="1" applyFont="1" applyBorder="1" applyAlignment="1" applyProtection="1">
      <alignment horizontal="center"/>
      <protection/>
    </xf>
    <xf numFmtId="164" fontId="4" fillId="0" borderId="0" xfId="0" applyFont="1" applyBorder="1" applyAlignment="1">
      <alignment/>
    </xf>
    <xf numFmtId="164" fontId="8" fillId="0" borderId="0" xfId="0" applyFont="1" applyBorder="1" applyAlignment="1" applyProtection="1">
      <alignment horizontal="right"/>
      <protection/>
    </xf>
    <xf numFmtId="6" fontId="1" fillId="0" borderId="0" xfId="0" applyNumberFormat="1" applyFont="1" applyAlignment="1" applyProtection="1">
      <alignment horizontal="center"/>
      <protection/>
    </xf>
    <xf numFmtId="164" fontId="4" fillId="0" borderId="0" xfId="0" applyFont="1" applyFill="1" applyBorder="1" applyAlignment="1" applyProtection="1">
      <alignment/>
      <protection/>
    </xf>
    <xf numFmtId="5" fontId="1" fillId="0" borderId="47" xfId="0" applyNumberFormat="1" applyFont="1" applyBorder="1" applyAlignment="1" applyProtection="1">
      <alignment horizontal="center"/>
      <protection/>
    </xf>
    <xf numFmtId="7" fontId="1" fillId="0" borderId="48" xfId="0" applyNumberFormat="1" applyFont="1" applyBorder="1" applyAlignment="1" applyProtection="1">
      <alignment horizontal="center"/>
      <protection/>
    </xf>
    <xf numFmtId="164" fontId="4" fillId="35" borderId="47" xfId="0" applyFont="1" applyFill="1" applyBorder="1" applyAlignment="1">
      <alignment/>
    </xf>
    <xf numFmtId="164" fontId="4" fillId="35" borderId="48" xfId="0" applyFont="1" applyFill="1" applyBorder="1" applyAlignment="1" applyProtection="1">
      <alignment/>
      <protection/>
    </xf>
    <xf numFmtId="164" fontId="1" fillId="35" borderId="41" xfId="0" applyFont="1" applyFill="1" applyBorder="1" applyAlignment="1" applyProtection="1">
      <alignment horizontal="center"/>
      <protection/>
    </xf>
    <xf numFmtId="164" fontId="10" fillId="0" borderId="49" xfId="0" applyFont="1" applyBorder="1" applyAlignment="1" applyProtection="1">
      <alignment horizontal="center"/>
      <protection/>
    </xf>
    <xf numFmtId="168" fontId="1" fillId="0" borderId="47" xfId="0" applyNumberFormat="1" applyFont="1" applyBorder="1" applyAlignment="1" applyProtection="1">
      <alignment horizontal="center"/>
      <protection/>
    </xf>
    <xf numFmtId="5" fontId="1" fillId="0" borderId="50" xfId="0" applyNumberFormat="1" applyFont="1" applyBorder="1" applyAlignment="1" applyProtection="1">
      <alignment horizontal="center"/>
      <protection/>
    </xf>
    <xf numFmtId="167" fontId="1" fillId="0" borderId="51" xfId="0" applyNumberFormat="1" applyFont="1" applyFill="1" applyBorder="1" applyAlignment="1" applyProtection="1">
      <alignment horizontal="center"/>
      <protection/>
    </xf>
    <xf numFmtId="167" fontId="1" fillId="0" borderId="51" xfId="0" applyNumberFormat="1" applyFont="1" applyBorder="1" applyAlignment="1" applyProtection="1">
      <alignment horizontal="center"/>
      <protection/>
    </xf>
    <xf numFmtId="168" fontId="1" fillId="0" borderId="48" xfId="0" applyNumberFormat="1" applyFont="1" applyBorder="1" applyAlignment="1" applyProtection="1">
      <alignment horizontal="center"/>
      <protection/>
    </xf>
    <xf numFmtId="10" fontId="1" fillId="42" borderId="52" xfId="0" applyNumberFormat="1" applyFont="1" applyFill="1" applyBorder="1" applyAlignment="1">
      <alignment horizontal="center"/>
    </xf>
    <xf numFmtId="10" fontId="1" fillId="42" borderId="53" xfId="0" applyNumberFormat="1" applyFont="1" applyFill="1" applyBorder="1" applyAlignment="1" applyProtection="1">
      <alignment horizontal="center"/>
      <protection/>
    </xf>
    <xf numFmtId="164" fontId="1" fillId="35" borderId="44" xfId="0" applyFont="1" applyFill="1" applyBorder="1" applyAlignment="1" applyProtection="1">
      <alignment horizontal="center"/>
      <protection/>
    </xf>
    <xf numFmtId="10" fontId="1" fillId="0" borderId="54" xfId="0" applyNumberFormat="1" applyFont="1" applyBorder="1" applyAlignment="1" applyProtection="1">
      <alignment horizontal="center"/>
      <protection/>
    </xf>
    <xf numFmtId="10" fontId="1" fillId="0" borderId="55" xfId="0" applyNumberFormat="1" applyFont="1" applyBorder="1" applyAlignment="1" applyProtection="1">
      <alignment horizontal="center"/>
      <protection/>
    </xf>
    <xf numFmtId="10" fontId="1" fillId="0" borderId="54" xfId="0" applyNumberFormat="1" applyFont="1" applyBorder="1" applyAlignment="1">
      <alignment horizontal="center"/>
    </xf>
    <xf numFmtId="10" fontId="1" fillId="41" borderId="52" xfId="0" applyNumberFormat="1" applyFont="1" applyFill="1" applyBorder="1" applyAlignment="1" applyProtection="1">
      <alignment horizontal="center"/>
      <protection/>
    </xf>
    <xf numFmtId="10" fontId="1" fillId="41" borderId="56" xfId="0" applyNumberFormat="1" applyFont="1" applyFill="1" applyBorder="1" applyAlignment="1" applyProtection="1">
      <alignment horizontal="center"/>
      <protection/>
    </xf>
    <xf numFmtId="3" fontId="1" fillId="0" borderId="47" xfId="0" applyNumberFormat="1" applyFont="1" applyBorder="1" applyAlignment="1">
      <alignment horizontal="center"/>
    </xf>
    <xf numFmtId="3" fontId="1" fillId="0" borderId="48" xfId="0" applyNumberFormat="1" applyFont="1" applyBorder="1" applyAlignment="1" applyProtection="1">
      <alignment horizontal="center"/>
      <protection/>
    </xf>
    <xf numFmtId="168" fontId="4" fillId="0" borderId="0" xfId="0" applyNumberFormat="1" applyFont="1" applyAlignment="1">
      <alignment/>
    </xf>
    <xf numFmtId="168" fontId="4" fillId="0" borderId="0" xfId="0" applyNumberFormat="1" applyFont="1" applyAlignment="1" applyProtection="1">
      <alignment/>
      <protection/>
    </xf>
    <xf numFmtId="168" fontId="1" fillId="0" borderId="0" xfId="0" applyNumberFormat="1" applyFont="1" applyAlignment="1">
      <alignment horizontal="center"/>
    </xf>
    <xf numFmtId="168" fontId="1" fillId="0" borderId="41" xfId="0" applyNumberFormat="1" applyFont="1" applyBorder="1" applyAlignment="1">
      <alignment horizontal="center"/>
    </xf>
    <xf numFmtId="168" fontId="1" fillId="0" borderId="40" xfId="0" applyNumberFormat="1" applyFont="1" applyBorder="1" applyAlignment="1">
      <alignment horizontal="center"/>
    </xf>
    <xf numFmtId="168" fontId="4" fillId="0" borderId="40" xfId="0" applyNumberFormat="1" applyFont="1" applyBorder="1" applyAlignment="1">
      <alignment/>
    </xf>
    <xf numFmtId="168" fontId="4" fillId="0" borderId="41" xfId="0" applyNumberFormat="1" applyFont="1" applyBorder="1" applyAlignment="1" applyProtection="1">
      <alignment/>
      <protection/>
    </xf>
    <xf numFmtId="5" fontId="1" fillId="0" borderId="57" xfId="0" applyNumberFormat="1" applyFont="1" applyFill="1" applyBorder="1" applyAlignment="1" applyProtection="1">
      <alignment horizontal="center"/>
      <protection/>
    </xf>
    <xf numFmtId="167" fontId="1" fillId="0" borderId="58" xfId="0" applyNumberFormat="1" applyFont="1" applyFill="1" applyBorder="1" applyAlignment="1" applyProtection="1">
      <alignment horizontal="center"/>
      <protection/>
    </xf>
    <xf numFmtId="164" fontId="4" fillId="0" borderId="58" xfId="0" applyFont="1" applyBorder="1" applyAlignment="1">
      <alignment/>
    </xf>
    <xf numFmtId="164" fontId="1" fillId="0" borderId="59" xfId="0" applyFont="1" applyBorder="1" applyAlignment="1" applyProtection="1">
      <alignment horizontal="right"/>
      <protection/>
    </xf>
    <xf numFmtId="5" fontId="1" fillId="0" borderId="0" xfId="0" applyNumberFormat="1" applyFont="1" applyAlignment="1" applyProtection="1">
      <alignment horizontal="right"/>
      <protection/>
    </xf>
    <xf numFmtId="7" fontId="1" fillId="0" borderId="0" xfId="0" applyNumberFormat="1" applyFont="1" applyAlignment="1" applyProtection="1">
      <alignment horizontal="right"/>
      <protection/>
    </xf>
    <xf numFmtId="164" fontId="4" fillId="0" borderId="34" xfId="0" applyFont="1" applyBorder="1" applyAlignment="1">
      <alignment/>
    </xf>
    <xf numFmtId="168" fontId="1" fillId="0" borderId="60" xfId="0" applyNumberFormat="1" applyFont="1" applyBorder="1" applyAlignment="1" applyProtection="1">
      <alignment/>
      <protection/>
    </xf>
    <xf numFmtId="2" fontId="1" fillId="0" borderId="0" xfId="0" applyNumberFormat="1" applyFont="1" applyBorder="1" applyAlignment="1" applyProtection="1">
      <alignment horizontal="right"/>
      <protection/>
    </xf>
    <xf numFmtId="164" fontId="1" fillId="35" borderId="48" xfId="0" applyFont="1" applyFill="1" applyBorder="1" applyAlignment="1" applyProtection="1">
      <alignment horizontal="center"/>
      <protection/>
    </xf>
    <xf numFmtId="164" fontId="1" fillId="35" borderId="61" xfId="0" applyFont="1" applyFill="1" applyBorder="1" applyAlignment="1" applyProtection="1">
      <alignment horizontal="center"/>
      <protection/>
    </xf>
    <xf numFmtId="164" fontId="9" fillId="0" borderId="0" xfId="0" applyFont="1" applyBorder="1" applyAlignment="1" applyProtection="1">
      <alignment horizontal="left"/>
      <protection/>
    </xf>
    <xf numFmtId="167" fontId="1" fillId="0" borderId="0" xfId="0" applyNumberFormat="1" applyFont="1" applyFill="1" applyBorder="1" applyAlignment="1" applyProtection="1">
      <alignment horizontal="center"/>
      <protection/>
    </xf>
    <xf numFmtId="164" fontId="1" fillId="0" borderId="0" xfId="0" applyFont="1" applyBorder="1" applyAlignment="1" applyProtection="1">
      <alignment horizontal="right"/>
      <protection/>
    </xf>
    <xf numFmtId="10" fontId="1" fillId="0" borderId="0" xfId="0" applyNumberFormat="1" applyFont="1" applyBorder="1" applyAlignment="1" applyProtection="1">
      <alignment horizontal="center"/>
      <protection/>
    </xf>
    <xf numFmtId="10" fontId="1" fillId="0" borderId="0" xfId="0" applyNumberFormat="1" applyFont="1" applyBorder="1" applyAlignment="1">
      <alignment horizontal="center"/>
    </xf>
    <xf numFmtId="5" fontId="1" fillId="0" borderId="0" xfId="0" applyNumberFormat="1" applyFont="1" applyFill="1" applyBorder="1" applyAlignment="1" applyProtection="1">
      <alignment horizontal="center"/>
      <protection/>
    </xf>
    <xf numFmtId="164" fontId="4" fillId="35" borderId="60" xfId="0" applyFont="1" applyFill="1" applyBorder="1" applyAlignment="1">
      <alignment/>
    </xf>
    <xf numFmtId="164" fontId="4" fillId="35" borderId="0" xfId="0" applyFont="1" applyFill="1" applyBorder="1" applyAlignment="1">
      <alignment/>
    </xf>
    <xf numFmtId="5" fontId="1" fillId="0" borderId="44" xfId="0" applyNumberFormat="1" applyFont="1" applyFill="1" applyBorder="1" applyAlignment="1" applyProtection="1">
      <alignment horizontal="center"/>
      <protection/>
    </xf>
    <xf numFmtId="167" fontId="1" fillId="0" borderId="44" xfId="0" applyNumberFormat="1" applyFont="1" applyFill="1" applyBorder="1" applyAlignment="1" applyProtection="1">
      <alignment horizontal="center"/>
      <protection/>
    </xf>
    <xf numFmtId="5" fontId="1" fillId="0" borderId="61" xfId="0" applyNumberFormat="1" applyFont="1" applyFill="1" applyBorder="1" applyAlignment="1" applyProtection="1">
      <alignment horizontal="center"/>
      <protection/>
    </xf>
    <xf numFmtId="167" fontId="1" fillId="0" borderId="61" xfId="0" applyNumberFormat="1" applyFont="1" applyFill="1" applyBorder="1" applyAlignment="1" applyProtection="1">
      <alignment horizontal="center"/>
      <protection/>
    </xf>
    <xf numFmtId="5" fontId="1" fillId="0" borderId="44" xfId="0" applyNumberFormat="1" applyFont="1" applyBorder="1" applyAlignment="1" applyProtection="1">
      <alignment horizontal="center"/>
      <protection/>
    </xf>
    <xf numFmtId="7" fontId="1" fillId="0" borderId="44" xfId="0" applyNumberFormat="1" applyFont="1" applyBorder="1" applyAlignment="1" applyProtection="1">
      <alignment horizontal="center"/>
      <protection/>
    </xf>
    <xf numFmtId="5" fontId="1" fillId="0" borderId="61" xfId="0" applyNumberFormat="1" applyFont="1" applyBorder="1" applyAlignment="1" applyProtection="1">
      <alignment horizontal="center"/>
      <protection/>
    </xf>
    <xf numFmtId="7" fontId="1" fillId="0" borderId="61" xfId="0" applyNumberFormat="1" applyFont="1" applyBorder="1" applyAlignment="1" applyProtection="1">
      <alignment horizontal="center"/>
      <protection/>
    </xf>
    <xf numFmtId="168" fontId="1" fillId="0" borderId="44" xfId="0" applyNumberFormat="1" applyFont="1" applyBorder="1" applyAlignment="1">
      <alignment horizontal="center"/>
    </xf>
    <xf numFmtId="168" fontId="1" fillId="0" borderId="61" xfId="0" applyNumberFormat="1" applyFont="1" applyBorder="1" applyAlignment="1">
      <alignment horizontal="center"/>
    </xf>
    <xf numFmtId="168" fontId="1" fillId="0" borderId="44" xfId="0" applyNumberFormat="1" applyFont="1" applyBorder="1" applyAlignment="1" applyProtection="1">
      <alignment horizontal="center"/>
      <protection/>
    </xf>
    <xf numFmtId="5" fontId="1" fillId="0" borderId="62" xfId="0" applyNumberFormat="1" applyFont="1" applyBorder="1" applyAlignment="1" applyProtection="1">
      <alignment horizontal="center"/>
      <protection/>
    </xf>
    <xf numFmtId="7" fontId="1" fillId="0" borderId="62" xfId="0" applyNumberFormat="1" applyFont="1" applyBorder="1" applyAlignment="1" applyProtection="1">
      <alignment horizontal="center"/>
      <protection/>
    </xf>
    <xf numFmtId="168" fontId="1" fillId="0" borderId="62" xfId="0" applyNumberFormat="1" applyFont="1" applyBorder="1" applyAlignment="1" applyProtection="1">
      <alignment horizontal="center"/>
      <protection/>
    </xf>
    <xf numFmtId="167" fontId="1" fillId="0" borderId="62" xfId="0" applyNumberFormat="1" applyFont="1" applyBorder="1" applyAlignment="1" applyProtection="1">
      <alignment horizontal="center"/>
      <protection/>
    </xf>
    <xf numFmtId="167" fontId="1" fillId="0" borderId="44" xfId="0" applyNumberFormat="1" applyFont="1" applyBorder="1" applyAlignment="1" applyProtection="1">
      <alignment horizontal="center"/>
      <protection/>
    </xf>
    <xf numFmtId="168" fontId="1" fillId="0" borderId="62" xfId="0" applyNumberFormat="1" applyFont="1" applyBorder="1" applyAlignment="1">
      <alignment horizontal="center"/>
    </xf>
    <xf numFmtId="168" fontId="1" fillId="0" borderId="63" xfId="0" applyNumberFormat="1" applyFont="1" applyBorder="1" applyAlignment="1">
      <alignment horizontal="center"/>
    </xf>
    <xf numFmtId="164" fontId="4" fillId="0" borderId="43" xfId="0" applyFont="1" applyBorder="1" applyAlignment="1">
      <alignment horizontal="center"/>
    </xf>
    <xf numFmtId="164" fontId="4" fillId="0" borderId="42" xfId="0" applyFont="1" applyBorder="1" applyAlignment="1">
      <alignment horizontal="center"/>
    </xf>
    <xf numFmtId="164" fontId="4" fillId="0" borderId="42" xfId="0" applyFont="1" applyBorder="1" applyAlignment="1" applyProtection="1">
      <alignment horizontal="center"/>
      <protection/>
    </xf>
    <xf numFmtId="164" fontId="4" fillId="0" borderId="64" xfId="0" applyFont="1" applyBorder="1" applyAlignment="1" applyProtection="1">
      <alignment/>
      <protection/>
    </xf>
    <xf numFmtId="164" fontId="4" fillId="0" borderId="45" xfId="0" applyFont="1" applyBorder="1" applyAlignment="1" applyProtection="1">
      <alignment/>
      <protection/>
    </xf>
    <xf numFmtId="164" fontId="4" fillId="35" borderId="61" xfId="0" applyFont="1" applyFill="1" applyBorder="1" applyAlignment="1">
      <alignment/>
    </xf>
    <xf numFmtId="164" fontId="4" fillId="35" borderId="44" xfId="0" applyFont="1" applyFill="1" applyBorder="1" applyAlignment="1">
      <alignment/>
    </xf>
    <xf numFmtId="164" fontId="19" fillId="0" borderId="0" xfId="0" applyFont="1" applyAlignment="1" applyProtection="1">
      <alignment/>
      <protection/>
    </xf>
    <xf numFmtId="164" fontId="0" fillId="0" borderId="0" xfId="0" applyAlignment="1" applyProtection="1">
      <alignment horizontal="right"/>
      <protection/>
    </xf>
    <xf numFmtId="164" fontId="19" fillId="0" borderId="0" xfId="0" applyFont="1" applyAlignment="1" applyProtection="1">
      <alignment horizontal="center"/>
      <protection/>
    </xf>
    <xf numFmtId="164" fontId="19" fillId="46" borderId="0" xfId="0" applyFont="1" applyFill="1" applyAlignment="1" applyProtection="1">
      <alignment horizontal="center"/>
      <protection/>
    </xf>
    <xf numFmtId="164" fontId="31" fillId="0" borderId="0" xfId="0" applyNumberFormat="1" applyFont="1" applyAlignment="1" applyProtection="1">
      <alignment horizontal="left"/>
      <protection/>
    </xf>
    <xf numFmtId="164" fontId="14" fillId="0" borderId="0" xfId="0" applyNumberFormat="1" applyFont="1" applyAlignment="1" applyProtection="1">
      <alignment horizontal="center"/>
      <protection/>
    </xf>
    <xf numFmtId="164" fontId="32" fillId="0" borderId="0" xfId="52" applyNumberFormat="1" applyFont="1" applyAlignment="1" applyProtection="1">
      <alignment/>
      <protection/>
    </xf>
    <xf numFmtId="7" fontId="1" fillId="0" borderId="65" xfId="0" applyNumberFormat="1" applyFont="1" applyFill="1" applyBorder="1" applyAlignment="1" applyProtection="1">
      <alignment/>
      <protection/>
    </xf>
    <xf numFmtId="7" fontId="1" fillId="0" borderId="23" xfId="0" applyNumberFormat="1" applyFont="1" applyFill="1" applyBorder="1" applyAlignment="1" applyProtection="1">
      <alignment/>
      <protection/>
    </xf>
    <xf numFmtId="164" fontId="1" fillId="0" borderId="66" xfId="0" applyNumberFormat="1" applyFont="1" applyBorder="1" applyAlignment="1" applyProtection="1">
      <alignment/>
      <protection locked="0"/>
    </xf>
    <xf numFmtId="164" fontId="1" fillId="0" borderId="67" xfId="0" applyNumberFormat="1" applyFont="1" applyBorder="1" applyAlignment="1" applyProtection="1">
      <alignment/>
      <protection locked="0"/>
    </xf>
    <xf numFmtId="164" fontId="1" fillId="0" borderId="0" xfId="0" applyNumberFormat="1" applyFont="1" applyBorder="1" applyAlignment="1" applyProtection="1">
      <alignment/>
      <protection locked="0"/>
    </xf>
    <xf numFmtId="164" fontId="7" fillId="0" borderId="68" xfId="0" applyNumberFormat="1" applyFont="1" applyBorder="1" applyAlignment="1" applyProtection="1">
      <alignment horizontal="left"/>
      <protection locked="0"/>
    </xf>
    <xf numFmtId="164" fontId="1" fillId="0" borderId="0" xfId="0" applyNumberFormat="1" applyFont="1" applyBorder="1" applyAlignment="1" applyProtection="1">
      <alignment horizontal="left"/>
      <protection/>
    </xf>
    <xf numFmtId="164" fontId="9" fillId="44" borderId="0" xfId="0" applyFont="1" applyFill="1" applyAlignment="1" applyProtection="1">
      <alignment horizontal="left"/>
      <protection/>
    </xf>
    <xf numFmtId="164" fontId="9" fillId="0" borderId="0" xfId="0" applyFont="1" applyFill="1" applyAlignment="1" applyProtection="1">
      <alignment horizontal="left"/>
      <protection/>
    </xf>
    <xf numFmtId="5" fontId="1" fillId="0" borderId="69" xfId="0" applyNumberFormat="1" applyFont="1" applyBorder="1" applyAlignment="1" applyProtection="1">
      <alignment horizontal="center"/>
      <protection/>
    </xf>
    <xf numFmtId="168" fontId="1" fillId="0" borderId="44" xfId="44" applyNumberFormat="1" applyFont="1" applyBorder="1" applyAlignment="1" applyProtection="1">
      <alignment horizontal="center"/>
      <protection/>
    </xf>
    <xf numFmtId="168" fontId="1" fillId="0" borderId="61" xfId="44" applyNumberFormat="1" applyFont="1" applyBorder="1" applyAlignment="1" applyProtection="1">
      <alignment horizontal="center"/>
      <protection/>
    </xf>
    <xf numFmtId="5" fontId="1" fillId="0" borderId="47" xfId="0" applyNumberFormat="1" applyFont="1" applyBorder="1" applyAlignment="1" applyProtection="1" quotePrefix="1">
      <alignment horizontal="center"/>
      <protection/>
    </xf>
    <xf numFmtId="167" fontId="1" fillId="0" borderId="48" xfId="0" applyNumberFormat="1" applyFont="1" applyBorder="1" applyAlignment="1" applyProtection="1">
      <alignment horizontal="center"/>
      <protection/>
    </xf>
    <xf numFmtId="6" fontId="1" fillId="0" borderId="42" xfId="0" applyNumberFormat="1" applyFont="1" applyBorder="1" applyAlignment="1" applyProtection="1">
      <alignment horizontal="center"/>
      <protection/>
    </xf>
    <xf numFmtId="6" fontId="1" fillId="0" borderId="43" xfId="0" applyNumberFormat="1" applyFont="1" applyBorder="1" applyAlignment="1" applyProtection="1">
      <alignment horizontal="center"/>
      <protection/>
    </xf>
    <xf numFmtId="6" fontId="1" fillId="36" borderId="34" xfId="0" applyNumberFormat="1" applyFont="1" applyFill="1" applyBorder="1" applyAlignment="1">
      <alignment horizontal="center"/>
    </xf>
    <xf numFmtId="6" fontId="1" fillId="0" borderId="44" xfId="0" applyNumberFormat="1" applyFont="1" applyBorder="1" applyAlignment="1" applyProtection="1">
      <alignment horizontal="center"/>
      <protection/>
    </xf>
    <xf numFmtId="6" fontId="1" fillId="0" borderId="44" xfId="0" applyNumberFormat="1" applyFont="1" applyBorder="1" applyAlignment="1">
      <alignment horizontal="center"/>
    </xf>
    <xf numFmtId="8" fontId="1" fillId="0" borderId="43" xfId="0" applyNumberFormat="1" applyFont="1" applyBorder="1" applyAlignment="1" applyProtection="1">
      <alignment horizontal="center"/>
      <protection/>
    </xf>
    <xf numFmtId="8" fontId="1" fillId="0" borderId="44" xfId="0" applyNumberFormat="1" applyFont="1" applyBorder="1" applyAlignment="1" applyProtection="1">
      <alignment horizontal="center"/>
      <protection/>
    </xf>
    <xf numFmtId="8" fontId="1" fillId="36" borderId="43" xfId="0" applyNumberFormat="1" applyFont="1" applyFill="1" applyBorder="1" applyAlignment="1">
      <alignment horizontal="center"/>
    </xf>
    <xf numFmtId="164" fontId="1" fillId="0" borderId="23" xfId="0" applyNumberFormat="1" applyFont="1" applyBorder="1" applyAlignment="1" applyProtection="1">
      <alignment horizontal="left"/>
      <protection/>
    </xf>
    <xf numFmtId="164" fontId="14" fillId="0" borderId="64" xfId="0" applyNumberFormat="1" applyFont="1" applyBorder="1" applyAlignment="1" applyProtection="1">
      <alignment/>
      <protection/>
    </xf>
    <xf numFmtId="164" fontId="13" fillId="0" borderId="64" xfId="0" applyFont="1" applyBorder="1" applyAlignment="1">
      <alignment/>
    </xf>
    <xf numFmtId="164" fontId="1" fillId="39" borderId="0" xfId="0" applyNumberFormat="1" applyFont="1" applyFill="1" applyAlignment="1" applyProtection="1">
      <alignment horizontal="centerContinuous"/>
      <protection/>
    </xf>
    <xf numFmtId="164" fontId="1" fillId="39" borderId="0" xfId="0" applyNumberFormat="1" applyFont="1" applyFill="1" applyAlignment="1" applyProtection="1">
      <alignment horizontal="left"/>
      <protection/>
    </xf>
    <xf numFmtId="164" fontId="14" fillId="39" borderId="70" xfId="0" applyNumberFormat="1" applyFont="1" applyFill="1" applyBorder="1" applyAlignment="1" applyProtection="1">
      <alignment/>
      <protection/>
    </xf>
    <xf numFmtId="164" fontId="14" fillId="40" borderId="0" xfId="0" applyNumberFormat="1" applyFont="1" applyFill="1" applyAlignment="1" applyProtection="1">
      <alignment/>
      <protection/>
    </xf>
    <xf numFmtId="164" fontId="1" fillId="0" borderId="41" xfId="0" applyFont="1" applyBorder="1" applyAlignment="1" applyProtection="1">
      <alignment horizontal="center"/>
      <protection/>
    </xf>
    <xf numFmtId="164" fontId="1" fillId="39" borderId="0" xfId="0" applyNumberFormat="1" applyFont="1" applyFill="1" applyAlignment="1" applyProtection="1">
      <alignment/>
      <protection/>
    </xf>
    <xf numFmtId="164" fontId="4" fillId="39" borderId="0" xfId="0" applyFont="1" applyFill="1" applyAlignment="1" applyProtection="1">
      <alignment/>
      <protection/>
    </xf>
    <xf numFmtId="164" fontId="14" fillId="39" borderId="0" xfId="0" applyNumberFormat="1" applyFont="1" applyFill="1" applyAlignment="1" applyProtection="1">
      <alignment horizontal="left"/>
      <protection/>
    </xf>
    <xf numFmtId="164" fontId="1" fillId="38" borderId="0" xfId="0" applyNumberFormat="1" applyFont="1" applyFill="1" applyAlignment="1" applyProtection="1">
      <alignment/>
      <protection/>
    </xf>
    <xf numFmtId="164" fontId="1" fillId="39" borderId="0" xfId="0" applyNumberFormat="1" applyFont="1" applyFill="1" applyAlignment="1" applyProtection="1">
      <alignment horizontal="centerContinuous"/>
      <protection locked="0"/>
    </xf>
    <xf numFmtId="164" fontId="1" fillId="39" borderId="0" xfId="0" applyFont="1" applyFill="1" applyAlignment="1" applyProtection="1">
      <alignment/>
      <protection locked="0"/>
    </xf>
    <xf numFmtId="164" fontId="4" fillId="39" borderId="0" xfId="0" applyFont="1" applyFill="1" applyAlignment="1" applyProtection="1">
      <alignment/>
      <protection locked="0"/>
    </xf>
    <xf numFmtId="6" fontId="1" fillId="0" borderId="0" xfId="0" applyNumberFormat="1" applyFont="1" applyBorder="1" applyAlignment="1" applyProtection="1">
      <alignment horizontal="center"/>
      <protection/>
    </xf>
    <xf numFmtId="6" fontId="1" fillId="36" borderId="0" xfId="0" applyNumberFormat="1" applyFont="1" applyFill="1" applyBorder="1" applyAlignment="1">
      <alignment horizontal="center"/>
    </xf>
    <xf numFmtId="8" fontId="1" fillId="36" borderId="0" xfId="0" applyNumberFormat="1" applyFont="1" applyFill="1" applyBorder="1" applyAlignment="1">
      <alignment horizontal="center"/>
    </xf>
    <xf numFmtId="176" fontId="1" fillId="0" borderId="0" xfId="0" applyNumberFormat="1" applyFont="1" applyBorder="1" applyAlignment="1" applyProtection="1">
      <alignment horizontal="center"/>
      <protection/>
    </xf>
    <xf numFmtId="164" fontId="14" fillId="0" borderId="34" xfId="0" applyNumberFormat="1" applyFont="1" applyBorder="1" applyAlignment="1" applyProtection="1">
      <alignment/>
      <protection/>
    </xf>
    <xf numFmtId="164" fontId="4" fillId="0" borderId="0" xfId="0" applyFont="1" applyAlignment="1" applyProtection="1">
      <alignment horizontal="center"/>
      <protection/>
    </xf>
    <xf numFmtId="164" fontId="4" fillId="0" borderId="0" xfId="0" applyFont="1" applyBorder="1" applyAlignment="1">
      <alignment horizontal="center"/>
    </xf>
    <xf numFmtId="164" fontId="4" fillId="0" borderId="34" xfId="0" applyFont="1" applyBorder="1" applyAlignment="1" applyProtection="1">
      <alignment horizontal="center"/>
      <protection/>
    </xf>
    <xf numFmtId="164" fontId="4" fillId="0" borderId="0" xfId="0" applyFont="1" applyBorder="1" applyAlignment="1" applyProtection="1">
      <alignment horizontal="center"/>
      <protection/>
    </xf>
    <xf numFmtId="5" fontId="19" fillId="0" borderId="0" xfId="0" applyNumberFormat="1" applyFont="1" applyFill="1" applyAlignment="1" applyProtection="1">
      <alignment horizontal="center"/>
      <protection/>
    </xf>
    <xf numFmtId="37" fontId="1" fillId="35" borderId="0" xfId="0" applyNumberFormat="1" applyFont="1" applyFill="1" applyAlignment="1" applyProtection="1">
      <alignment horizontal="center"/>
      <protection/>
    </xf>
    <xf numFmtId="165" fontId="1" fillId="33" borderId="0" xfId="0" applyNumberFormat="1" applyFont="1" applyFill="1" applyAlignment="1" applyProtection="1">
      <alignment horizontal="center"/>
      <protection/>
    </xf>
    <xf numFmtId="7" fontId="1" fillId="33" borderId="0" xfId="0" applyNumberFormat="1" applyFont="1" applyFill="1" applyAlignment="1" applyProtection="1">
      <alignment horizontal="center"/>
      <protection/>
    </xf>
    <xf numFmtId="5" fontId="4" fillId="0" borderId="0" xfId="0" applyNumberFormat="1" applyFont="1" applyAlignment="1" applyProtection="1">
      <alignment horizontal="center"/>
      <protection/>
    </xf>
    <xf numFmtId="7" fontId="4" fillId="0" borderId="0" xfId="0" applyNumberFormat="1" applyFont="1" applyAlignment="1" applyProtection="1">
      <alignment horizontal="center"/>
      <protection/>
    </xf>
    <xf numFmtId="5" fontId="1" fillId="47" borderId="71" xfId="0" applyNumberFormat="1" applyFont="1" applyFill="1" applyBorder="1" applyAlignment="1" applyProtection="1">
      <alignment horizontal="center"/>
      <protection/>
    </xf>
    <xf numFmtId="7" fontId="4" fillId="47" borderId="0" xfId="0" applyNumberFormat="1" applyFont="1" applyFill="1" applyAlignment="1" applyProtection="1">
      <alignment horizontal="center"/>
      <protection/>
    </xf>
    <xf numFmtId="7" fontId="1" fillId="0" borderId="28" xfId="0" applyNumberFormat="1" applyFont="1" applyFill="1" applyBorder="1" applyAlignment="1" applyProtection="1">
      <alignment horizontal="center"/>
      <protection/>
    </xf>
    <xf numFmtId="7" fontId="1" fillId="0" borderId="72" xfId="0" applyNumberFormat="1" applyFont="1" applyFill="1" applyBorder="1" applyAlignment="1" applyProtection="1">
      <alignment horizontal="center"/>
      <protection/>
    </xf>
    <xf numFmtId="5" fontId="7" fillId="47" borderId="73" xfId="0" applyNumberFormat="1" applyFont="1" applyFill="1" applyBorder="1" applyAlignment="1" applyProtection="1">
      <alignment horizontal="center"/>
      <protection/>
    </xf>
    <xf numFmtId="5" fontId="4" fillId="47" borderId="0" xfId="0" applyNumberFormat="1" applyFont="1" applyFill="1" applyAlignment="1" applyProtection="1">
      <alignment horizontal="center"/>
      <protection/>
    </xf>
    <xf numFmtId="5" fontId="4" fillId="0" borderId="23" xfId="0" applyNumberFormat="1" applyFont="1" applyBorder="1" applyAlignment="1" applyProtection="1">
      <alignment horizontal="center"/>
      <protection/>
    </xf>
    <xf numFmtId="7" fontId="4" fillId="0" borderId="23" xfId="0" applyNumberFormat="1" applyFont="1" applyBorder="1" applyAlignment="1" applyProtection="1">
      <alignment horizontal="center"/>
      <protection/>
    </xf>
    <xf numFmtId="10" fontId="7" fillId="0" borderId="19" xfId="0" applyNumberFormat="1" applyFont="1" applyBorder="1" applyAlignment="1" applyProtection="1">
      <alignment horizontal="center"/>
      <protection locked="0"/>
    </xf>
    <xf numFmtId="7" fontId="1" fillId="42" borderId="22" xfId="0" applyNumberFormat="1" applyFont="1" applyFill="1" applyBorder="1" applyAlignment="1" applyProtection="1">
      <alignment horizontal="center"/>
      <protection/>
    </xf>
    <xf numFmtId="5" fontId="1" fillId="0" borderId="28" xfId="0" applyNumberFormat="1" applyFont="1" applyFill="1" applyBorder="1" applyAlignment="1" applyProtection="1">
      <alignment horizontal="center"/>
      <protection/>
    </xf>
    <xf numFmtId="5" fontId="1" fillId="0" borderId="0" xfId="0" applyNumberFormat="1" applyFont="1" applyFill="1" applyAlignment="1" applyProtection="1">
      <alignment horizontal="center"/>
      <protection/>
    </xf>
    <xf numFmtId="5" fontId="1" fillId="0" borderId="10" xfId="0" applyNumberFormat="1" applyFont="1" applyFill="1" applyBorder="1" applyAlignment="1" applyProtection="1">
      <alignment horizontal="center"/>
      <protection/>
    </xf>
    <xf numFmtId="5" fontId="20" fillId="0" borderId="74" xfId="0" applyNumberFormat="1" applyFont="1" applyBorder="1" applyAlignment="1" applyProtection="1">
      <alignment horizontal="center"/>
      <protection locked="0"/>
    </xf>
    <xf numFmtId="164" fontId="7" fillId="0" borderId="75" xfId="0" applyNumberFormat="1" applyFont="1" applyBorder="1" applyAlignment="1" applyProtection="1">
      <alignment horizontal="center"/>
      <protection locked="0"/>
    </xf>
    <xf numFmtId="9" fontId="7" fillId="0" borderId="76" xfId="0" applyNumberFormat="1" applyFont="1" applyBorder="1" applyAlignment="1" applyProtection="1">
      <alignment horizontal="center"/>
      <protection locked="0"/>
    </xf>
    <xf numFmtId="5" fontId="7" fillId="0" borderId="77" xfId="0" applyNumberFormat="1" applyFont="1" applyBorder="1" applyAlignment="1" applyProtection="1">
      <alignment horizontal="center"/>
      <protection locked="0"/>
    </xf>
    <xf numFmtId="164" fontId="7" fillId="0" borderId="78" xfId="0" applyNumberFormat="1" applyFont="1" applyBorder="1" applyAlignment="1" applyProtection="1">
      <alignment horizontal="center"/>
      <protection locked="0"/>
    </xf>
    <xf numFmtId="7" fontId="7" fillId="0" borderId="79" xfId="0" applyNumberFormat="1" applyFont="1" applyBorder="1" applyAlignment="1" applyProtection="1">
      <alignment horizontal="center"/>
      <protection locked="0"/>
    </xf>
    <xf numFmtId="164" fontId="7" fillId="0" borderId="80" xfId="0" applyNumberFormat="1" applyFont="1" applyBorder="1" applyAlignment="1" applyProtection="1">
      <alignment horizontal="center"/>
      <protection locked="0"/>
    </xf>
    <xf numFmtId="7" fontId="7" fillId="0" borderId="81" xfId="0" applyNumberFormat="1" applyFont="1" applyBorder="1" applyAlignment="1" applyProtection="1">
      <alignment horizontal="center"/>
      <protection locked="0"/>
    </xf>
    <xf numFmtId="7" fontId="7" fillId="0" borderId="82" xfId="0" applyNumberFormat="1" applyFont="1" applyBorder="1" applyAlignment="1" applyProtection="1">
      <alignment horizontal="center"/>
      <protection locked="0"/>
    </xf>
    <xf numFmtId="164" fontId="7" fillId="0" borderId="83" xfId="0" applyNumberFormat="1" applyFont="1" applyBorder="1" applyAlignment="1" applyProtection="1">
      <alignment horizontal="center"/>
      <protection locked="0"/>
    </xf>
    <xf numFmtId="164" fontId="7" fillId="0" borderId="84" xfId="0" applyNumberFormat="1" applyFont="1" applyBorder="1" applyAlignment="1" applyProtection="1">
      <alignment horizontal="center"/>
      <protection locked="0"/>
    </xf>
    <xf numFmtId="164" fontId="7" fillId="0" borderId="85" xfId="0" applyNumberFormat="1" applyFont="1" applyBorder="1" applyAlignment="1" applyProtection="1">
      <alignment horizontal="center"/>
      <protection locked="0"/>
    </xf>
    <xf numFmtId="164" fontId="7" fillId="0" borderId="86" xfId="0" applyNumberFormat="1" applyFont="1" applyBorder="1" applyAlignment="1" applyProtection="1">
      <alignment horizontal="center"/>
      <protection locked="0"/>
    </xf>
    <xf numFmtId="164" fontId="7" fillId="0" borderId="87" xfId="0" applyNumberFormat="1" applyFont="1" applyBorder="1" applyAlignment="1" applyProtection="1">
      <alignment horizontal="center"/>
      <protection locked="0"/>
    </xf>
    <xf numFmtId="167" fontId="7" fillId="0" borderId="88" xfId="0" applyNumberFormat="1" applyFont="1" applyBorder="1" applyAlignment="1" applyProtection="1">
      <alignment horizontal="center"/>
      <protection locked="0"/>
    </xf>
    <xf numFmtId="164" fontId="7" fillId="0" borderId="89" xfId="0" applyNumberFormat="1" applyFont="1" applyBorder="1" applyAlignment="1" applyProtection="1">
      <alignment horizontal="center"/>
      <protection locked="0"/>
    </xf>
    <xf numFmtId="164" fontId="7" fillId="0" borderId="90" xfId="0" applyNumberFormat="1" applyFont="1" applyBorder="1" applyAlignment="1" applyProtection="1">
      <alignment horizontal="center"/>
      <protection locked="0"/>
    </xf>
    <xf numFmtId="7" fontId="7" fillId="0" borderId="91" xfId="0" applyNumberFormat="1" applyFont="1" applyBorder="1" applyAlignment="1" applyProtection="1">
      <alignment horizontal="center"/>
      <protection locked="0"/>
    </xf>
    <xf numFmtId="164" fontId="7" fillId="0" borderId="78" xfId="0" applyNumberFormat="1" applyFont="1" applyBorder="1" applyAlignment="1" applyProtection="1">
      <alignment horizontal="left"/>
      <protection locked="0"/>
    </xf>
    <xf numFmtId="164" fontId="7" fillId="0" borderId="92" xfId="0" applyNumberFormat="1" applyFont="1" applyBorder="1" applyAlignment="1" applyProtection="1">
      <alignment horizontal="center"/>
      <protection locked="0"/>
    </xf>
    <xf numFmtId="166" fontId="7" fillId="0" borderId="92" xfId="0" applyNumberFormat="1" applyFont="1" applyBorder="1" applyAlignment="1" applyProtection="1">
      <alignment/>
      <protection locked="0"/>
    </xf>
    <xf numFmtId="7" fontId="7" fillId="0" borderId="79" xfId="0" applyNumberFormat="1" applyFont="1" applyBorder="1" applyAlignment="1" applyProtection="1">
      <alignment/>
      <protection locked="0"/>
    </xf>
    <xf numFmtId="164" fontId="7" fillId="0" borderId="80" xfId="0" applyNumberFormat="1" applyFont="1" applyBorder="1" applyAlignment="1" applyProtection="1">
      <alignment horizontal="left"/>
      <protection locked="0"/>
    </xf>
    <xf numFmtId="166" fontId="7" fillId="0" borderId="83" xfId="0" applyNumberFormat="1" applyFont="1" applyBorder="1" applyAlignment="1" applyProtection="1">
      <alignment/>
      <protection locked="0"/>
    </xf>
    <xf numFmtId="7" fontId="7" fillId="0" borderId="81" xfId="0" applyNumberFormat="1" applyFont="1" applyBorder="1" applyAlignment="1" applyProtection="1">
      <alignment/>
      <protection locked="0"/>
    </xf>
    <xf numFmtId="164" fontId="7" fillId="0" borderId="83" xfId="0" applyNumberFormat="1" applyFont="1" applyBorder="1" applyAlignment="1" applyProtection="1">
      <alignment/>
      <protection locked="0"/>
    </xf>
    <xf numFmtId="164" fontId="7" fillId="0" borderId="84" xfId="0" applyNumberFormat="1" applyFont="1" applyBorder="1" applyAlignment="1" applyProtection="1">
      <alignment horizontal="left"/>
      <protection locked="0"/>
    </xf>
    <xf numFmtId="166" fontId="7" fillId="0" borderId="85" xfId="0" applyNumberFormat="1" applyFont="1" applyBorder="1" applyAlignment="1" applyProtection="1">
      <alignment/>
      <protection locked="0"/>
    </xf>
    <xf numFmtId="7" fontId="7" fillId="0" borderId="82" xfId="0" applyNumberFormat="1" applyFont="1" applyBorder="1" applyAlignment="1" applyProtection="1">
      <alignment/>
      <protection locked="0"/>
    </xf>
    <xf numFmtId="10" fontId="7" fillId="0" borderId="75" xfId="0" applyNumberFormat="1" applyFont="1" applyBorder="1" applyAlignment="1" applyProtection="1">
      <alignment horizontal="center"/>
      <protection locked="0"/>
    </xf>
    <xf numFmtId="10" fontId="7" fillId="0" borderId="76" xfId="0" applyNumberFormat="1" applyFont="1" applyBorder="1" applyAlignment="1" applyProtection="1">
      <alignment horizontal="center"/>
      <protection locked="0"/>
    </xf>
    <xf numFmtId="10" fontId="7" fillId="0" borderId="77" xfId="0" applyNumberFormat="1" applyFont="1" applyBorder="1" applyAlignment="1" applyProtection="1">
      <alignment horizontal="center"/>
      <protection locked="0"/>
    </xf>
    <xf numFmtId="5" fontId="20" fillId="0" borderId="93" xfId="0" applyNumberFormat="1" applyFont="1" applyBorder="1" applyAlignment="1" applyProtection="1">
      <alignment horizontal="center"/>
      <protection locked="0"/>
    </xf>
    <xf numFmtId="5" fontId="20" fillId="0" borderId="94" xfId="0" applyNumberFormat="1" applyFont="1" applyBorder="1" applyAlignment="1" applyProtection="1">
      <alignment horizontal="center"/>
      <protection locked="0"/>
    </xf>
    <xf numFmtId="5" fontId="20" fillId="0" borderId="95" xfId="0" applyNumberFormat="1" applyFont="1" applyBorder="1" applyAlignment="1" applyProtection="1">
      <alignment horizontal="center"/>
      <protection locked="0"/>
    </xf>
    <xf numFmtId="7" fontId="7" fillId="0" borderId="75" xfId="0" applyNumberFormat="1" applyFont="1" applyBorder="1" applyAlignment="1" applyProtection="1">
      <alignment/>
      <protection locked="0"/>
    </xf>
    <xf numFmtId="7" fontId="7" fillId="0" borderId="76" xfId="0" applyNumberFormat="1" applyFont="1" applyBorder="1" applyAlignment="1" applyProtection="1">
      <alignment/>
      <protection locked="0"/>
    </xf>
    <xf numFmtId="7" fontId="7" fillId="0" borderId="96" xfId="0" applyNumberFormat="1" applyFont="1" applyBorder="1" applyAlignment="1" applyProtection="1">
      <alignment/>
      <protection locked="0"/>
    </xf>
    <xf numFmtId="166" fontId="7" fillId="0" borderId="75" xfId="0" applyNumberFormat="1" applyFont="1" applyBorder="1" applyAlignment="1" applyProtection="1">
      <alignment/>
      <protection locked="0"/>
    </xf>
    <xf numFmtId="166" fontId="7" fillId="0" borderId="76" xfId="0" applyNumberFormat="1" applyFont="1" applyBorder="1" applyAlignment="1" applyProtection="1">
      <alignment/>
      <protection locked="0"/>
    </xf>
    <xf numFmtId="166" fontId="7" fillId="0" borderId="96" xfId="0" applyNumberFormat="1" applyFont="1" applyBorder="1" applyAlignment="1" applyProtection="1">
      <alignment/>
      <protection locked="0"/>
    </xf>
    <xf numFmtId="5" fontId="7" fillId="0" borderId="97" xfId="0" applyNumberFormat="1" applyFont="1" applyBorder="1" applyAlignment="1" applyProtection="1">
      <alignment horizontal="center"/>
      <protection locked="0"/>
    </xf>
    <xf numFmtId="5" fontId="7" fillId="0" borderId="76" xfId="0" applyNumberFormat="1" applyFont="1" applyBorder="1" applyAlignment="1" applyProtection="1">
      <alignment horizontal="center"/>
      <protection locked="0"/>
    </xf>
    <xf numFmtId="5" fontId="20" fillId="46" borderId="94" xfId="0" applyNumberFormat="1" applyFont="1" applyFill="1" applyBorder="1" applyAlignment="1" applyProtection="1">
      <alignment horizontal="center"/>
      <protection locked="0"/>
    </xf>
    <xf numFmtId="5" fontId="20" fillId="46" borderId="95" xfId="0" applyNumberFormat="1" applyFont="1" applyFill="1" applyBorder="1" applyAlignment="1" applyProtection="1">
      <alignment horizontal="center"/>
      <protection locked="0"/>
    </xf>
    <xf numFmtId="5" fontId="20" fillId="0" borderId="98" xfId="0" applyNumberFormat="1" applyFont="1" applyBorder="1" applyAlignment="1" applyProtection="1">
      <alignment horizontal="center"/>
      <protection locked="0"/>
    </xf>
    <xf numFmtId="7" fontId="20" fillId="0" borderId="98" xfId="0" applyNumberFormat="1" applyFont="1" applyBorder="1" applyAlignment="1" applyProtection="1">
      <alignment horizontal="center"/>
      <protection locked="0"/>
    </xf>
    <xf numFmtId="7" fontId="20" fillId="0" borderId="94" xfId="0" applyNumberFormat="1" applyFont="1" applyBorder="1" applyAlignment="1" applyProtection="1">
      <alignment horizontal="center"/>
      <protection locked="0"/>
    </xf>
    <xf numFmtId="7" fontId="7" fillId="0" borderId="76" xfId="0" applyNumberFormat="1" applyFont="1" applyBorder="1" applyAlignment="1" applyProtection="1">
      <alignment horizontal="center"/>
      <protection locked="0"/>
    </xf>
    <xf numFmtId="7" fontId="7" fillId="0" borderId="77" xfId="0" applyNumberFormat="1" applyFont="1" applyBorder="1" applyAlignment="1" applyProtection="1">
      <alignment horizontal="center"/>
      <protection locked="0"/>
    </xf>
    <xf numFmtId="10" fontId="20" fillId="0" borderId="93" xfId="0" applyNumberFormat="1" applyFont="1" applyBorder="1" applyAlignment="1" applyProtection="1">
      <alignment/>
      <protection locked="0"/>
    </xf>
    <xf numFmtId="164" fontId="20" fillId="0" borderId="94" xfId="0" applyFont="1" applyBorder="1" applyAlignment="1" applyProtection="1">
      <alignment/>
      <protection locked="0"/>
    </xf>
    <xf numFmtId="10" fontId="20" fillId="0" borderId="99" xfId="0" applyNumberFormat="1" applyFont="1" applyBorder="1" applyAlignment="1" applyProtection="1">
      <alignment/>
      <protection locked="0"/>
    </xf>
    <xf numFmtId="164" fontId="20" fillId="0" borderId="100" xfId="0" applyFont="1" applyBorder="1" applyAlignment="1" applyProtection="1">
      <alignment/>
      <protection locked="0"/>
    </xf>
    <xf numFmtId="5" fontId="20" fillId="0" borderId="90" xfId="0" applyNumberFormat="1" applyFont="1" applyBorder="1" applyAlignment="1" applyProtection="1">
      <alignment/>
      <protection locked="0"/>
    </xf>
    <xf numFmtId="164" fontId="20" fillId="0" borderId="90" xfId="0" applyFont="1" applyBorder="1" applyAlignment="1" applyProtection="1">
      <alignment/>
      <protection locked="0"/>
    </xf>
    <xf numFmtId="5" fontId="20" fillId="0" borderId="101" xfId="0" applyNumberFormat="1" applyFont="1" applyBorder="1" applyAlignment="1" applyProtection="1">
      <alignment/>
      <protection locked="0"/>
    </xf>
    <xf numFmtId="164" fontId="20" fillId="46" borderId="102" xfId="0" applyFont="1" applyFill="1" applyBorder="1" applyAlignment="1" applyProtection="1">
      <alignment/>
      <protection locked="0"/>
    </xf>
    <xf numFmtId="5" fontId="20" fillId="46" borderId="83" xfId="0" applyNumberFormat="1" applyFont="1" applyFill="1" applyBorder="1" applyAlignment="1" applyProtection="1">
      <alignment/>
      <protection locked="0"/>
    </xf>
    <xf numFmtId="164" fontId="20" fillId="46" borderId="83" xfId="0" applyFont="1" applyFill="1" applyBorder="1" applyAlignment="1" applyProtection="1">
      <alignment/>
      <protection locked="0"/>
    </xf>
    <xf numFmtId="5" fontId="20" fillId="46" borderId="103" xfId="0" applyNumberFormat="1" applyFont="1" applyFill="1" applyBorder="1" applyAlignment="1" applyProtection="1">
      <alignment/>
      <protection locked="0"/>
    </xf>
    <xf numFmtId="164" fontId="20" fillId="0" borderId="102" xfId="0" applyFont="1" applyBorder="1" applyAlignment="1" applyProtection="1">
      <alignment/>
      <protection locked="0"/>
    </xf>
    <xf numFmtId="5" fontId="20" fillId="0" borderId="83" xfId="0" applyNumberFormat="1" applyFont="1" applyBorder="1" applyAlignment="1" applyProtection="1">
      <alignment/>
      <protection locked="0"/>
    </xf>
    <xf numFmtId="164" fontId="20" fillId="0" borderId="83" xfId="0" applyFont="1" applyBorder="1" applyAlignment="1" applyProtection="1">
      <alignment/>
      <protection locked="0"/>
    </xf>
    <xf numFmtId="5" fontId="20" fillId="0" borderId="103" xfId="0" applyNumberFormat="1" applyFont="1" applyBorder="1" applyAlignment="1" applyProtection="1">
      <alignment/>
      <protection locked="0"/>
    </xf>
    <xf numFmtId="5" fontId="7" fillId="0" borderId="83" xfId="0" applyNumberFormat="1" applyFont="1" applyBorder="1" applyAlignment="1" applyProtection="1">
      <alignment/>
      <protection locked="0"/>
    </xf>
    <xf numFmtId="5" fontId="7" fillId="0" borderId="81" xfId="0" applyNumberFormat="1" applyFont="1" applyBorder="1" applyAlignment="1" applyProtection="1">
      <alignment/>
      <protection locked="0"/>
    </xf>
    <xf numFmtId="5" fontId="7" fillId="0" borderId="85" xfId="0" applyNumberFormat="1" applyFont="1" applyBorder="1" applyAlignment="1" applyProtection="1">
      <alignment/>
      <protection locked="0"/>
    </xf>
    <xf numFmtId="164" fontId="7" fillId="0" borderId="85" xfId="0" applyNumberFormat="1" applyFont="1" applyBorder="1" applyAlignment="1" applyProtection="1">
      <alignment/>
      <protection locked="0"/>
    </xf>
    <xf numFmtId="5" fontId="7" fillId="0" borderId="82" xfId="0" applyNumberFormat="1" applyFont="1" applyBorder="1" applyAlignment="1" applyProtection="1">
      <alignment/>
      <protection locked="0"/>
    </xf>
    <xf numFmtId="5" fontId="20" fillId="0" borderId="98" xfId="0" applyNumberFormat="1" applyFont="1" applyBorder="1" applyAlignment="1" applyProtection="1">
      <alignment horizontal="center"/>
      <protection locked="0"/>
    </xf>
    <xf numFmtId="5" fontId="20" fillId="0" borderId="99" xfId="0" applyNumberFormat="1" applyFont="1" applyBorder="1" applyAlignment="1" applyProtection="1">
      <alignment horizontal="center"/>
      <protection locked="0"/>
    </xf>
    <xf numFmtId="164" fontId="20" fillId="46" borderId="100" xfId="0" applyFont="1" applyFill="1" applyBorder="1" applyAlignment="1" applyProtection="1">
      <alignment/>
      <protection locked="0"/>
    </xf>
    <xf numFmtId="5" fontId="20" fillId="46" borderId="90" xfId="0" applyNumberFormat="1" applyFont="1" applyFill="1" applyBorder="1" applyAlignment="1" applyProtection="1">
      <alignment/>
      <protection locked="0"/>
    </xf>
    <xf numFmtId="164" fontId="20" fillId="46" borderId="90" xfId="0" applyFont="1" applyFill="1" applyBorder="1" applyAlignment="1" applyProtection="1">
      <alignment/>
      <protection locked="0"/>
    </xf>
    <xf numFmtId="164" fontId="20" fillId="46" borderId="104" xfId="0" applyFont="1" applyFill="1" applyBorder="1" applyAlignment="1" applyProtection="1">
      <alignment/>
      <protection locked="0"/>
    </xf>
    <xf numFmtId="5" fontId="20" fillId="46" borderId="105" xfId="0" applyNumberFormat="1" applyFont="1" applyFill="1" applyBorder="1" applyAlignment="1" applyProtection="1">
      <alignment/>
      <protection locked="0"/>
    </xf>
    <xf numFmtId="164" fontId="20" fillId="46" borderId="105" xfId="0" applyFont="1" applyFill="1" applyBorder="1" applyAlignment="1" applyProtection="1">
      <alignment/>
      <protection locked="0"/>
    </xf>
    <xf numFmtId="5" fontId="20" fillId="0" borderId="106" xfId="0" applyNumberFormat="1" applyFont="1" applyBorder="1" applyAlignment="1" applyProtection="1">
      <alignment/>
      <protection locked="0"/>
    </xf>
    <xf numFmtId="1" fontId="20" fillId="46" borderId="90" xfId="0" applyNumberFormat="1" applyFont="1" applyFill="1" applyBorder="1" applyAlignment="1" applyProtection="1">
      <alignment/>
      <protection locked="0"/>
    </xf>
    <xf numFmtId="5" fontId="20" fillId="46" borderId="91" xfId="0" applyNumberFormat="1" applyFont="1" applyFill="1" applyBorder="1" applyAlignment="1" applyProtection="1">
      <alignment/>
      <protection locked="0"/>
    </xf>
    <xf numFmtId="1" fontId="20" fillId="46" borderId="83" xfId="0" applyNumberFormat="1" applyFont="1" applyFill="1" applyBorder="1" applyAlignment="1" applyProtection="1">
      <alignment/>
      <protection locked="0"/>
    </xf>
    <xf numFmtId="5" fontId="20" fillId="46" borderId="81" xfId="0" applyNumberFormat="1" applyFont="1" applyFill="1" applyBorder="1" applyAlignment="1" applyProtection="1">
      <alignment/>
      <protection locked="0"/>
    </xf>
    <xf numFmtId="164" fontId="7" fillId="0" borderId="80" xfId="0" applyNumberFormat="1" applyFont="1" applyBorder="1" applyAlignment="1" applyProtection="1">
      <alignment/>
      <protection locked="0"/>
    </xf>
    <xf numFmtId="165" fontId="7" fillId="0" borderId="83" xfId="0" applyNumberFormat="1" applyFont="1" applyBorder="1" applyAlignment="1" applyProtection="1">
      <alignment/>
      <protection locked="0"/>
    </xf>
    <xf numFmtId="164" fontId="7" fillId="0" borderId="84" xfId="0" applyNumberFormat="1" applyFont="1" applyBorder="1" applyAlignment="1" applyProtection="1">
      <alignment/>
      <protection locked="0"/>
    </xf>
    <xf numFmtId="165" fontId="7" fillId="0" borderId="85" xfId="0" applyNumberFormat="1" applyFont="1" applyBorder="1" applyAlignment="1" applyProtection="1">
      <alignment/>
      <protection locked="0"/>
    </xf>
    <xf numFmtId="164" fontId="7" fillId="0" borderId="92" xfId="0" applyNumberFormat="1" applyFont="1" applyBorder="1" applyAlignment="1" applyProtection="1">
      <alignment/>
      <protection locked="0"/>
    </xf>
    <xf numFmtId="5" fontId="7" fillId="0" borderId="79" xfId="0" applyNumberFormat="1" applyFont="1" applyBorder="1" applyAlignment="1" applyProtection="1">
      <alignment/>
      <protection locked="0"/>
    </xf>
    <xf numFmtId="5" fontId="7" fillId="0" borderId="81" xfId="0" applyNumberFormat="1" applyFont="1" applyFill="1" applyBorder="1" applyAlignment="1" applyProtection="1">
      <alignment/>
      <protection locked="0"/>
    </xf>
    <xf numFmtId="164" fontId="10" fillId="0" borderId="0" xfId="0" applyFont="1" applyAlignment="1">
      <alignment/>
    </xf>
    <xf numFmtId="168" fontId="1" fillId="0" borderId="0" xfId="0" applyNumberFormat="1" applyFont="1" applyAlignment="1" applyProtection="1">
      <alignment horizontal="right"/>
      <protection/>
    </xf>
    <xf numFmtId="164" fontId="9" fillId="0" borderId="64" xfId="0" applyFont="1" applyBorder="1" applyAlignment="1" applyProtection="1">
      <alignment/>
      <protection/>
    </xf>
    <xf numFmtId="5" fontId="1" fillId="0" borderId="57" xfId="0" applyNumberFormat="1" applyFont="1" applyBorder="1" applyAlignment="1" applyProtection="1">
      <alignment horizontal="center"/>
      <protection/>
    </xf>
    <xf numFmtId="167" fontId="1" fillId="0" borderId="107" xfId="0" applyNumberFormat="1" applyFont="1" applyBorder="1" applyAlignment="1" applyProtection="1">
      <alignment horizontal="center"/>
      <protection/>
    </xf>
    <xf numFmtId="168" fontId="1" fillId="0" borderId="108" xfId="0" applyNumberFormat="1" applyFont="1" applyBorder="1" applyAlignment="1" applyProtection="1">
      <alignment horizontal="center"/>
      <protection/>
    </xf>
    <xf numFmtId="164" fontId="12" fillId="0" borderId="0" xfId="0" applyNumberFormat="1" applyFont="1" applyAlignment="1" applyProtection="1">
      <alignment/>
      <protection/>
    </xf>
    <xf numFmtId="167" fontId="7" fillId="0" borderId="93" xfId="0" applyNumberFormat="1" applyFont="1" applyBorder="1" applyAlignment="1" applyProtection="1">
      <alignment horizontal="center"/>
      <protection locked="0"/>
    </xf>
    <xf numFmtId="167" fontId="7" fillId="0" borderId="94" xfId="0" applyNumberFormat="1" applyFont="1" applyBorder="1" applyAlignment="1" applyProtection="1">
      <alignment horizontal="center"/>
      <protection locked="0"/>
    </xf>
    <xf numFmtId="167" fontId="7" fillId="0" borderId="99" xfId="0" applyNumberFormat="1" applyFont="1" applyBorder="1" applyAlignment="1" applyProtection="1">
      <alignment horizontal="center"/>
      <protection locked="0"/>
    </xf>
    <xf numFmtId="169" fontId="1" fillId="0" borderId="109" xfId="0" applyNumberFormat="1" applyFont="1" applyBorder="1" applyAlignment="1" applyProtection="1">
      <alignment horizontal="center"/>
      <protection/>
    </xf>
    <xf numFmtId="169" fontId="1" fillId="0" borderId="110" xfId="0" applyNumberFormat="1" applyFont="1" applyBorder="1" applyAlignment="1" applyProtection="1">
      <alignment horizontal="center"/>
      <protection/>
    </xf>
    <xf numFmtId="169" fontId="1" fillId="0" borderId="111" xfId="0" applyNumberFormat="1" applyFont="1" applyBorder="1" applyAlignment="1" applyProtection="1">
      <alignment horizontal="center"/>
      <protection/>
    </xf>
    <xf numFmtId="164" fontId="1" fillId="0" borderId="0" xfId="0" applyFont="1" applyAlignment="1">
      <alignment horizontal="right"/>
    </xf>
    <xf numFmtId="164" fontId="1" fillId="0" borderId="40" xfId="0" applyNumberFormat="1" applyFont="1" applyBorder="1" applyAlignment="1" applyProtection="1">
      <alignment horizontal="center"/>
      <protection locked="0"/>
    </xf>
    <xf numFmtId="164" fontId="1" fillId="0" borderId="42" xfId="0" applyNumberFormat="1" applyFont="1" applyBorder="1" applyAlignment="1" applyProtection="1">
      <alignment horizontal="center"/>
      <protection locked="0"/>
    </xf>
    <xf numFmtId="164" fontId="1" fillId="0" borderId="49" xfId="0" applyFont="1" applyBorder="1" applyAlignment="1" applyProtection="1">
      <alignment horizontal="center" wrapText="1"/>
      <protection/>
    </xf>
    <xf numFmtId="164" fontId="7" fillId="0" borderId="93" xfId="0" applyFont="1" applyBorder="1" applyAlignment="1" applyProtection="1">
      <alignment horizontal="center"/>
      <protection locked="0"/>
    </xf>
    <xf numFmtId="164" fontId="7" fillId="0" borderId="94" xfId="0" applyFont="1" applyBorder="1" applyAlignment="1" applyProtection="1">
      <alignment horizontal="center"/>
      <protection locked="0"/>
    </xf>
    <xf numFmtId="164" fontId="7" fillId="0" borderId="99" xfId="0" applyFont="1" applyBorder="1" applyAlignment="1" applyProtection="1">
      <alignment horizontal="center"/>
      <protection locked="0"/>
    </xf>
    <xf numFmtId="164" fontId="1" fillId="0" borderId="110" xfId="0" applyNumberFormat="1" applyFont="1" applyBorder="1" applyAlignment="1" applyProtection="1">
      <alignment horizontal="center"/>
      <protection/>
    </xf>
    <xf numFmtId="164" fontId="1" fillId="0" borderId="111" xfId="0" applyNumberFormat="1" applyFont="1" applyBorder="1" applyAlignment="1" applyProtection="1">
      <alignment horizontal="center"/>
      <protection/>
    </xf>
    <xf numFmtId="168" fontId="1" fillId="0" borderId="36" xfId="0" applyNumberFormat="1" applyFont="1" applyFill="1" applyBorder="1" applyAlignment="1" applyProtection="1">
      <alignment horizontal="center"/>
      <protection/>
    </xf>
    <xf numFmtId="168" fontId="1" fillId="0" borderId="49" xfId="0" applyNumberFormat="1" applyFont="1" applyBorder="1" applyAlignment="1" applyProtection="1">
      <alignment horizontal="center"/>
      <protection/>
    </xf>
    <xf numFmtId="168" fontId="1" fillId="0" borderId="44" xfId="0" applyNumberFormat="1" applyFont="1" applyFill="1" applyBorder="1" applyAlignment="1" applyProtection="1">
      <alignment horizontal="center"/>
      <protection/>
    </xf>
    <xf numFmtId="6" fontId="1" fillId="0" borderId="40" xfId="0" applyNumberFormat="1" applyFont="1" applyBorder="1" applyAlignment="1" applyProtection="1">
      <alignment horizontal="center"/>
      <protection/>
    </xf>
    <xf numFmtId="168" fontId="7" fillId="0" borderId="93" xfId="0" applyNumberFormat="1" applyFont="1" applyBorder="1" applyAlignment="1" applyProtection="1">
      <alignment horizontal="center"/>
      <protection locked="0"/>
    </xf>
    <xf numFmtId="9" fontId="7" fillId="0" borderId="99" xfId="0" applyNumberFormat="1" applyFont="1" applyBorder="1" applyAlignment="1" applyProtection="1">
      <alignment horizontal="center"/>
      <protection locked="0"/>
    </xf>
    <xf numFmtId="168" fontId="7" fillId="0" borderId="99" xfId="0" applyNumberFormat="1" applyFont="1" applyBorder="1" applyAlignment="1" applyProtection="1">
      <alignment horizontal="center"/>
      <protection locked="0"/>
    </xf>
    <xf numFmtId="164" fontId="1" fillId="33" borderId="27" xfId="0" applyNumberFormat="1" applyFont="1" applyFill="1" applyBorder="1" applyAlignment="1" applyProtection="1">
      <alignment horizontal="left"/>
      <protection/>
    </xf>
    <xf numFmtId="164" fontId="7" fillId="0" borderId="112" xfId="0" applyNumberFormat="1" applyFont="1" applyBorder="1" applyAlignment="1" applyProtection="1">
      <alignment horizontal="left"/>
      <protection locked="0"/>
    </xf>
    <xf numFmtId="164" fontId="1" fillId="33" borderId="10" xfId="0" applyNumberFormat="1" applyFont="1" applyFill="1" applyBorder="1" applyAlignment="1" applyProtection="1">
      <alignment horizontal="left"/>
      <protection/>
    </xf>
    <xf numFmtId="164" fontId="7" fillId="0" borderId="113" xfId="0" applyNumberFormat="1" applyFont="1" applyFill="1" applyBorder="1" applyAlignment="1" applyProtection="1">
      <alignment/>
      <protection locked="0"/>
    </xf>
    <xf numFmtId="5" fontId="20" fillId="46" borderId="114" xfId="0" applyNumberFormat="1" applyFont="1" applyFill="1" applyBorder="1" applyAlignment="1" applyProtection="1">
      <alignment/>
      <protection locked="0"/>
    </xf>
    <xf numFmtId="5" fontId="7" fillId="0" borderId="115" xfId="0" applyNumberFormat="1" applyFont="1" applyBorder="1" applyAlignment="1" applyProtection="1">
      <alignment/>
      <protection locked="0"/>
    </xf>
    <xf numFmtId="5" fontId="19" fillId="48" borderId="116" xfId="0" applyNumberFormat="1" applyFont="1" applyFill="1" applyBorder="1" applyAlignment="1" applyProtection="1">
      <alignment/>
      <protection locked="0"/>
    </xf>
    <xf numFmtId="164" fontId="1" fillId="49" borderId="0" xfId="0" applyFont="1" applyFill="1" applyAlignment="1" applyProtection="1">
      <alignment horizontal="center"/>
      <protection/>
    </xf>
    <xf numFmtId="165" fontId="1" fillId="49" borderId="0" xfId="0" applyNumberFormat="1" applyFont="1" applyFill="1" applyAlignment="1" applyProtection="1">
      <alignment horizontal="center"/>
      <protection/>
    </xf>
    <xf numFmtId="5" fontId="4" fillId="0" borderId="0" xfId="0" applyNumberFormat="1" applyFont="1" applyBorder="1" applyAlignment="1" applyProtection="1">
      <alignment horizontal="center"/>
      <protection/>
    </xf>
    <xf numFmtId="7" fontId="4" fillId="0" borderId="0" xfId="0" applyNumberFormat="1" applyFont="1" applyBorder="1" applyAlignment="1" applyProtection="1">
      <alignment horizontal="center"/>
      <protection/>
    </xf>
    <xf numFmtId="5" fontId="4" fillId="0" borderId="0" xfId="0" applyNumberFormat="1" applyFont="1" applyBorder="1" applyAlignment="1" applyProtection="1">
      <alignment/>
      <protection/>
    </xf>
    <xf numFmtId="7" fontId="4" fillId="0" borderId="0" xfId="0" applyNumberFormat="1" applyFont="1" applyBorder="1" applyAlignment="1" applyProtection="1">
      <alignment/>
      <protection/>
    </xf>
    <xf numFmtId="164" fontId="0" fillId="42" borderId="0" xfId="0" applyFill="1" applyAlignment="1">
      <alignment/>
    </xf>
    <xf numFmtId="164" fontId="1" fillId="42" borderId="0" xfId="0" applyFont="1" applyFill="1" applyAlignment="1" applyProtection="1">
      <alignment horizontal="left"/>
      <protection/>
    </xf>
    <xf numFmtId="164" fontId="8" fillId="41" borderId="0" xfId="0" applyNumberFormat="1" applyFont="1" applyFill="1" applyAlignment="1" applyProtection="1">
      <alignment horizontal="centerContinuous"/>
      <protection/>
    </xf>
    <xf numFmtId="164" fontId="1" fillId="41" borderId="0" xfId="0" applyNumberFormat="1" applyFont="1" applyFill="1" applyAlignment="1" applyProtection="1">
      <alignment/>
      <protection/>
    </xf>
    <xf numFmtId="164" fontId="5" fillId="0" borderId="0" xfId="0" applyFont="1" applyAlignment="1">
      <alignment/>
    </xf>
    <xf numFmtId="164" fontId="0" fillId="0" borderId="0" xfId="0" applyBorder="1" applyAlignment="1">
      <alignment/>
    </xf>
    <xf numFmtId="5" fontId="1" fillId="49" borderId="10" xfId="0" applyNumberFormat="1" applyFont="1" applyFill="1" applyBorder="1" applyAlignment="1" applyProtection="1">
      <alignment horizontal="center"/>
      <protection/>
    </xf>
    <xf numFmtId="7" fontId="1" fillId="49" borderId="28" xfId="0" applyNumberFormat="1" applyFont="1" applyFill="1" applyBorder="1" applyAlignment="1" applyProtection="1">
      <alignment horizontal="center"/>
      <protection/>
    </xf>
    <xf numFmtId="7" fontId="1" fillId="49" borderId="72" xfId="0" applyNumberFormat="1" applyFont="1" applyFill="1" applyBorder="1" applyAlignment="1" applyProtection="1">
      <alignment horizontal="center"/>
      <protection/>
    </xf>
    <xf numFmtId="164" fontId="20" fillId="50" borderId="100" xfId="0" applyFont="1" applyFill="1" applyBorder="1" applyAlignment="1" applyProtection="1">
      <alignment/>
      <protection locked="0"/>
    </xf>
    <xf numFmtId="1" fontId="20" fillId="50" borderId="90" xfId="0" applyNumberFormat="1" applyFont="1" applyFill="1" applyBorder="1" applyAlignment="1" applyProtection="1">
      <alignment/>
      <protection locked="0"/>
    </xf>
    <xf numFmtId="5" fontId="20" fillId="50" borderId="91" xfId="0" applyNumberFormat="1" applyFont="1" applyFill="1" applyBorder="1" applyAlignment="1" applyProtection="1">
      <alignment/>
      <protection locked="0"/>
    </xf>
    <xf numFmtId="164" fontId="20" fillId="50" borderId="102" xfId="0" applyFont="1" applyFill="1" applyBorder="1" applyAlignment="1" applyProtection="1">
      <alignment/>
      <protection locked="0"/>
    </xf>
    <xf numFmtId="1" fontId="20" fillId="50" borderId="83" xfId="0" applyNumberFormat="1" applyFont="1" applyFill="1" applyBorder="1" applyAlignment="1" applyProtection="1">
      <alignment/>
      <protection locked="0"/>
    </xf>
    <xf numFmtId="5" fontId="20" fillId="50" borderId="81" xfId="0" applyNumberFormat="1" applyFont="1" applyFill="1" applyBorder="1" applyAlignment="1" applyProtection="1">
      <alignment/>
      <protection locked="0"/>
    </xf>
    <xf numFmtId="5" fontId="20" fillId="51" borderId="90" xfId="0" applyNumberFormat="1" applyFont="1" applyFill="1" applyBorder="1" applyAlignment="1" applyProtection="1">
      <alignment/>
      <protection locked="0"/>
    </xf>
    <xf numFmtId="5" fontId="20" fillId="50" borderId="83" xfId="0" applyNumberFormat="1" applyFont="1" applyFill="1" applyBorder="1" applyAlignment="1" applyProtection="1">
      <alignment/>
      <protection locked="0"/>
    </xf>
    <xf numFmtId="5" fontId="20" fillId="51" borderId="83" xfId="0" applyNumberFormat="1" applyFont="1" applyFill="1" applyBorder="1" applyAlignment="1" applyProtection="1">
      <alignment/>
      <protection locked="0"/>
    </xf>
    <xf numFmtId="5" fontId="7" fillId="51" borderId="83" xfId="0" applyNumberFormat="1" applyFont="1" applyFill="1" applyBorder="1" applyAlignment="1" applyProtection="1">
      <alignment/>
      <protection locked="0"/>
    </xf>
    <xf numFmtId="5" fontId="7" fillId="51" borderId="85" xfId="0" applyNumberFormat="1" applyFont="1" applyFill="1" applyBorder="1" applyAlignment="1" applyProtection="1">
      <alignment/>
      <protection locked="0"/>
    </xf>
    <xf numFmtId="5" fontId="20" fillId="50" borderId="90" xfId="0" applyNumberFormat="1" applyFont="1" applyFill="1" applyBorder="1" applyAlignment="1" applyProtection="1">
      <alignment/>
      <protection locked="0"/>
    </xf>
    <xf numFmtId="5" fontId="20" fillId="50" borderId="105" xfId="0" applyNumberFormat="1" applyFont="1" applyFill="1" applyBorder="1" applyAlignment="1" applyProtection="1">
      <alignment/>
      <protection locked="0"/>
    </xf>
    <xf numFmtId="5" fontId="20" fillId="50" borderId="114" xfId="0" applyNumberFormat="1" applyFont="1" applyFill="1" applyBorder="1" applyAlignment="1" applyProtection="1">
      <alignment/>
      <protection locked="0"/>
    </xf>
    <xf numFmtId="5" fontId="19" fillId="50" borderId="116" xfId="0" applyNumberFormat="1" applyFont="1" applyFill="1" applyBorder="1" applyAlignment="1" applyProtection="1">
      <alignment/>
      <protection locked="0"/>
    </xf>
    <xf numFmtId="5" fontId="7" fillId="51" borderId="115" xfId="0" applyNumberFormat="1" applyFont="1" applyFill="1" applyBorder="1" applyAlignment="1" applyProtection="1">
      <alignment/>
      <protection locked="0"/>
    </xf>
    <xf numFmtId="164" fontId="7" fillId="0" borderId="80" xfId="0" applyNumberFormat="1" applyFont="1" applyFill="1" applyBorder="1" applyAlignment="1" applyProtection="1">
      <alignment horizontal="left"/>
      <protection locked="0"/>
    </xf>
    <xf numFmtId="164" fontId="7" fillId="0" borderId="83" xfId="0" applyNumberFormat="1" applyFont="1" applyFill="1" applyBorder="1" applyAlignment="1" applyProtection="1">
      <alignment horizontal="center"/>
      <protection locked="0"/>
    </xf>
    <xf numFmtId="164" fontId="7" fillId="0" borderId="83" xfId="0" applyNumberFormat="1" applyFont="1" applyFill="1" applyBorder="1" applyAlignment="1" applyProtection="1">
      <alignment/>
      <protection locked="0"/>
    </xf>
    <xf numFmtId="7" fontId="7" fillId="0" borderId="81" xfId="0" applyNumberFormat="1" applyFont="1" applyFill="1" applyBorder="1" applyAlignment="1" applyProtection="1">
      <alignment/>
      <protection locked="0"/>
    </xf>
    <xf numFmtId="164" fontId="19" fillId="46" borderId="0" xfId="0" applyFont="1" applyFill="1" applyAlignment="1" applyProtection="1">
      <alignment/>
      <protection/>
    </xf>
    <xf numFmtId="164" fontId="19" fillId="46" borderId="27" xfId="0" applyFont="1" applyFill="1" applyBorder="1" applyAlignment="1" applyProtection="1">
      <alignment/>
      <protection/>
    </xf>
    <xf numFmtId="164" fontId="1" fillId="0" borderId="0" xfId="0" applyNumberFormat="1" applyFont="1" applyAlignment="1" applyProtection="1">
      <alignment horizontal="left"/>
      <protection/>
    </xf>
    <xf numFmtId="164" fontId="1" fillId="0" borderId="27" xfId="0" applyNumberFormat="1" applyFont="1" applyBorder="1" applyAlignment="1" applyProtection="1">
      <alignment horizontal="left"/>
      <protection/>
    </xf>
    <xf numFmtId="164" fontId="10" fillId="42" borderId="0" xfId="0" applyNumberFormat="1" applyFont="1" applyFill="1" applyAlignment="1" applyProtection="1">
      <alignment horizontal="left"/>
      <protection/>
    </xf>
    <xf numFmtId="164" fontId="8" fillId="0" borderId="0" xfId="0" applyNumberFormat="1" applyFont="1" applyAlignment="1" applyProtection="1">
      <alignment horizontal="left"/>
      <protection/>
    </xf>
    <xf numFmtId="164" fontId="10" fillId="0" borderId="0" xfId="0" applyNumberFormat="1" applyFont="1" applyAlignment="1" applyProtection="1">
      <alignment horizontal="left"/>
      <protection/>
    </xf>
    <xf numFmtId="164" fontId="10" fillId="0" borderId="117" xfId="0" applyNumberFormat="1" applyFont="1" applyBorder="1" applyAlignment="1" applyProtection="1">
      <alignment horizontal="left"/>
      <protection/>
    </xf>
    <xf numFmtId="164" fontId="8" fillId="0" borderId="70" xfId="0" applyNumberFormat="1" applyFont="1" applyFill="1" applyBorder="1" applyAlignment="1" applyProtection="1">
      <alignment horizontal="center"/>
      <protection/>
    </xf>
    <xf numFmtId="164" fontId="8" fillId="0" borderId="29" xfId="0" applyNumberFormat="1" applyFont="1" applyFill="1" applyBorder="1" applyAlignment="1" applyProtection="1">
      <alignment horizontal="center"/>
      <protection/>
    </xf>
    <xf numFmtId="164" fontId="8" fillId="0" borderId="30" xfId="0" applyNumberFormat="1" applyFont="1" applyFill="1" applyBorder="1" applyAlignment="1" applyProtection="1">
      <alignment horizontal="center"/>
      <protection/>
    </xf>
    <xf numFmtId="164" fontId="1" fillId="0" borderId="20" xfId="0" applyNumberFormat="1" applyFont="1" applyBorder="1" applyAlignment="1" applyProtection="1">
      <alignment horizontal="center" wrapText="1"/>
      <protection/>
    </xf>
    <xf numFmtId="164" fontId="1" fillId="0" borderId="21" xfId="0" applyNumberFormat="1" applyFont="1" applyBorder="1" applyAlignment="1" applyProtection="1">
      <alignment horizontal="center" wrapText="1"/>
      <protection/>
    </xf>
    <xf numFmtId="164" fontId="1" fillId="0" borderId="22" xfId="0" applyNumberFormat="1" applyFont="1" applyBorder="1" applyAlignment="1" applyProtection="1">
      <alignment horizontal="center" wrapText="1"/>
      <protection/>
    </xf>
    <xf numFmtId="164" fontId="7" fillId="0" borderId="118" xfId="0" applyNumberFormat="1" applyFont="1" applyBorder="1" applyAlignment="1" applyProtection="1">
      <alignment horizontal="left"/>
      <protection locked="0"/>
    </xf>
    <xf numFmtId="164" fontId="7" fillId="0" borderId="119" xfId="0" applyNumberFormat="1" applyFont="1" applyBorder="1" applyAlignment="1" applyProtection="1">
      <alignment horizontal="left"/>
      <protection locked="0"/>
    </xf>
    <xf numFmtId="164" fontId="7" fillId="0" borderId="120" xfId="0" applyNumberFormat="1" applyFont="1" applyBorder="1" applyAlignment="1" applyProtection="1">
      <alignment horizontal="left"/>
      <protection locked="0"/>
    </xf>
    <xf numFmtId="164" fontId="7" fillId="0" borderId="121" xfId="0" applyNumberFormat="1" applyFont="1" applyBorder="1" applyAlignment="1" applyProtection="1">
      <alignment horizontal="left"/>
      <protection locked="0"/>
    </xf>
    <xf numFmtId="164" fontId="7" fillId="0" borderId="122" xfId="0" applyNumberFormat="1" applyFont="1" applyBorder="1" applyAlignment="1" applyProtection="1">
      <alignment horizontal="left"/>
      <protection locked="0"/>
    </xf>
    <xf numFmtId="164" fontId="7" fillId="0" borderId="123" xfId="0" applyNumberFormat="1" applyFont="1" applyBorder="1" applyAlignment="1" applyProtection="1">
      <alignment horizontal="left"/>
      <protection locked="0"/>
    </xf>
    <xf numFmtId="176" fontId="1" fillId="0" borderId="38" xfId="0" applyNumberFormat="1" applyFont="1" applyBorder="1" applyAlignment="1" applyProtection="1">
      <alignment horizontal="center"/>
      <protection/>
    </xf>
    <xf numFmtId="164" fontId="8" fillId="0" borderId="0" xfId="0" applyNumberFormat="1" applyFont="1" applyBorder="1" applyAlignment="1" applyProtection="1">
      <alignment horizontal="center"/>
      <protection/>
    </xf>
    <xf numFmtId="164" fontId="1" fillId="42" borderId="37" xfId="0" applyFont="1" applyFill="1" applyBorder="1" applyAlignment="1">
      <alignment horizontal="center"/>
    </xf>
    <xf numFmtId="164" fontId="1" fillId="42" borderId="39" xfId="0" applyFont="1" applyFill="1" applyBorder="1" applyAlignment="1">
      <alignment horizontal="center"/>
    </xf>
    <xf numFmtId="164" fontId="9" fillId="0" borderId="70" xfId="0" applyFont="1" applyFill="1" applyBorder="1" applyAlignment="1" applyProtection="1">
      <alignment horizontal="center"/>
      <protection/>
    </xf>
    <xf numFmtId="164" fontId="9" fillId="0" borderId="29" xfId="0" applyFont="1" applyFill="1" applyBorder="1" applyAlignment="1" applyProtection="1">
      <alignment horizontal="center"/>
      <protection/>
    </xf>
    <xf numFmtId="164" fontId="9" fillId="0" borderId="30" xfId="0" applyFont="1" applyFill="1" applyBorder="1" applyAlignment="1" applyProtection="1">
      <alignment horizontal="center"/>
      <protection/>
    </xf>
    <xf numFmtId="164" fontId="8" fillId="44" borderId="0" xfId="0" applyNumberFormat="1" applyFont="1" applyFill="1" applyAlignment="1" applyProtection="1">
      <alignment horizontal="center"/>
      <protection/>
    </xf>
    <xf numFmtId="164" fontId="1" fillId="0" borderId="23" xfId="0" applyNumberFormat="1" applyFont="1" applyBorder="1" applyAlignment="1" applyProtection="1">
      <alignment horizontal="center"/>
      <protection/>
    </xf>
    <xf numFmtId="164" fontId="1" fillId="44" borderId="37" xfId="0" applyNumberFormat="1" applyFont="1" applyFill="1" applyBorder="1" applyAlignment="1" applyProtection="1">
      <alignment horizontal="center"/>
      <protection/>
    </xf>
    <xf numFmtId="164" fontId="1" fillId="44" borderId="39" xfId="0" applyNumberFormat="1" applyFont="1" applyFill="1" applyBorder="1" applyAlignment="1" applyProtection="1">
      <alignment horizontal="center"/>
      <protection/>
    </xf>
    <xf numFmtId="164" fontId="1" fillId="0" borderId="0" xfId="0" applyFont="1" applyAlignment="1" applyProtection="1">
      <alignment horizontal="center"/>
      <protection/>
    </xf>
    <xf numFmtId="164" fontId="8" fillId="0" borderId="0" xfId="0" applyFont="1" applyBorder="1" applyAlignment="1" applyProtection="1">
      <alignment horizontal="left"/>
      <protection/>
    </xf>
    <xf numFmtId="164" fontId="9" fillId="44" borderId="0" xfId="0" applyNumberFormat="1" applyFont="1" applyFill="1" applyAlignment="1" applyProtection="1">
      <alignment horizontal="center"/>
      <protection/>
    </xf>
    <xf numFmtId="164" fontId="1" fillId="0" borderId="34" xfId="0" applyNumberFormat="1" applyFont="1" applyBorder="1" applyAlignment="1" applyProtection="1">
      <alignment horizontal="center"/>
      <protection/>
    </xf>
    <xf numFmtId="164" fontId="8" fillId="38" borderId="0" xfId="0" applyNumberFormat="1" applyFont="1" applyFill="1" applyAlignment="1" applyProtection="1">
      <alignment horizontal="center"/>
      <protection/>
    </xf>
    <xf numFmtId="164" fontId="19" fillId="0" borderId="0" xfId="0" applyFont="1" applyAlignment="1" applyProtection="1">
      <alignment/>
      <protection/>
    </xf>
    <xf numFmtId="164" fontId="1" fillId="38" borderId="0" xfId="0" applyNumberFormat="1" applyFont="1" applyFill="1" applyBorder="1" applyAlignment="1" applyProtection="1">
      <alignment horizontal="center" wrapText="1"/>
      <protection/>
    </xf>
    <xf numFmtId="164" fontId="1" fillId="0" borderId="0" xfId="0" applyFont="1" applyAlignment="1">
      <alignment/>
    </xf>
    <xf numFmtId="164" fontId="1" fillId="0" borderId="117" xfId="0" applyFont="1" applyBorder="1" applyAlignment="1">
      <alignment/>
    </xf>
    <xf numFmtId="164" fontId="33" fillId="38" borderId="0" xfId="0" applyFont="1" applyFill="1" applyAlignment="1" applyProtection="1">
      <alignment/>
      <protection/>
    </xf>
    <xf numFmtId="164" fontId="8" fillId="0" borderId="17" xfId="0" applyNumberFormat="1" applyFont="1" applyBorder="1" applyAlignment="1" applyProtection="1">
      <alignment horizontal="left"/>
      <protection/>
    </xf>
    <xf numFmtId="164" fontId="1" fillId="0" borderId="0"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FF00"/>
                </a:solidFill>
              </a:rPr>
              <a:t>Revenue</a:t>
            </a:r>
            <a:r>
              <a:rPr lang="en-US" cap="none" sz="800" b="1" i="0" u="none" baseline="0">
                <a:solidFill>
                  <a:srgbClr val="000000"/>
                </a:solidFill>
              </a:rPr>
              <a:t> Based on Profitability (Cash &amp; Non-Cash)</a:t>
            </a:r>
          </a:p>
        </c:rich>
      </c:tx>
      <c:layout>
        <c:manualLayout>
          <c:xMode val="factor"/>
          <c:yMode val="factor"/>
          <c:x val="-0.09925"/>
          <c:y val="0.00525"/>
        </c:manualLayout>
      </c:layout>
      <c:spPr>
        <a:noFill/>
        <a:ln>
          <a:noFill/>
        </a:ln>
      </c:spPr>
    </c:title>
    <c:view3D>
      <c:rotX val="15"/>
      <c:hPercent val="100"/>
      <c:rotY val="200"/>
      <c:depthPercent val="100"/>
      <c:rAngAx val="1"/>
    </c:view3D>
    <c:plotArea>
      <c:layout>
        <c:manualLayout>
          <c:xMode val="edge"/>
          <c:yMode val="edge"/>
          <c:x val="0.17525"/>
          <c:y val="0.50575"/>
          <c:w val="0.32075"/>
          <c:h val="0.16025"/>
        </c:manualLayout>
      </c:layout>
      <c:pie3DChart>
        <c:varyColors val="1"/>
        <c:ser>
          <c:idx val="0"/>
          <c:order val="0"/>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00FF0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FF0000"/>
              </a:solidFill>
              <a:ln w="12700">
                <a:solidFill>
                  <a:srgbClr val="000000"/>
                </a:solidFill>
              </a:ln>
            </c:spPr>
          </c:dPt>
          <c:dPt>
            <c:idx val="7"/>
            <c:spPr>
              <a:solidFill>
                <a:srgbClr val="C0C0FF"/>
              </a:solidFill>
              <a:ln w="12700">
                <a:solidFill>
                  <a:srgbClr val="000000"/>
                </a:solidFill>
              </a:ln>
            </c:spPr>
          </c:dPt>
          <c:dLbls>
            <c:dLbl>
              <c:idx val="0"/>
              <c:layout>
                <c:manualLayout>
                  <c:x val="0"/>
                  <c:y val="0"/>
                </c:manualLayout>
              </c:layout>
              <c:txPr>
                <a:bodyPr vert="horz" rot="0" anchor="ctr"/>
                <a:lstStyle/>
                <a:p>
                  <a:pPr algn="ctr">
                    <a:defRPr lang="en-US" cap="none" sz="575" b="0" i="0" u="none" baseline="0">
                      <a:solidFill>
                        <a:srgbClr val="000000"/>
                      </a:solidFil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575" b="0" i="0" u="none" baseline="0">
                      <a:solidFill>
                        <a:srgbClr val="000000"/>
                      </a:solidFil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575" b="0" i="0" u="none" baseline="0">
                      <a:solidFill>
                        <a:srgbClr val="000000"/>
                      </a:solidFil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575" b="0" i="0" u="none" baseline="0">
                      <a:solidFill>
                        <a:srgbClr val="000000"/>
                      </a:solidFil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575" b="0" i="0" u="none" baseline="0">
                      <a:solidFill>
                        <a:srgbClr val="000000"/>
                      </a:solidFill>
                    </a:defRPr>
                  </a:pPr>
                </a:p>
              </c:txPr>
              <c:numFmt formatCode="0.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575" b="0" i="0" u="none" baseline="0">
                      <a:solidFill>
                        <a:srgbClr val="000000"/>
                      </a:solidFill>
                    </a:defRPr>
                  </a:pPr>
                </a:p>
              </c:txPr>
              <c:numFmt formatCode="0.0%" sourceLinked="0"/>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575" b="0" i="0" u="none" baseline="0">
                      <a:solidFill>
                        <a:srgbClr val="000000"/>
                      </a:solidFil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575" b="0" i="0" u="none" baseline="0">
                      <a:solidFill>
                        <a:srgbClr val="000000"/>
                      </a:solidFil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575" b="0" i="0" u="none" baseline="0">
                    <a:solidFill>
                      <a:srgbClr val="000000"/>
                    </a:solidFill>
                  </a:defRPr>
                </a:pPr>
              </a:p>
            </c:txPr>
            <c:showLegendKey val="0"/>
            <c:showVal val="0"/>
            <c:showBubbleSize val="0"/>
            <c:showCatName val="0"/>
            <c:showSerName val="0"/>
            <c:showLeaderLines val="1"/>
            <c:showPercent val="1"/>
          </c:dLbls>
          <c:cat>
            <c:strRef>
              <c:f>EweFlock!$P$220:$P$227</c:f>
              <c:strCache/>
            </c:strRef>
          </c:cat>
          <c:val>
            <c:numRef>
              <c:f>EweFlock!$O$220:$O$227</c:f>
              <c:numCache/>
            </c:numRef>
          </c:val>
        </c:ser>
        <c:firstSliceAng val="200"/>
      </c:pie3DChart>
      <c:spPr>
        <a:noFill/>
        <a:ln>
          <a:noFill/>
        </a:ln>
      </c:spPr>
    </c:plotArea>
    <c:legend>
      <c:legendPos val="r"/>
      <c:layout>
        <c:manualLayout>
          <c:xMode val="edge"/>
          <c:yMode val="edge"/>
          <c:x val="0.668"/>
          <c:y val="0.00525"/>
          <c:w val="0.31025"/>
          <c:h val="0.9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FF00"/>
                </a:solidFill>
              </a:rPr>
              <a:t>Revenue</a:t>
            </a:r>
            <a:r>
              <a:rPr lang="en-US" cap="none" sz="800" b="1" i="0" u="none" baseline="0">
                <a:solidFill>
                  <a:srgbClr val="000000"/>
                </a:solidFill>
              </a:rPr>
              <a:t> Based on Cash Flow Only</a:t>
            </a:r>
          </a:p>
        </c:rich>
      </c:tx>
      <c:layout>
        <c:manualLayout>
          <c:xMode val="factor"/>
          <c:yMode val="factor"/>
          <c:x val="-0.135"/>
          <c:y val="0.00825"/>
        </c:manualLayout>
      </c:layout>
      <c:spPr>
        <a:noFill/>
        <a:ln>
          <a:noFill/>
        </a:ln>
      </c:spPr>
    </c:title>
    <c:view3D>
      <c:rotX val="15"/>
      <c:hPercent val="100"/>
      <c:rotY val="0"/>
      <c:depthPercent val="100"/>
      <c:rAngAx val="1"/>
    </c:view3D>
    <c:plotArea>
      <c:layout>
        <c:manualLayout>
          <c:xMode val="edge"/>
          <c:yMode val="edge"/>
          <c:x val="0.20075"/>
          <c:y val="0.4885"/>
          <c:w val="0.27225"/>
          <c:h val="0.1425"/>
        </c:manualLayout>
      </c:layout>
      <c:pie3DChart>
        <c:varyColors val="1"/>
        <c:ser>
          <c:idx val="0"/>
          <c:order val="0"/>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numFmt formatCode="0.0%" sourceLinked="0"/>
            <c:dLblPos val="bestFit"/>
            <c:showLegendKey val="0"/>
            <c:showVal val="0"/>
            <c:showBubbleSize val="0"/>
            <c:showCatName val="0"/>
            <c:showSerName val="0"/>
            <c:showLeaderLines val="1"/>
            <c:showPercent val="1"/>
          </c:dLbls>
          <c:cat>
            <c:strRef>
              <c:f>EweFlock!$P$220:$P$225</c:f>
              <c:strCache/>
            </c:strRef>
          </c:cat>
          <c:val>
            <c:numRef>
              <c:f>EweFlock!$F$222:$F$227</c:f>
              <c:numCache/>
            </c:numRef>
          </c:val>
        </c:ser>
      </c:pie3DChart>
      <c:spPr>
        <a:noFill/>
        <a:ln>
          <a:noFill/>
        </a:ln>
      </c:spPr>
    </c:plotArea>
    <c:legend>
      <c:legendPos val="r"/>
      <c:layout>
        <c:manualLayout>
          <c:xMode val="edge"/>
          <c:yMode val="edge"/>
          <c:x val="0.67025"/>
          <c:y val="0.12825"/>
          <c:w val="0.30825"/>
          <c:h val="0.858"/>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FF0000"/>
                </a:solidFill>
              </a:rPr>
              <a:t>Expenses</a:t>
            </a:r>
            <a:r>
              <a:rPr lang="en-US" cap="none" sz="800" b="1" i="0" u="none" baseline="0">
                <a:solidFill>
                  <a:srgbClr val="000000"/>
                </a:solidFill>
              </a:rPr>
              <a:t> Based on Profitability Analysis</a:t>
            </a:r>
          </a:p>
        </c:rich>
      </c:tx>
      <c:layout>
        <c:manualLayout>
          <c:xMode val="factor"/>
          <c:yMode val="factor"/>
          <c:x val="-0.14425"/>
          <c:y val="0.00525"/>
        </c:manualLayout>
      </c:layout>
      <c:spPr>
        <a:noFill/>
        <a:ln>
          <a:noFill/>
        </a:ln>
      </c:spPr>
    </c:title>
    <c:view3D>
      <c:rotX val="15"/>
      <c:hPercent val="100"/>
      <c:rotY val="0"/>
      <c:depthPercent val="100"/>
      <c:rAngAx val="1"/>
    </c:view3D>
    <c:plotArea>
      <c:layout>
        <c:manualLayout>
          <c:xMode val="edge"/>
          <c:yMode val="edge"/>
          <c:x val="0.18725"/>
          <c:y val="0.47425"/>
          <c:w val="0.3"/>
          <c:h val="0.16525"/>
        </c:manualLayout>
      </c:layout>
      <c:pie3DChart>
        <c:varyColors val="1"/>
        <c:ser>
          <c:idx val="0"/>
          <c:order val="0"/>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EweFlock!$P$233:$P$240</c:f>
              <c:strCache/>
            </c:strRef>
          </c:cat>
          <c:val>
            <c:numRef>
              <c:f>EweFlock!$O$233:$O$240</c:f>
              <c:numCache/>
            </c:numRef>
          </c:val>
        </c:ser>
      </c:pie3DChart>
      <c:spPr>
        <a:noFill/>
        <a:ln>
          <a:noFill/>
        </a:ln>
      </c:spPr>
    </c:plotArea>
    <c:legend>
      <c:legendPos val="r"/>
      <c:layout>
        <c:manualLayout>
          <c:xMode val="edge"/>
          <c:yMode val="edge"/>
          <c:x val="0.67125"/>
          <c:y val="0.24275"/>
          <c:w val="0.3135"/>
          <c:h val="0.62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FF0000"/>
                </a:solidFill>
              </a:rPr>
              <a:t>Expenses </a:t>
            </a:r>
            <a:r>
              <a:rPr lang="en-US" cap="none" sz="800" b="1" i="0" u="none" baseline="0">
                <a:solidFill>
                  <a:srgbClr val="000000"/>
                </a:solidFill>
              </a:rPr>
              <a:t>Based on Cash Flow Analysis</a:t>
            </a:r>
          </a:p>
        </c:rich>
      </c:tx>
      <c:layout>
        <c:manualLayout>
          <c:xMode val="factor"/>
          <c:yMode val="factor"/>
          <c:x val="-0.133"/>
          <c:y val="0.0085"/>
        </c:manualLayout>
      </c:layout>
      <c:spPr>
        <a:noFill/>
        <a:ln>
          <a:noFill/>
        </a:ln>
      </c:spPr>
    </c:title>
    <c:view3D>
      <c:rotX val="15"/>
      <c:hPercent val="100"/>
      <c:rotY val="0"/>
      <c:depthPercent val="100"/>
      <c:rAngAx val="1"/>
    </c:view3D>
    <c:plotArea>
      <c:layout>
        <c:manualLayout>
          <c:xMode val="edge"/>
          <c:yMode val="edge"/>
          <c:x val="0.1875"/>
          <c:y val="0.47575"/>
          <c:w val="0.2975"/>
          <c:h val="0.1685"/>
        </c:manualLayout>
      </c:layout>
      <c:pie3DChart>
        <c:varyColors val="1"/>
        <c:ser>
          <c:idx val="0"/>
          <c:order val="0"/>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EweFlock!$P$243:$P$247</c:f>
              <c:strCache/>
            </c:strRef>
          </c:cat>
          <c:val>
            <c:numRef>
              <c:f>EweFlock!$O$243:$O$247</c:f>
              <c:numCache/>
            </c:numRef>
          </c:val>
        </c:ser>
      </c:pie3DChart>
      <c:spPr>
        <a:noFill/>
        <a:ln>
          <a:noFill/>
        </a:ln>
      </c:spPr>
    </c:plotArea>
    <c:legend>
      <c:legendPos val="r"/>
      <c:layout>
        <c:manualLayout>
          <c:xMode val="edge"/>
          <c:yMode val="edge"/>
          <c:x val="0.6705"/>
          <c:y val="0.34925"/>
          <c:w val="0.314"/>
          <c:h val="0.41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198</xdr:row>
      <xdr:rowOff>352425</xdr:rowOff>
    </xdr:from>
    <xdr:to>
      <xdr:col>9</xdr:col>
      <xdr:colOff>923925</xdr:colOff>
      <xdr:row>201</xdr:row>
      <xdr:rowOff>28575</xdr:rowOff>
    </xdr:to>
    <xdr:sp>
      <xdr:nvSpPr>
        <xdr:cNvPr id="1" name="Text Box 20"/>
        <xdr:cNvSpPr txBox="1">
          <a:spLocks noChangeArrowheads="1"/>
        </xdr:cNvSpPr>
      </xdr:nvSpPr>
      <xdr:spPr>
        <a:xfrm>
          <a:off x="7038975" y="34490025"/>
          <a:ext cx="2495550" cy="64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Helv"/>
              <a:ea typeface="Helv"/>
              <a:cs typeface="Helv"/>
            </a:rPr>
            <a:t>Weighted averages are based on the lambs that are actually sold.  Replacement lambs are not included in this calculation.</a:t>
          </a:r>
        </a:p>
      </xdr:txBody>
    </xdr:sp>
    <xdr:clientData/>
  </xdr:twoCellAnchor>
  <xdr:twoCellAnchor>
    <xdr:from>
      <xdr:col>4</xdr:col>
      <xdr:colOff>0</xdr:colOff>
      <xdr:row>320</xdr:row>
      <xdr:rowOff>190500</xdr:rowOff>
    </xdr:from>
    <xdr:to>
      <xdr:col>5</xdr:col>
      <xdr:colOff>504825</xdr:colOff>
      <xdr:row>322</xdr:row>
      <xdr:rowOff>47625</xdr:rowOff>
    </xdr:to>
    <xdr:sp>
      <xdr:nvSpPr>
        <xdr:cNvPr id="2" name="Line 26"/>
        <xdr:cNvSpPr>
          <a:spLocks/>
        </xdr:cNvSpPr>
      </xdr:nvSpPr>
      <xdr:spPr>
        <a:xfrm>
          <a:off x="4238625" y="55816500"/>
          <a:ext cx="12858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4</xdr:col>
      <xdr:colOff>38100</xdr:colOff>
      <xdr:row>321</xdr:row>
      <xdr:rowOff>28575</xdr:rowOff>
    </xdr:from>
    <xdr:to>
      <xdr:col>4</xdr:col>
      <xdr:colOff>323850</xdr:colOff>
      <xdr:row>322</xdr:row>
      <xdr:rowOff>95250</xdr:rowOff>
    </xdr:to>
    <xdr:sp>
      <xdr:nvSpPr>
        <xdr:cNvPr id="3" name="Line 27"/>
        <xdr:cNvSpPr>
          <a:spLocks/>
        </xdr:cNvSpPr>
      </xdr:nvSpPr>
      <xdr:spPr>
        <a:xfrm>
          <a:off x="4276725" y="55854600"/>
          <a:ext cx="2857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180975</xdr:colOff>
      <xdr:row>40</xdr:row>
      <xdr:rowOff>142875</xdr:rowOff>
    </xdr:from>
    <xdr:to>
      <xdr:col>7</xdr:col>
      <xdr:colOff>762000</xdr:colOff>
      <xdr:row>54</xdr:row>
      <xdr:rowOff>9525</xdr:rowOff>
    </xdr:to>
    <xdr:sp>
      <xdr:nvSpPr>
        <xdr:cNvPr id="4" name="Text Box 45"/>
        <xdr:cNvSpPr txBox="1">
          <a:spLocks noChangeArrowheads="1"/>
        </xdr:cNvSpPr>
      </xdr:nvSpPr>
      <xdr:spPr>
        <a:xfrm>
          <a:off x="180975" y="7267575"/>
          <a:ext cx="7362825" cy="2133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Helv"/>
              <a:ea typeface="Helv"/>
              <a:cs typeface="Helv"/>
            </a:rPr>
            <a:t>This template can be used to estimate the costs of production and break-even prices for 1) Commercial Ewe Flock operations (owned or leased), 2) a feeders/backgrounding enterprise, or 3) a yearling enterprise.  Each of these enterprises can be evaluated independent of the others, or you can start with the ewe flock enterprise and follow through each phase or production cycle to get to the desired end point.  The "Feeders" page tab allows for both short and long term backgrounding and analysis of finished slaughter lambs, however not all at the same time.  You may have to run the Feeders page info for each scenario desired if going to a finished slaughter weight through retained ownership.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This template can be used for analysis of cost share or cash leasing but if that is not your objective, simply ignore the columns and other information related to leases.  
</a:t>
          </a:r>
          <a:r>
            <a:rPr lang="en-US" cap="none" sz="1000" b="0" i="0" u="none" baseline="0">
              <a:solidFill>
                <a:srgbClr val="000000"/>
              </a:solidFill>
              <a:latin typeface="Helv"/>
              <a:ea typeface="Helv"/>
              <a:cs typeface="Helv"/>
            </a:rPr>
            <a:t>
</a:t>
          </a:r>
          <a:r>
            <a:rPr lang="en-US" cap="none" sz="1000" b="0" i="0" u="none" baseline="0">
              <a:solidFill>
                <a:srgbClr val="FF0000"/>
              </a:solidFill>
              <a:latin typeface="Helv"/>
              <a:ea typeface="Helv"/>
              <a:cs typeface="Helv"/>
            </a:rPr>
            <a:t>Please read</a:t>
          </a:r>
          <a:r>
            <a:rPr lang="en-US" cap="none" sz="1000" b="0" i="0" u="none" baseline="0">
              <a:solidFill>
                <a:srgbClr val="000000"/>
              </a:solidFill>
              <a:latin typeface="Helv"/>
              <a:ea typeface="Helv"/>
              <a:cs typeface="Helv"/>
            </a:rPr>
            <a:t> the notes and helps included throughout this template to make sure you understand what number is to be entered or how to interpret a result.  These notes and helps are indicated by a small red triangle in the upper right corner of a cell.  Simple place your cursor on top of the cell to view the help message or note attached to that cell.</a:t>
          </a:r>
        </a:p>
      </xdr:txBody>
    </xdr:sp>
    <xdr:clientData/>
  </xdr:twoCellAnchor>
  <xdr:twoCellAnchor>
    <xdr:from>
      <xdr:col>17</xdr:col>
      <xdr:colOff>333375</xdr:colOff>
      <xdr:row>209</xdr:row>
      <xdr:rowOff>123825</xdr:rowOff>
    </xdr:from>
    <xdr:to>
      <xdr:col>23</xdr:col>
      <xdr:colOff>628650</xdr:colOff>
      <xdr:row>229</xdr:row>
      <xdr:rowOff>152400</xdr:rowOff>
    </xdr:to>
    <xdr:graphicFrame>
      <xdr:nvGraphicFramePr>
        <xdr:cNvPr id="5" name="Chart 46"/>
        <xdr:cNvGraphicFramePr/>
      </xdr:nvGraphicFramePr>
      <xdr:xfrm>
        <a:off x="15154275" y="36680775"/>
        <a:ext cx="4505325" cy="3667125"/>
      </xdr:xfrm>
      <a:graphic>
        <a:graphicData uri="http://schemas.openxmlformats.org/drawingml/2006/chart">
          <c:chart xmlns:c="http://schemas.openxmlformats.org/drawingml/2006/chart" r:id="rId1"/>
        </a:graphicData>
      </a:graphic>
    </xdr:graphicFrame>
    <xdr:clientData/>
  </xdr:twoCellAnchor>
  <xdr:twoCellAnchor>
    <xdr:from>
      <xdr:col>17</xdr:col>
      <xdr:colOff>304800</xdr:colOff>
      <xdr:row>230</xdr:row>
      <xdr:rowOff>142875</xdr:rowOff>
    </xdr:from>
    <xdr:to>
      <xdr:col>23</xdr:col>
      <xdr:colOff>628650</xdr:colOff>
      <xdr:row>251</xdr:row>
      <xdr:rowOff>142875</xdr:rowOff>
    </xdr:to>
    <xdr:graphicFrame>
      <xdr:nvGraphicFramePr>
        <xdr:cNvPr id="6" name="Chart 62"/>
        <xdr:cNvGraphicFramePr/>
      </xdr:nvGraphicFramePr>
      <xdr:xfrm>
        <a:off x="15125700" y="40509825"/>
        <a:ext cx="4533900" cy="3505200"/>
      </xdr:xfrm>
      <a:graphic>
        <a:graphicData uri="http://schemas.openxmlformats.org/drawingml/2006/chart">
          <c:chart xmlns:c="http://schemas.openxmlformats.org/drawingml/2006/chart" r:id="rId2"/>
        </a:graphicData>
      </a:graphic>
    </xdr:graphicFrame>
    <xdr:clientData/>
  </xdr:twoCellAnchor>
  <xdr:twoCellAnchor>
    <xdr:from>
      <xdr:col>24</xdr:col>
      <xdr:colOff>152400</xdr:colOff>
      <xdr:row>209</xdr:row>
      <xdr:rowOff>123825</xdr:rowOff>
    </xdr:from>
    <xdr:to>
      <xdr:col>32</xdr:col>
      <xdr:colOff>9525</xdr:colOff>
      <xdr:row>229</xdr:row>
      <xdr:rowOff>142875</xdr:rowOff>
    </xdr:to>
    <xdr:graphicFrame>
      <xdr:nvGraphicFramePr>
        <xdr:cNvPr id="7" name="Chart 66"/>
        <xdr:cNvGraphicFramePr/>
      </xdr:nvGraphicFramePr>
      <xdr:xfrm>
        <a:off x="19831050" y="36680775"/>
        <a:ext cx="5038725" cy="3657600"/>
      </xdr:xfrm>
      <a:graphic>
        <a:graphicData uri="http://schemas.openxmlformats.org/drawingml/2006/chart">
          <c:chart xmlns:c="http://schemas.openxmlformats.org/drawingml/2006/chart" r:id="rId3"/>
        </a:graphicData>
      </a:graphic>
    </xdr:graphicFrame>
    <xdr:clientData/>
  </xdr:twoCellAnchor>
  <xdr:twoCellAnchor>
    <xdr:from>
      <xdr:col>24</xdr:col>
      <xdr:colOff>180975</xdr:colOff>
      <xdr:row>230</xdr:row>
      <xdr:rowOff>123825</xdr:rowOff>
    </xdr:from>
    <xdr:to>
      <xdr:col>32</xdr:col>
      <xdr:colOff>28575</xdr:colOff>
      <xdr:row>251</xdr:row>
      <xdr:rowOff>114300</xdr:rowOff>
    </xdr:to>
    <xdr:graphicFrame>
      <xdr:nvGraphicFramePr>
        <xdr:cNvPr id="8" name="Chart 67"/>
        <xdr:cNvGraphicFramePr/>
      </xdr:nvGraphicFramePr>
      <xdr:xfrm>
        <a:off x="19859625" y="40490775"/>
        <a:ext cx="5029200" cy="3495675"/>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252</xdr:row>
      <xdr:rowOff>209550</xdr:rowOff>
    </xdr:from>
    <xdr:to>
      <xdr:col>3</xdr:col>
      <xdr:colOff>742950</xdr:colOff>
      <xdr:row>258</xdr:row>
      <xdr:rowOff>104775</xdr:rowOff>
    </xdr:to>
    <xdr:sp>
      <xdr:nvSpPr>
        <xdr:cNvPr id="9" name="Text Box 71"/>
        <xdr:cNvSpPr txBox="1">
          <a:spLocks noChangeArrowheads="1"/>
        </xdr:cNvSpPr>
      </xdr:nvSpPr>
      <xdr:spPr>
        <a:xfrm>
          <a:off x="123825" y="44253150"/>
          <a:ext cx="4067175" cy="1028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Helv"/>
              <a:ea typeface="Helv"/>
              <a:cs typeface="Helv"/>
            </a:rPr>
            <a:t>The breakeven calculations presented at right are based on the pounds of lamb actually sold.  Emphasis are on costs and the breakeven is the amount lambs must sell for, to cover operating and total costs.  The breakevens are calculated with and without consideration of non-lamb revenue (cull ewes, wool, etc.).   Costs are adjusted for shearing.  </a:t>
          </a:r>
        </a:p>
      </xdr:txBody>
    </xdr:sp>
    <xdr:clientData/>
  </xdr:twoCellAnchor>
  <xdr:twoCellAnchor>
    <xdr:from>
      <xdr:col>0</xdr:col>
      <xdr:colOff>142875</xdr:colOff>
      <xdr:row>270</xdr:row>
      <xdr:rowOff>66675</xdr:rowOff>
    </xdr:from>
    <xdr:to>
      <xdr:col>2</xdr:col>
      <xdr:colOff>447675</xdr:colOff>
      <xdr:row>272</xdr:row>
      <xdr:rowOff>57150</xdr:rowOff>
    </xdr:to>
    <xdr:sp>
      <xdr:nvSpPr>
        <xdr:cNvPr id="10" name="Text Box 72"/>
        <xdr:cNvSpPr txBox="1">
          <a:spLocks noChangeArrowheads="1"/>
        </xdr:cNvSpPr>
      </xdr:nvSpPr>
      <xdr:spPr>
        <a:xfrm>
          <a:off x="142875" y="47291625"/>
          <a:ext cx="2847975" cy="314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Helv"/>
              <a:ea typeface="Helv"/>
              <a:cs typeface="Helv"/>
            </a:rPr>
            <a:t>The next four tables are Net Income calculations, not breakeven calculations.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xdr:row>
      <xdr:rowOff>28575</xdr:rowOff>
    </xdr:from>
    <xdr:to>
      <xdr:col>7</xdr:col>
      <xdr:colOff>561975</xdr:colOff>
      <xdr:row>12</xdr:row>
      <xdr:rowOff>104775</xdr:rowOff>
    </xdr:to>
    <xdr:sp>
      <xdr:nvSpPr>
        <xdr:cNvPr id="1" name="Text Box 9"/>
        <xdr:cNvSpPr txBox="1">
          <a:spLocks noChangeArrowheads="1"/>
        </xdr:cNvSpPr>
      </xdr:nvSpPr>
      <xdr:spPr>
        <a:xfrm>
          <a:off x="2609850" y="352425"/>
          <a:ext cx="2486025" cy="1695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Helv"/>
              <a:ea typeface="Helv"/>
              <a:cs typeface="Helv"/>
            </a:rPr>
            <a:t>If these macros do not work properly the first time, go to File, then Page Setup and make sure that you check the Fit to 1 pages wide and 1 pages tall option.  
</a:t>
          </a:r>
          <a:r>
            <a:rPr lang="en-US" cap="none" sz="1000" b="0" i="0" u="none" baseline="0">
              <a:solidFill>
                <a:srgbClr val="000000"/>
              </a:solidFill>
              <a:latin typeface="Helv"/>
              <a:ea typeface="Helv"/>
              <a:cs typeface="Helv"/>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tana.edu/wwwextec/index.ht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Q419"/>
  <sheetViews>
    <sheetView showGridLines="0" tabSelected="1" zoomScale="98" zoomScaleNormal="98" zoomScalePageLayoutView="0" workbookViewId="0" topLeftCell="A73">
      <selection activeCell="A1" sqref="A1"/>
    </sheetView>
  </sheetViews>
  <sheetFormatPr defaultColWidth="9.7109375" defaultRowHeight="12.75"/>
  <cols>
    <col min="1" max="1" width="13.00390625" style="4" customWidth="1"/>
    <col min="2" max="2" width="25.140625" style="4" customWidth="1"/>
    <col min="3" max="3" width="13.57421875" style="4" customWidth="1"/>
    <col min="4" max="4" width="11.8515625" style="4" customWidth="1"/>
    <col min="5" max="5" width="11.7109375" style="4" customWidth="1"/>
    <col min="6" max="6" width="13.7109375" style="4" customWidth="1"/>
    <col min="7" max="8" width="12.7109375" style="4" customWidth="1"/>
    <col min="9" max="10" width="14.7109375" style="4" customWidth="1"/>
    <col min="11" max="11" width="13.00390625" style="4" customWidth="1"/>
    <col min="12" max="15" width="9.7109375" style="4" customWidth="1"/>
    <col min="16" max="16" width="12.57421875" style="4" customWidth="1"/>
    <col min="17" max="17" width="14.00390625" style="4" customWidth="1"/>
    <col min="18" max="18" width="14.57421875" style="4" customWidth="1"/>
    <col min="19" max="16384" width="9.7109375" style="4" customWidth="1"/>
  </cols>
  <sheetData>
    <row r="1" spans="1:12" ht="14.25">
      <c r="A1" s="313" t="s">
        <v>364</v>
      </c>
      <c r="B1" s="306"/>
      <c r="C1" s="306"/>
      <c r="D1" s="306"/>
      <c r="E1" s="306"/>
      <c r="F1" s="315"/>
      <c r="G1" s="316"/>
      <c r="H1" s="317"/>
      <c r="I1" s="102"/>
      <c r="J1" s="5" t="s">
        <v>134</v>
      </c>
      <c r="L1" s="108"/>
    </row>
    <row r="2" spans="1:12" ht="13.5" thickBot="1">
      <c r="A2" s="5" t="s">
        <v>292</v>
      </c>
      <c r="C2" s="102"/>
      <c r="D2" s="102"/>
      <c r="E2" s="102"/>
      <c r="F2" s="102"/>
      <c r="G2" s="102"/>
      <c r="I2" s="102"/>
      <c r="J2" s="280" t="s">
        <v>255</v>
      </c>
      <c r="L2" s="108"/>
    </row>
    <row r="3" spans="1:12" ht="14.25" thickBot="1" thickTop="1">
      <c r="A3" s="274" t="s">
        <v>194</v>
      </c>
      <c r="B3" s="6"/>
      <c r="C3" s="347">
        <v>1950</v>
      </c>
      <c r="D3" s="103" t="s">
        <v>196</v>
      </c>
      <c r="E3" s="6"/>
      <c r="F3" s="134">
        <v>1.2</v>
      </c>
      <c r="G3" s="102"/>
      <c r="H3" s="106" t="s">
        <v>362</v>
      </c>
      <c r="I3" s="102"/>
      <c r="J3" s="102" t="s">
        <v>150</v>
      </c>
      <c r="L3" s="108"/>
    </row>
    <row r="4" spans="1:12" ht="14.25" thickBot="1" thickTop="1">
      <c r="A4" s="103" t="s">
        <v>365</v>
      </c>
      <c r="B4" s="6"/>
      <c r="C4" s="348">
        <v>0.2</v>
      </c>
      <c r="D4" s="103" t="s">
        <v>197</v>
      </c>
      <c r="E4" s="6"/>
      <c r="F4" s="142">
        <f>ROUNDUP(C4*C3,0)</f>
        <v>390</v>
      </c>
      <c r="G4" s="102"/>
      <c r="H4" s="106" t="s">
        <v>363</v>
      </c>
      <c r="I4" s="102"/>
      <c r="J4" s="102" t="s">
        <v>135</v>
      </c>
      <c r="L4" s="108"/>
    </row>
    <row r="5" spans="1:12" ht="14.25" thickBot="1" thickTop="1">
      <c r="A5" s="103" t="s">
        <v>195</v>
      </c>
      <c r="B5" s="102"/>
      <c r="C5" s="349">
        <v>60</v>
      </c>
      <c r="D5" s="103" t="s">
        <v>198</v>
      </c>
      <c r="E5" s="102"/>
      <c r="F5" s="30">
        <v>395</v>
      </c>
      <c r="G5" s="102"/>
      <c r="I5" s="102"/>
      <c r="J5" s="108"/>
      <c r="K5" s="108"/>
      <c r="L5" s="108"/>
    </row>
    <row r="6" spans="1:12" ht="4.5" customHeight="1" thickTop="1">
      <c r="A6" s="143"/>
      <c r="B6" s="143"/>
      <c r="C6" s="143"/>
      <c r="D6" s="143"/>
      <c r="E6" s="143"/>
      <c r="F6" s="143"/>
      <c r="G6" s="143"/>
      <c r="H6" s="143"/>
      <c r="I6" s="143"/>
      <c r="J6" s="108"/>
      <c r="K6" s="108"/>
      <c r="L6" s="108"/>
    </row>
    <row r="7" spans="1:12" ht="12.75">
      <c r="A7" s="102"/>
      <c r="B7" s="102"/>
      <c r="C7" s="5" t="s">
        <v>1</v>
      </c>
      <c r="D7" s="102"/>
      <c r="E7" s="102"/>
      <c r="F7" s="102"/>
      <c r="G7" s="102"/>
      <c r="H7" s="102"/>
      <c r="I7" s="102"/>
      <c r="J7" s="108"/>
      <c r="K7" s="108"/>
      <c r="L7" s="108"/>
    </row>
    <row r="8" spans="1:12" ht="15.75">
      <c r="A8" s="105"/>
      <c r="B8" s="7" t="s">
        <v>2</v>
      </c>
      <c r="C8" s="7"/>
      <c r="D8" s="7"/>
      <c r="E8" s="7"/>
      <c r="F8" s="7"/>
      <c r="G8" s="144"/>
      <c r="H8" s="144"/>
      <c r="I8" s="144"/>
      <c r="J8" s="108"/>
      <c r="K8" s="108"/>
      <c r="L8" s="108"/>
    </row>
    <row r="9" spans="1:12" ht="12.75">
      <c r="A9" s="102"/>
      <c r="B9" s="102"/>
      <c r="C9" s="102"/>
      <c r="D9" s="8" t="s">
        <v>151</v>
      </c>
      <c r="E9" s="8" t="s">
        <v>3</v>
      </c>
      <c r="F9" s="8" t="s">
        <v>4</v>
      </c>
      <c r="G9" s="8" t="s">
        <v>5</v>
      </c>
      <c r="H9" s="6"/>
      <c r="I9" s="102"/>
      <c r="J9" s="108"/>
      <c r="K9" s="108"/>
      <c r="L9" s="108"/>
    </row>
    <row r="10" spans="1:12" ht="13.5" thickBot="1">
      <c r="A10" s="102"/>
      <c r="B10" s="102"/>
      <c r="C10" s="8" t="s">
        <v>6</v>
      </c>
      <c r="D10" s="8" t="s">
        <v>7</v>
      </c>
      <c r="E10" s="8" t="s">
        <v>8</v>
      </c>
      <c r="F10" s="8" t="s">
        <v>9</v>
      </c>
      <c r="G10" s="8" t="s">
        <v>10</v>
      </c>
      <c r="H10" s="5" t="s">
        <v>11</v>
      </c>
      <c r="I10" s="102"/>
      <c r="J10" s="108"/>
      <c r="K10" s="108"/>
      <c r="L10" s="108"/>
    </row>
    <row r="11" spans="1:12" ht="13.5" thickTop="1">
      <c r="A11" s="509" t="s">
        <v>201</v>
      </c>
      <c r="B11" s="509"/>
      <c r="C11" s="145">
        <f>$C$3*$F$3/2</f>
        <v>1170</v>
      </c>
      <c r="D11" s="350">
        <v>94</v>
      </c>
      <c r="E11" s="351">
        <v>1.75</v>
      </c>
      <c r="F11" s="133">
        <f aca="true" t="shared" si="0" ref="F11:G16">C11*D11</f>
        <v>109980</v>
      </c>
      <c r="G11" s="61">
        <f t="shared" si="0"/>
        <v>164.5</v>
      </c>
      <c r="H11" s="61">
        <f aca="true" t="shared" si="1" ref="H11:H16">C11*D11*E11</f>
        <v>192465</v>
      </c>
      <c r="I11" s="146" t="s">
        <v>12</v>
      </c>
      <c r="J11" s="108"/>
      <c r="K11" s="11"/>
      <c r="L11" s="108"/>
    </row>
    <row r="12" spans="1:12" ht="13.5" thickBot="1">
      <c r="A12" s="509" t="s">
        <v>202</v>
      </c>
      <c r="B12" s="509"/>
      <c r="C12" s="145">
        <f>$C$3*$F$3/2-F5</f>
        <v>775</v>
      </c>
      <c r="D12" s="352">
        <v>88</v>
      </c>
      <c r="E12" s="353">
        <v>1.75</v>
      </c>
      <c r="F12" s="133">
        <f t="shared" si="0"/>
        <v>68200</v>
      </c>
      <c r="G12" s="61">
        <f t="shared" si="0"/>
        <v>154</v>
      </c>
      <c r="H12" s="61">
        <f t="shared" si="1"/>
        <v>119350</v>
      </c>
      <c r="I12" s="62"/>
      <c r="J12" s="108"/>
      <c r="K12" s="108"/>
      <c r="L12" s="108"/>
    </row>
    <row r="13" spans="1:12" ht="13.5" thickTop="1">
      <c r="A13" s="509" t="s">
        <v>203</v>
      </c>
      <c r="B13" s="510"/>
      <c r="C13" s="350">
        <v>350</v>
      </c>
      <c r="D13" s="355">
        <v>150</v>
      </c>
      <c r="E13" s="353">
        <v>0.84</v>
      </c>
      <c r="F13" s="133">
        <f t="shared" si="0"/>
        <v>52500</v>
      </c>
      <c r="G13" s="61">
        <f t="shared" si="0"/>
        <v>126</v>
      </c>
      <c r="H13" s="61">
        <f t="shared" si="1"/>
        <v>44100</v>
      </c>
      <c r="I13" s="276" t="s">
        <v>13</v>
      </c>
      <c r="J13" s="108"/>
      <c r="K13" s="108"/>
      <c r="L13" s="108"/>
    </row>
    <row r="14" spans="1:12" ht="12.75">
      <c r="A14" s="509" t="s">
        <v>254</v>
      </c>
      <c r="B14" s="510"/>
      <c r="C14" s="352">
        <v>0</v>
      </c>
      <c r="D14" s="355">
        <v>0</v>
      </c>
      <c r="E14" s="353">
        <v>0</v>
      </c>
      <c r="F14" s="133">
        <f t="shared" si="0"/>
        <v>0</v>
      </c>
      <c r="G14" s="61">
        <f t="shared" si="0"/>
        <v>0</v>
      </c>
      <c r="H14" s="61">
        <f t="shared" si="1"/>
        <v>0</v>
      </c>
      <c r="I14" s="276" t="s">
        <v>14</v>
      </c>
      <c r="J14" s="108"/>
      <c r="K14" s="108"/>
      <c r="L14" s="108"/>
    </row>
    <row r="15" spans="1:12" ht="12.75">
      <c r="A15" s="507" t="s">
        <v>199</v>
      </c>
      <c r="B15" s="508"/>
      <c r="C15" s="352">
        <v>1</v>
      </c>
      <c r="D15" s="355">
        <v>17550</v>
      </c>
      <c r="E15" s="353">
        <v>2.5</v>
      </c>
      <c r="F15" s="328"/>
      <c r="G15" s="327">
        <f>D15*E15/C3</f>
        <v>22.5</v>
      </c>
      <c r="H15" s="327">
        <f t="shared" si="1"/>
        <v>43875</v>
      </c>
      <c r="I15" s="277" t="s">
        <v>205</v>
      </c>
      <c r="J15" s="108"/>
      <c r="K15" s="108"/>
      <c r="L15" s="108"/>
    </row>
    <row r="16" spans="1:12" ht="13.5" thickBot="1">
      <c r="A16" s="509" t="s">
        <v>200</v>
      </c>
      <c r="B16" s="510"/>
      <c r="C16" s="356">
        <v>14</v>
      </c>
      <c r="D16" s="357">
        <v>200</v>
      </c>
      <c r="E16" s="354">
        <v>0.25</v>
      </c>
      <c r="F16" s="133">
        <f t="shared" si="0"/>
        <v>2800</v>
      </c>
      <c r="G16" s="61">
        <f t="shared" si="0"/>
        <v>50</v>
      </c>
      <c r="H16" s="61">
        <f t="shared" si="1"/>
        <v>700</v>
      </c>
      <c r="I16" s="276" t="s">
        <v>206</v>
      </c>
      <c r="J16" s="108"/>
      <c r="K16" s="108"/>
      <c r="L16" s="108"/>
    </row>
    <row r="17" spans="1:12" ht="13.5" thickTop="1">
      <c r="A17" s="6"/>
      <c r="B17" s="12" t="s">
        <v>15</v>
      </c>
      <c r="C17" s="329">
        <f>SUM(C11:C16)</f>
        <v>2310</v>
      </c>
      <c r="D17" s="144"/>
      <c r="E17" s="144"/>
      <c r="F17" s="147">
        <f>SUM(F11:F16)</f>
        <v>233480</v>
      </c>
      <c r="G17" s="148"/>
      <c r="H17" s="149">
        <f>SUM(H11:H16)</f>
        <v>400490</v>
      </c>
      <c r="I17" s="330">
        <f>H17/$C$3</f>
        <v>205.37948717948717</v>
      </c>
      <c r="J17" s="108"/>
      <c r="K17" s="108"/>
      <c r="L17" s="108"/>
    </row>
    <row r="18" spans="1:12" ht="12.75">
      <c r="A18" s="6"/>
      <c r="B18" s="6"/>
      <c r="C18" s="102"/>
      <c r="D18" s="102"/>
      <c r="E18" s="275" t="s">
        <v>204</v>
      </c>
      <c r="F18" s="133">
        <f>F11+F12</f>
        <v>178180</v>
      </c>
      <c r="G18" s="142"/>
      <c r="H18" s="88">
        <f>H11+H12</f>
        <v>311815</v>
      </c>
      <c r="I18" s="102"/>
      <c r="J18" s="108"/>
      <c r="K18" s="108"/>
      <c r="L18" s="108"/>
    </row>
    <row r="19" spans="1:12" ht="12.75">
      <c r="A19" s="151"/>
      <c r="B19" s="141"/>
      <c r="C19" s="144"/>
      <c r="D19" s="144"/>
      <c r="E19" s="144"/>
      <c r="F19" s="144"/>
      <c r="G19" s="144"/>
      <c r="H19" s="144"/>
      <c r="I19" s="144"/>
      <c r="J19" s="108"/>
      <c r="K19" s="108"/>
      <c r="L19" s="108"/>
    </row>
    <row r="20" spans="1:12" ht="15.75">
      <c r="A20" s="60"/>
      <c r="B20" s="101"/>
      <c r="C20" s="6"/>
      <c r="D20" s="6"/>
      <c r="E20" s="8" t="s">
        <v>3</v>
      </c>
      <c r="F20" s="8" t="s">
        <v>4</v>
      </c>
      <c r="G20" s="8" t="s">
        <v>16</v>
      </c>
      <c r="H20" s="6"/>
      <c r="I20" s="152"/>
      <c r="J20" s="108"/>
      <c r="K20" s="108"/>
      <c r="L20" s="108"/>
    </row>
    <row r="21" spans="1:12" ht="16.5" thickBot="1">
      <c r="A21" s="512" t="s">
        <v>209</v>
      </c>
      <c r="B21" s="512"/>
      <c r="C21" s="8" t="s">
        <v>6</v>
      </c>
      <c r="D21" s="14" t="s">
        <v>7</v>
      </c>
      <c r="E21" s="8" t="s">
        <v>8</v>
      </c>
      <c r="F21" s="8" t="s">
        <v>9</v>
      </c>
      <c r="G21" s="8" t="s">
        <v>207</v>
      </c>
      <c r="H21" s="5" t="s">
        <v>11</v>
      </c>
      <c r="I21" s="152"/>
      <c r="J21" s="108"/>
      <c r="K21" s="108"/>
      <c r="L21" s="108"/>
    </row>
    <row r="22" spans="1:12" ht="14.25" thickBot="1" thickTop="1">
      <c r="A22" s="513" t="s">
        <v>210</v>
      </c>
      <c r="B22" s="514"/>
      <c r="C22" s="358">
        <v>0</v>
      </c>
      <c r="D22" s="359">
        <v>0</v>
      </c>
      <c r="E22" s="360">
        <v>0</v>
      </c>
      <c r="F22" s="51"/>
      <c r="G22" s="61">
        <f aca="true" t="shared" si="2" ref="F22:G25">D22*E22</f>
        <v>0</v>
      </c>
      <c r="H22" s="88">
        <f>C22*D22*E22</f>
        <v>0</v>
      </c>
      <c r="I22" s="8" t="s">
        <v>18</v>
      </c>
      <c r="J22" s="108"/>
      <c r="K22" s="108"/>
      <c r="L22" s="108"/>
    </row>
    <row r="23" spans="1:12" ht="17.25" thickBot="1" thickTop="1">
      <c r="A23" s="511" t="s">
        <v>128</v>
      </c>
      <c r="B23" s="511"/>
      <c r="C23" s="93" t="s">
        <v>19</v>
      </c>
      <c r="D23" s="94"/>
      <c r="E23" s="94"/>
      <c r="F23" s="95"/>
      <c r="G23" s="153"/>
      <c r="H23" s="154"/>
      <c r="I23" s="8" t="s">
        <v>14</v>
      </c>
      <c r="J23" s="108"/>
      <c r="K23" s="108"/>
      <c r="L23" s="108"/>
    </row>
    <row r="24" spans="1:12" ht="13.5" thickTop="1">
      <c r="A24" s="509" t="s">
        <v>211</v>
      </c>
      <c r="B24" s="510"/>
      <c r="C24" s="361">
        <v>390</v>
      </c>
      <c r="D24" s="362">
        <v>85</v>
      </c>
      <c r="E24" s="363">
        <v>1.15</v>
      </c>
      <c r="F24" s="133">
        <f t="shared" si="2"/>
        <v>33150</v>
      </c>
      <c r="G24" s="61">
        <f t="shared" si="2"/>
        <v>97.74999999999999</v>
      </c>
      <c r="H24" s="88">
        <f>C24*D24*E24</f>
        <v>38122.5</v>
      </c>
      <c r="I24" s="8" t="s">
        <v>20</v>
      </c>
      <c r="J24" s="108"/>
      <c r="K24" s="108"/>
      <c r="L24" s="108"/>
    </row>
    <row r="25" spans="1:12" ht="13.5" thickBot="1">
      <c r="A25" s="509" t="s">
        <v>212</v>
      </c>
      <c r="B25" s="510"/>
      <c r="C25" s="356">
        <v>5</v>
      </c>
      <c r="D25" s="357">
        <v>115</v>
      </c>
      <c r="E25" s="354">
        <v>1.15</v>
      </c>
      <c r="F25" s="133">
        <f t="shared" si="2"/>
        <v>575</v>
      </c>
      <c r="G25" s="61">
        <f t="shared" si="2"/>
        <v>132.25</v>
      </c>
      <c r="H25" s="200">
        <f>-(C25*D25*E25)</f>
        <v>-661.25</v>
      </c>
      <c r="I25" s="8" t="s">
        <v>208</v>
      </c>
      <c r="J25" s="108"/>
      <c r="K25" s="108"/>
      <c r="L25" s="108"/>
    </row>
    <row r="26" spans="1:12" ht="13.5" thickTop="1">
      <c r="A26" s="102"/>
      <c r="B26" s="6"/>
      <c r="C26" s="105"/>
      <c r="D26" s="102"/>
      <c r="E26" s="102"/>
      <c r="F26" s="102"/>
      <c r="G26" s="96" t="s">
        <v>213</v>
      </c>
      <c r="H26" s="61">
        <f>SUM(H11:H16)+H24+H25</f>
        <v>437951.25</v>
      </c>
      <c r="I26" s="88">
        <f>H26/$C$3</f>
        <v>224.5903846153846</v>
      </c>
      <c r="J26" s="108"/>
      <c r="K26" s="108"/>
      <c r="L26" s="108"/>
    </row>
    <row r="27" spans="1:12" ht="12.75">
      <c r="A27" s="108"/>
      <c r="B27" s="108"/>
      <c r="C27" s="108"/>
      <c r="D27" s="108"/>
      <c r="E27" s="108"/>
      <c r="F27" s="108"/>
      <c r="G27" s="108"/>
      <c r="H27" s="108"/>
      <c r="I27" s="108"/>
      <c r="J27" s="108"/>
      <c r="K27" s="108"/>
      <c r="L27" s="108"/>
    </row>
    <row r="28" spans="1:12" ht="12.75">
      <c r="A28" s="15" t="s">
        <v>214</v>
      </c>
      <c r="B28" s="16"/>
      <c r="C28" s="16"/>
      <c r="D28" s="16"/>
      <c r="E28" s="16"/>
      <c r="F28" s="16"/>
      <c r="G28" s="16"/>
      <c r="H28" s="17"/>
      <c r="I28" s="108"/>
      <c r="J28" s="108"/>
      <c r="K28" s="108"/>
      <c r="L28" s="108"/>
    </row>
    <row r="29" spans="1:12" ht="12.75">
      <c r="A29" s="18" t="s">
        <v>21</v>
      </c>
      <c r="B29" s="108"/>
      <c r="C29" s="108"/>
      <c r="D29" s="108"/>
      <c r="E29" s="108"/>
      <c r="F29" s="108"/>
      <c r="G29" s="108"/>
      <c r="H29" s="19"/>
      <c r="I29" s="108"/>
      <c r="J29" s="108"/>
      <c r="K29" s="108"/>
      <c r="L29" s="108"/>
    </row>
    <row r="30" spans="1:12" ht="12.75">
      <c r="A30" s="20" t="s">
        <v>215</v>
      </c>
      <c r="B30" s="21"/>
      <c r="C30" s="21"/>
      <c r="D30" s="21"/>
      <c r="E30" s="21"/>
      <c r="F30" s="21"/>
      <c r="G30" s="21"/>
      <c r="H30" s="22"/>
      <c r="I30" s="108"/>
      <c r="J30" s="108"/>
      <c r="K30" s="108"/>
      <c r="L30" s="108"/>
    </row>
    <row r="31" spans="1:12" ht="15.75" customHeight="1">
      <c r="A31" s="23" t="s">
        <v>273</v>
      </c>
      <c r="B31" s="108"/>
      <c r="C31" s="108"/>
      <c r="D31" s="108"/>
      <c r="E31" s="8" t="s">
        <v>22</v>
      </c>
      <c r="F31" s="8" t="s">
        <v>23</v>
      </c>
      <c r="G31" s="108"/>
      <c r="H31" s="108"/>
      <c r="I31" s="108"/>
      <c r="J31" s="108"/>
      <c r="K31" s="108"/>
      <c r="L31" s="108"/>
    </row>
    <row r="32" spans="1:12" ht="15.75">
      <c r="A32" s="108"/>
      <c r="B32" s="512" t="s">
        <v>216</v>
      </c>
      <c r="C32" s="512"/>
      <c r="D32" s="108"/>
      <c r="E32" s="127">
        <f>C3</f>
        <v>1950</v>
      </c>
      <c r="F32" s="200">
        <f>C3*C5</f>
        <v>117000</v>
      </c>
      <c r="G32" s="108"/>
      <c r="H32" s="108"/>
      <c r="I32" s="108"/>
      <c r="J32" s="108"/>
      <c r="K32" s="108"/>
      <c r="L32" s="108"/>
    </row>
    <row r="33" spans="1:12" ht="15.75">
      <c r="A33" s="26" t="s">
        <v>24</v>
      </c>
      <c r="B33" s="512" t="s">
        <v>217</v>
      </c>
      <c r="C33" s="512"/>
      <c r="D33" s="108"/>
      <c r="E33" s="127">
        <f>F5</f>
        <v>395</v>
      </c>
      <c r="F33" s="200">
        <f>F5*G24</f>
        <v>38611.24999999999</v>
      </c>
      <c r="G33" s="108"/>
      <c r="H33" s="108"/>
      <c r="I33" s="108"/>
      <c r="J33" s="108"/>
      <c r="K33" s="108"/>
      <c r="L33" s="108"/>
    </row>
    <row r="34" spans="1:12" ht="15.75">
      <c r="A34" s="26" t="s">
        <v>25</v>
      </c>
      <c r="B34" s="512" t="s">
        <v>218</v>
      </c>
      <c r="C34" s="512"/>
      <c r="D34" s="108"/>
      <c r="E34" s="127">
        <f>C14</f>
        <v>0</v>
      </c>
      <c r="F34" s="200">
        <f>-(G14*C14)</f>
        <v>0</v>
      </c>
      <c r="G34" s="108"/>
      <c r="H34" s="108"/>
      <c r="I34" s="108"/>
      <c r="J34" s="108"/>
      <c r="K34" s="108"/>
      <c r="L34" s="108"/>
    </row>
    <row r="35" spans="1:12" ht="15.75">
      <c r="A35" s="52" t="s">
        <v>26</v>
      </c>
      <c r="B35" s="512" t="s">
        <v>219</v>
      </c>
      <c r="C35" s="512"/>
      <c r="D35" s="108"/>
      <c r="E35" s="127">
        <f>C22</f>
        <v>0</v>
      </c>
      <c r="F35" s="200">
        <f>H22</f>
        <v>0</v>
      </c>
      <c r="G35" s="108"/>
      <c r="H35" s="108"/>
      <c r="I35" s="108"/>
      <c r="J35" s="108"/>
      <c r="K35" s="108"/>
      <c r="L35" s="108"/>
    </row>
    <row r="36" spans="1:12" ht="15.75">
      <c r="A36" s="26" t="s">
        <v>25</v>
      </c>
      <c r="B36" s="512" t="s">
        <v>203</v>
      </c>
      <c r="C36" s="512"/>
      <c r="D36" s="108"/>
      <c r="E36" s="127">
        <f>C13</f>
        <v>350</v>
      </c>
      <c r="F36" s="200">
        <f>-(C13*G13)</f>
        <v>-44100</v>
      </c>
      <c r="G36" s="108"/>
      <c r="H36" s="108"/>
      <c r="I36" s="108"/>
      <c r="J36" s="108"/>
      <c r="K36" s="108"/>
      <c r="L36" s="108"/>
    </row>
    <row r="37" spans="1:12" ht="15.75">
      <c r="A37" s="26" t="s">
        <v>25</v>
      </c>
      <c r="B37" s="512" t="s">
        <v>220</v>
      </c>
      <c r="C37" s="512"/>
      <c r="D37" s="108"/>
      <c r="E37" s="127">
        <f>ROUNDDOWN(F4,0)-C13</f>
        <v>40</v>
      </c>
      <c r="F37" s="200">
        <f>-E37*G13</f>
        <v>-5040</v>
      </c>
      <c r="G37" s="108"/>
      <c r="H37" s="108"/>
      <c r="I37" s="108"/>
      <c r="J37" s="108"/>
      <c r="K37" s="108"/>
      <c r="L37" s="108"/>
    </row>
    <row r="38" spans="1:12" ht="15.75">
      <c r="A38" s="26" t="s">
        <v>25</v>
      </c>
      <c r="B38" s="512" t="s">
        <v>221</v>
      </c>
      <c r="C38" s="512"/>
      <c r="D38" s="108"/>
      <c r="E38" s="127">
        <f>C25</f>
        <v>5</v>
      </c>
      <c r="F38" s="200">
        <f>-(C25*G25)</f>
        <v>-661.25</v>
      </c>
      <c r="G38" s="108"/>
      <c r="H38" s="108"/>
      <c r="I38" s="108"/>
      <c r="J38" s="108"/>
      <c r="K38" s="108"/>
      <c r="L38" s="108"/>
    </row>
    <row r="39" spans="1:12" ht="15.75">
      <c r="A39" s="27" t="s">
        <v>28</v>
      </c>
      <c r="B39" s="548" t="s">
        <v>29</v>
      </c>
      <c r="C39" s="548"/>
      <c r="D39" s="21"/>
      <c r="E39" s="135">
        <f>E32+E33-E34+E35-E36-E37-E38</f>
        <v>1950</v>
      </c>
      <c r="F39" s="136">
        <f>SUM(F32:F38)</f>
        <v>105810</v>
      </c>
      <c r="G39" s="21"/>
      <c r="H39" s="21"/>
      <c r="I39" s="21"/>
      <c r="J39" s="21"/>
      <c r="K39" s="108"/>
      <c r="L39" s="108"/>
    </row>
    <row r="40" spans="1:12" ht="15.75">
      <c r="A40" s="24" t="s">
        <v>30</v>
      </c>
      <c r="B40" s="108"/>
      <c r="C40" s="108"/>
      <c r="D40" s="108"/>
      <c r="E40" s="108"/>
      <c r="F40" s="108"/>
      <c r="G40" s="109"/>
      <c r="H40" s="108"/>
      <c r="I40" s="108"/>
      <c r="J40" s="108"/>
      <c r="K40" s="108"/>
      <c r="L40" s="108"/>
    </row>
    <row r="41" spans="1:12" ht="12.75">
      <c r="A41" s="108"/>
      <c r="B41" s="108"/>
      <c r="C41" s="108"/>
      <c r="D41" s="108"/>
      <c r="E41" s="108"/>
      <c r="F41" s="108"/>
      <c r="G41" s="109"/>
      <c r="H41" s="108"/>
      <c r="I41" s="108"/>
      <c r="J41" s="108"/>
      <c r="K41" s="108"/>
      <c r="L41" s="108"/>
    </row>
    <row r="42" spans="1:12" ht="12.75">
      <c r="A42" s="108"/>
      <c r="B42" s="108"/>
      <c r="C42" s="108"/>
      <c r="D42" s="108"/>
      <c r="E42" s="108"/>
      <c r="F42" s="108"/>
      <c r="G42" s="109"/>
      <c r="H42" s="108"/>
      <c r="I42" s="108"/>
      <c r="J42" s="108"/>
      <c r="K42" s="108"/>
      <c r="L42" s="108"/>
    </row>
    <row r="43" spans="1:12" ht="12.75">
      <c r="A43" s="108"/>
      <c r="B43" s="108"/>
      <c r="C43" s="108"/>
      <c r="D43" s="108"/>
      <c r="E43" s="108"/>
      <c r="F43" s="108"/>
      <c r="G43" s="109"/>
      <c r="H43" s="108"/>
      <c r="I43" s="108"/>
      <c r="J43" s="108"/>
      <c r="K43" s="108"/>
      <c r="L43" s="108"/>
    </row>
    <row r="44" spans="1:12" ht="12.75">
      <c r="A44" s="108"/>
      <c r="B44" s="108"/>
      <c r="C44" s="108"/>
      <c r="D44" s="108"/>
      <c r="E44" s="108"/>
      <c r="F44" s="108"/>
      <c r="G44" s="109"/>
      <c r="H44" s="108"/>
      <c r="I44" s="108"/>
      <c r="J44" s="108"/>
      <c r="K44" s="108"/>
      <c r="L44" s="108"/>
    </row>
    <row r="45" spans="1:12" ht="12.75">
      <c r="A45" s="108"/>
      <c r="B45" s="108"/>
      <c r="C45" s="108"/>
      <c r="D45" s="108"/>
      <c r="E45" s="108"/>
      <c r="F45" s="108"/>
      <c r="G45" s="109"/>
      <c r="H45" s="108"/>
      <c r="I45" s="108"/>
      <c r="J45" s="108"/>
      <c r="K45" s="108"/>
      <c r="L45" s="108"/>
    </row>
    <row r="46" spans="1:12" ht="12.75">
      <c r="A46" s="108"/>
      <c r="B46" s="108"/>
      <c r="C46" s="108"/>
      <c r="D46" s="108"/>
      <c r="E46" s="108"/>
      <c r="F46" s="108"/>
      <c r="G46" s="109"/>
      <c r="H46" s="108"/>
      <c r="I46" s="108"/>
      <c r="J46" s="108"/>
      <c r="K46" s="108"/>
      <c r="L46" s="108"/>
    </row>
    <row r="47" spans="1:12" ht="12.75">
      <c r="A47" s="108"/>
      <c r="B47" s="108"/>
      <c r="C47" s="108"/>
      <c r="D47" s="108"/>
      <c r="E47" s="108"/>
      <c r="F47" s="108"/>
      <c r="G47" s="109"/>
      <c r="H47" s="108"/>
      <c r="I47" s="108"/>
      <c r="J47" s="108"/>
      <c r="K47" s="108"/>
      <c r="L47" s="108"/>
    </row>
    <row r="48" spans="1:12" ht="12.75">
      <c r="A48" s="108"/>
      <c r="B48" s="108"/>
      <c r="C48" s="108"/>
      <c r="D48" s="108"/>
      <c r="E48" s="108"/>
      <c r="F48" s="108"/>
      <c r="G48" s="109"/>
      <c r="H48" s="108"/>
      <c r="I48" s="108"/>
      <c r="J48" s="108"/>
      <c r="K48" s="108"/>
      <c r="L48" s="108"/>
    </row>
    <row r="49" spans="1:12" ht="12.75">
      <c r="A49" s="108"/>
      <c r="B49" s="108"/>
      <c r="C49" s="108"/>
      <c r="D49" s="108"/>
      <c r="E49" s="108"/>
      <c r="F49" s="108"/>
      <c r="G49" s="109"/>
      <c r="H49" s="108"/>
      <c r="I49" s="108"/>
      <c r="J49" s="108"/>
      <c r="K49" s="108"/>
      <c r="L49" s="108"/>
    </row>
    <row r="50" spans="1:12" ht="12.75">
      <c r="A50" s="108"/>
      <c r="B50" s="108"/>
      <c r="C50" s="108"/>
      <c r="D50" s="108"/>
      <c r="E50" s="108"/>
      <c r="F50" s="108"/>
      <c r="G50" s="109"/>
      <c r="H50" s="108"/>
      <c r="I50" s="108"/>
      <c r="J50" s="108"/>
      <c r="K50" s="108"/>
      <c r="L50" s="108"/>
    </row>
    <row r="51" spans="1:12" ht="12.75">
      <c r="A51" s="108"/>
      <c r="B51" s="108"/>
      <c r="C51" s="108"/>
      <c r="D51" s="108"/>
      <c r="E51" s="108"/>
      <c r="F51" s="108"/>
      <c r="G51" s="109"/>
      <c r="H51" s="108"/>
      <c r="I51" s="108"/>
      <c r="J51" s="108"/>
      <c r="K51" s="108"/>
      <c r="L51" s="108"/>
    </row>
    <row r="52" spans="1:12" ht="12.75">
      <c r="A52" s="108"/>
      <c r="B52" s="108"/>
      <c r="C52" s="108"/>
      <c r="D52" s="108"/>
      <c r="E52" s="108"/>
      <c r="F52" s="108"/>
      <c r="G52" s="109"/>
      <c r="H52" s="108"/>
      <c r="I52" s="108"/>
      <c r="J52" s="108"/>
      <c r="K52" s="108"/>
      <c r="L52" s="108"/>
    </row>
    <row r="53" spans="1:12" ht="12.75">
      <c r="A53" s="108"/>
      <c r="B53" s="108"/>
      <c r="C53" s="108"/>
      <c r="D53" s="108"/>
      <c r="E53" s="108"/>
      <c r="F53" s="108"/>
      <c r="G53" s="109"/>
      <c r="H53" s="108"/>
      <c r="I53" s="108"/>
      <c r="J53" s="108"/>
      <c r="K53" s="108"/>
      <c r="L53" s="108"/>
    </row>
    <row r="54" spans="1:12" ht="12.75">
      <c r="A54" s="108"/>
      <c r="B54" s="108"/>
      <c r="C54" s="108"/>
      <c r="D54" s="108"/>
      <c r="E54" s="108"/>
      <c r="F54" s="108"/>
      <c r="G54" s="109"/>
      <c r="H54" s="108"/>
      <c r="I54" s="108"/>
      <c r="J54" s="108"/>
      <c r="K54" s="108"/>
      <c r="L54" s="108"/>
    </row>
    <row r="55" spans="1:12" ht="12.75">
      <c r="A55" s="108"/>
      <c r="B55" s="108"/>
      <c r="C55" s="108"/>
      <c r="D55" s="108"/>
      <c r="E55" s="108"/>
      <c r="F55" s="108"/>
      <c r="G55" s="108"/>
      <c r="H55" s="108"/>
      <c r="I55" s="108"/>
      <c r="J55" s="108"/>
      <c r="K55" s="108"/>
      <c r="L55" s="108"/>
    </row>
    <row r="56" spans="1:12" ht="12.75">
      <c r="A56" s="21"/>
      <c r="B56" s="21"/>
      <c r="C56" s="21"/>
      <c r="D56" s="21"/>
      <c r="E56" s="21"/>
      <c r="F56" s="21"/>
      <c r="G56" s="21"/>
      <c r="H56" s="21"/>
      <c r="I56" s="21"/>
      <c r="J56" s="21"/>
      <c r="K56" s="108"/>
      <c r="L56" s="108"/>
    </row>
    <row r="57" spans="1:12" ht="20.25">
      <c r="A57" s="278" t="s">
        <v>222</v>
      </c>
      <c r="B57" s="6"/>
      <c r="C57" s="13"/>
      <c r="D57" s="13"/>
      <c r="E57" s="13"/>
      <c r="F57" s="108"/>
      <c r="G57" s="3"/>
      <c r="H57" s="108"/>
      <c r="I57" s="108"/>
      <c r="J57" s="108"/>
      <c r="K57" s="108"/>
      <c r="L57" s="108"/>
    </row>
    <row r="58" spans="1:12" ht="18.75">
      <c r="A58" s="308" t="s">
        <v>289</v>
      </c>
      <c r="B58" s="72"/>
      <c r="C58" s="123" t="s">
        <v>223</v>
      </c>
      <c r="D58" s="72"/>
      <c r="E58" s="72"/>
      <c r="F58" s="72"/>
      <c r="G58" s="72"/>
      <c r="H58" s="72"/>
      <c r="I58" s="73"/>
      <c r="J58" s="108"/>
      <c r="K58" s="108"/>
      <c r="L58" s="108"/>
    </row>
    <row r="59" spans="1:12" ht="12.75">
      <c r="A59" s="108"/>
      <c r="B59" s="108"/>
      <c r="C59" s="13"/>
      <c r="D59" s="6"/>
      <c r="E59" s="6"/>
      <c r="F59" s="6"/>
      <c r="G59" s="8" t="s">
        <v>32</v>
      </c>
      <c r="H59" s="8" t="s">
        <v>224</v>
      </c>
      <c r="I59" s="8" t="s">
        <v>224</v>
      </c>
      <c r="J59" s="108"/>
      <c r="K59" s="108"/>
      <c r="L59" s="108"/>
    </row>
    <row r="60" spans="1:12" ht="16.5" thickBot="1">
      <c r="A60" s="24" t="s">
        <v>33</v>
      </c>
      <c r="B60" s="6"/>
      <c r="C60" s="8" t="s">
        <v>34</v>
      </c>
      <c r="D60" s="8" t="s">
        <v>6</v>
      </c>
      <c r="E60" s="8" t="s">
        <v>3</v>
      </c>
      <c r="F60" s="8" t="s">
        <v>32</v>
      </c>
      <c r="G60" s="8" t="s">
        <v>17</v>
      </c>
      <c r="H60" s="8" t="s">
        <v>35</v>
      </c>
      <c r="I60" s="8" t="s">
        <v>36</v>
      </c>
      <c r="J60" s="108"/>
      <c r="K60" s="108"/>
      <c r="L60" s="108"/>
    </row>
    <row r="61" spans="1:12" ht="13.5" thickTop="1">
      <c r="A61" s="64"/>
      <c r="B61" s="364" t="s">
        <v>256</v>
      </c>
      <c r="C61" s="365" t="s">
        <v>257</v>
      </c>
      <c r="D61" s="366">
        <v>500</v>
      </c>
      <c r="E61" s="367">
        <v>80</v>
      </c>
      <c r="F61" s="331">
        <f aca="true" t="shared" si="3" ref="F61:F72">E61*D61</f>
        <v>40000</v>
      </c>
      <c r="G61" s="332">
        <f aca="true" t="shared" si="4" ref="G61:G72">F61/$C$3</f>
        <v>20.512820512820515</v>
      </c>
      <c r="H61" s="375">
        <v>0</v>
      </c>
      <c r="I61" s="332">
        <f aca="true" t="shared" si="5" ref="I61:I72">H61*G61</f>
        <v>0</v>
      </c>
      <c r="J61" s="108"/>
      <c r="K61" s="108"/>
      <c r="L61" s="108"/>
    </row>
    <row r="62" spans="1:12" ht="12.75">
      <c r="A62" s="67" t="s">
        <v>122</v>
      </c>
      <c r="B62" s="368" t="s">
        <v>258</v>
      </c>
      <c r="C62" s="355" t="s">
        <v>259</v>
      </c>
      <c r="D62" s="369">
        <v>900</v>
      </c>
      <c r="E62" s="370">
        <v>3.5</v>
      </c>
      <c r="F62" s="331">
        <f t="shared" si="3"/>
        <v>3150</v>
      </c>
      <c r="G62" s="332">
        <f t="shared" si="4"/>
        <v>1.6153846153846154</v>
      </c>
      <c r="H62" s="376">
        <v>0</v>
      </c>
      <c r="I62" s="332">
        <f t="shared" si="5"/>
        <v>0</v>
      </c>
      <c r="J62" s="108"/>
      <c r="K62" s="108"/>
      <c r="L62" s="108"/>
    </row>
    <row r="63" spans="1:12" ht="12.75">
      <c r="A63" s="64"/>
      <c r="B63" s="368" t="s">
        <v>260</v>
      </c>
      <c r="C63" s="355" t="s">
        <v>38</v>
      </c>
      <c r="D63" s="371">
        <v>600</v>
      </c>
      <c r="E63" s="370">
        <v>1.35</v>
      </c>
      <c r="F63" s="331">
        <f t="shared" si="3"/>
        <v>810</v>
      </c>
      <c r="G63" s="332">
        <f t="shared" si="4"/>
        <v>0.4153846153846154</v>
      </c>
      <c r="H63" s="376">
        <v>0</v>
      </c>
      <c r="I63" s="332">
        <f t="shared" si="5"/>
        <v>0</v>
      </c>
      <c r="J63" s="108"/>
      <c r="K63" s="108"/>
      <c r="L63" s="108"/>
    </row>
    <row r="64" spans="1:12" ht="12.75">
      <c r="A64" s="64"/>
      <c r="B64" s="503" t="s">
        <v>366</v>
      </c>
      <c r="C64" s="504" t="s">
        <v>38</v>
      </c>
      <c r="D64" s="505">
        <v>1815</v>
      </c>
      <c r="E64" s="506">
        <v>20</v>
      </c>
      <c r="F64" s="331">
        <f t="shared" si="3"/>
        <v>36300</v>
      </c>
      <c r="G64" s="332">
        <f t="shared" si="4"/>
        <v>18.615384615384617</v>
      </c>
      <c r="H64" s="376">
        <v>0</v>
      </c>
      <c r="I64" s="332">
        <f t="shared" si="5"/>
        <v>0</v>
      </c>
      <c r="J64" s="108"/>
      <c r="K64" s="108"/>
      <c r="L64" s="108"/>
    </row>
    <row r="65" spans="1:12" ht="12.75">
      <c r="A65" s="64"/>
      <c r="B65" s="503" t="s">
        <v>367</v>
      </c>
      <c r="C65" s="504" t="s">
        <v>38</v>
      </c>
      <c r="D65" s="505">
        <v>0</v>
      </c>
      <c r="E65" s="506">
        <v>0</v>
      </c>
      <c r="F65" s="331">
        <f t="shared" si="3"/>
        <v>0</v>
      </c>
      <c r="G65" s="332">
        <f t="shared" si="4"/>
        <v>0</v>
      </c>
      <c r="H65" s="376">
        <v>0</v>
      </c>
      <c r="I65" s="332">
        <f t="shared" si="5"/>
        <v>0</v>
      </c>
      <c r="J65" s="108"/>
      <c r="K65" s="108"/>
      <c r="L65" s="108"/>
    </row>
    <row r="66" spans="1:12" ht="12.75">
      <c r="A66" s="64"/>
      <c r="B66" s="368" t="s">
        <v>39</v>
      </c>
      <c r="C66" s="355" t="s">
        <v>37</v>
      </c>
      <c r="D66" s="369">
        <v>15</v>
      </c>
      <c r="E66" s="370">
        <v>500</v>
      </c>
      <c r="F66" s="331">
        <f t="shared" si="3"/>
        <v>7500</v>
      </c>
      <c r="G66" s="332">
        <f t="shared" si="4"/>
        <v>3.8461538461538463</v>
      </c>
      <c r="H66" s="376">
        <v>0</v>
      </c>
      <c r="I66" s="332">
        <f t="shared" si="5"/>
        <v>0</v>
      </c>
      <c r="J66" s="108"/>
      <c r="K66" s="108"/>
      <c r="L66" s="108"/>
    </row>
    <row r="67" spans="1:12" ht="12.75">
      <c r="A67" s="64"/>
      <c r="B67" s="368" t="s">
        <v>261</v>
      </c>
      <c r="C67" s="355" t="s">
        <v>37</v>
      </c>
      <c r="D67" s="369">
        <v>15</v>
      </c>
      <c r="E67" s="370">
        <v>70</v>
      </c>
      <c r="F67" s="331">
        <f t="shared" si="3"/>
        <v>1050</v>
      </c>
      <c r="G67" s="332">
        <f t="shared" si="4"/>
        <v>0.5384615384615384</v>
      </c>
      <c r="H67" s="376">
        <v>0</v>
      </c>
      <c r="I67" s="332">
        <f t="shared" si="5"/>
        <v>0</v>
      </c>
      <c r="J67" s="108"/>
      <c r="K67" s="108"/>
      <c r="L67" s="108"/>
    </row>
    <row r="68" spans="1:12" ht="12.75">
      <c r="A68" s="64"/>
      <c r="B68" s="368" t="s">
        <v>40</v>
      </c>
      <c r="C68" s="355" t="s">
        <v>38</v>
      </c>
      <c r="D68" s="369">
        <v>0</v>
      </c>
      <c r="E68" s="370">
        <v>0</v>
      </c>
      <c r="F68" s="331">
        <f t="shared" si="3"/>
        <v>0</v>
      </c>
      <c r="G68" s="332">
        <f t="shared" si="4"/>
        <v>0</v>
      </c>
      <c r="H68" s="376">
        <v>0</v>
      </c>
      <c r="I68" s="332">
        <f t="shared" si="5"/>
        <v>0</v>
      </c>
      <c r="J68" s="108"/>
      <c r="K68" s="108"/>
      <c r="L68" s="108"/>
    </row>
    <row r="69" spans="1:12" ht="12.75">
      <c r="A69" s="64"/>
      <c r="B69" s="368" t="s">
        <v>41</v>
      </c>
      <c r="C69" s="355" t="s">
        <v>37</v>
      </c>
      <c r="D69" s="369">
        <v>0</v>
      </c>
      <c r="E69" s="370">
        <v>0</v>
      </c>
      <c r="F69" s="331">
        <f t="shared" si="3"/>
        <v>0</v>
      </c>
      <c r="G69" s="332">
        <f t="shared" si="4"/>
        <v>0</v>
      </c>
      <c r="H69" s="376">
        <v>0</v>
      </c>
      <c r="I69" s="332">
        <f t="shared" si="5"/>
        <v>0</v>
      </c>
      <c r="J69" s="108"/>
      <c r="K69" s="108"/>
      <c r="L69" s="108"/>
    </row>
    <row r="70" spans="1:12" ht="12.75">
      <c r="A70" s="64"/>
      <c r="B70" s="368" t="s">
        <v>284</v>
      </c>
      <c r="C70" s="355" t="s">
        <v>257</v>
      </c>
      <c r="D70" s="369">
        <v>30</v>
      </c>
      <c r="E70" s="370">
        <v>45</v>
      </c>
      <c r="F70" s="331">
        <f t="shared" si="3"/>
        <v>1350</v>
      </c>
      <c r="G70" s="332">
        <f t="shared" si="4"/>
        <v>0.6923076923076923</v>
      </c>
      <c r="H70" s="376">
        <v>0</v>
      </c>
      <c r="I70" s="332">
        <f t="shared" si="5"/>
        <v>0</v>
      </c>
      <c r="J70" s="108"/>
      <c r="K70" s="108"/>
      <c r="L70" s="108"/>
    </row>
    <row r="71" spans="1:12" ht="12.75">
      <c r="A71" s="64"/>
      <c r="B71" s="368" t="s">
        <v>42</v>
      </c>
      <c r="C71" s="355" t="s">
        <v>37</v>
      </c>
      <c r="D71" s="369">
        <v>0</v>
      </c>
      <c r="E71" s="370">
        <v>0</v>
      </c>
      <c r="F71" s="331">
        <f t="shared" si="3"/>
        <v>0</v>
      </c>
      <c r="G71" s="332">
        <f t="shared" si="4"/>
        <v>0</v>
      </c>
      <c r="H71" s="376">
        <v>0</v>
      </c>
      <c r="I71" s="332">
        <f t="shared" si="5"/>
        <v>0</v>
      </c>
      <c r="J71" s="108"/>
      <c r="K71" s="108"/>
      <c r="L71" s="108"/>
    </row>
    <row r="72" spans="1:12" ht="13.5" thickBot="1">
      <c r="A72" s="64"/>
      <c r="B72" s="372" t="s">
        <v>42</v>
      </c>
      <c r="C72" s="357" t="s">
        <v>37</v>
      </c>
      <c r="D72" s="373">
        <v>0</v>
      </c>
      <c r="E72" s="374">
        <v>0</v>
      </c>
      <c r="F72" s="331">
        <f t="shared" si="3"/>
        <v>0</v>
      </c>
      <c r="G72" s="332">
        <f t="shared" si="4"/>
        <v>0</v>
      </c>
      <c r="H72" s="377">
        <v>0</v>
      </c>
      <c r="I72" s="332">
        <f t="shared" si="5"/>
        <v>0</v>
      </c>
      <c r="J72" s="108"/>
      <c r="K72" s="108"/>
      <c r="L72" s="108"/>
    </row>
    <row r="73" spans="1:12" ht="13.5" thickTop="1">
      <c r="A73" s="65"/>
      <c r="B73" s="6"/>
      <c r="C73" s="6"/>
      <c r="D73" s="108"/>
      <c r="E73" s="108"/>
      <c r="F73" s="331"/>
      <c r="G73" s="332"/>
      <c r="H73" s="323"/>
      <c r="I73" s="323"/>
      <c r="J73" s="108"/>
      <c r="K73" s="108"/>
      <c r="L73" s="108"/>
    </row>
    <row r="74" spans="1:12" ht="12.75">
      <c r="A74" s="65"/>
      <c r="B74" s="5" t="s">
        <v>43</v>
      </c>
      <c r="C74" s="6"/>
      <c r="D74" s="108"/>
      <c r="E74" s="108"/>
      <c r="F74" s="331">
        <f>SUM(F61:F72)</f>
        <v>90160</v>
      </c>
      <c r="G74" s="332">
        <f>SUM(G61:G72)</f>
        <v>46.23589743589744</v>
      </c>
      <c r="H74" s="323"/>
      <c r="I74" s="332">
        <f>SUM(I61:I72)</f>
        <v>0</v>
      </c>
      <c r="J74" s="108"/>
      <c r="K74" s="108"/>
      <c r="L74" s="108"/>
    </row>
    <row r="75" spans="1:12" ht="12.75">
      <c r="A75" s="108"/>
      <c r="B75" s="108"/>
      <c r="C75" s="108"/>
      <c r="D75" s="108"/>
      <c r="E75" s="108"/>
      <c r="F75" s="9"/>
      <c r="G75" s="11"/>
      <c r="H75" s="8" t="s">
        <v>224</v>
      </c>
      <c r="I75" s="8" t="s">
        <v>224</v>
      </c>
      <c r="J75" s="108"/>
      <c r="K75" s="108"/>
      <c r="L75" s="108"/>
    </row>
    <row r="76" spans="1:12" ht="16.5" thickBot="1">
      <c r="A76" s="24" t="s">
        <v>44</v>
      </c>
      <c r="B76" s="6"/>
      <c r="C76" s="6"/>
      <c r="D76" s="6"/>
      <c r="E76" s="6"/>
      <c r="F76" s="9"/>
      <c r="G76" s="11"/>
      <c r="H76" s="8" t="s">
        <v>35</v>
      </c>
      <c r="I76" s="8" t="s">
        <v>36</v>
      </c>
      <c r="J76" s="108"/>
      <c r="K76" s="108"/>
      <c r="L76" s="108"/>
    </row>
    <row r="77" spans="1:12" ht="13.5" thickTop="1">
      <c r="A77" s="67" t="s">
        <v>122</v>
      </c>
      <c r="B77" s="5" t="s">
        <v>45</v>
      </c>
      <c r="C77" s="6"/>
      <c r="D77" s="6"/>
      <c r="E77" s="6"/>
      <c r="F77" s="378">
        <v>2400</v>
      </c>
      <c r="G77" s="332">
        <f>F77/$C$3</f>
        <v>1.2307692307692308</v>
      </c>
      <c r="H77" s="375">
        <v>0</v>
      </c>
      <c r="I77" s="332">
        <f>H77*G77</f>
        <v>0</v>
      </c>
      <c r="J77" s="108"/>
      <c r="K77" s="108"/>
      <c r="L77" s="108"/>
    </row>
    <row r="78" spans="1:12" ht="12.75">
      <c r="A78" s="6"/>
      <c r="B78" s="5" t="s">
        <v>46</v>
      </c>
      <c r="C78" s="6"/>
      <c r="D78" s="6"/>
      <c r="E78" s="6"/>
      <c r="F78" s="379">
        <v>0</v>
      </c>
      <c r="G78" s="332">
        <f>F78/$C$3</f>
        <v>0</v>
      </c>
      <c r="H78" s="376">
        <v>0</v>
      </c>
      <c r="I78" s="332">
        <f>H78*G78</f>
        <v>0</v>
      </c>
      <c r="J78" s="108"/>
      <c r="K78" s="108"/>
      <c r="L78" s="108"/>
    </row>
    <row r="79" spans="1:12" ht="12.75">
      <c r="A79" s="6"/>
      <c r="B79" s="5" t="s">
        <v>47</v>
      </c>
      <c r="C79" s="6"/>
      <c r="D79" s="6"/>
      <c r="E79" s="6"/>
      <c r="F79" s="379">
        <v>1000</v>
      </c>
      <c r="G79" s="332">
        <f>F79/$C$3</f>
        <v>0.5128205128205128</v>
      </c>
      <c r="H79" s="376">
        <v>0</v>
      </c>
      <c r="I79" s="332">
        <f>H79*G79</f>
        <v>0</v>
      </c>
      <c r="J79" s="108"/>
      <c r="K79" s="108"/>
      <c r="L79" s="108"/>
    </row>
    <row r="80" spans="1:12" ht="13.5" thickBot="1">
      <c r="A80" s="6"/>
      <c r="B80" s="5" t="s">
        <v>48</v>
      </c>
      <c r="C80" s="6"/>
      <c r="D80" s="6"/>
      <c r="E80" s="6"/>
      <c r="F80" s="380">
        <v>30000</v>
      </c>
      <c r="G80" s="332">
        <f>F80/$C$3</f>
        <v>15.384615384615385</v>
      </c>
      <c r="H80" s="377">
        <v>0</v>
      </c>
      <c r="I80" s="332">
        <f>H80*G80</f>
        <v>0</v>
      </c>
      <c r="J80" s="108"/>
      <c r="K80" s="108"/>
      <c r="L80" s="108"/>
    </row>
    <row r="81" spans="1:12" ht="14.25" thickBot="1" thickTop="1">
      <c r="A81" s="6"/>
      <c r="B81" s="5" t="s">
        <v>49</v>
      </c>
      <c r="C81" s="108"/>
      <c r="D81" s="5" t="s">
        <v>50</v>
      </c>
      <c r="E81" s="5" t="s">
        <v>51</v>
      </c>
      <c r="F81" s="333"/>
      <c r="G81" s="334"/>
      <c r="H81" s="334"/>
      <c r="I81" s="334"/>
      <c r="J81" s="108"/>
      <c r="K81" s="108"/>
      <c r="L81" s="108"/>
    </row>
    <row r="82" spans="1:12" ht="13.5" thickTop="1">
      <c r="A82" s="6"/>
      <c r="B82" s="3" t="s">
        <v>52</v>
      </c>
      <c r="C82" s="108"/>
      <c r="D82" s="381">
        <v>0</v>
      </c>
      <c r="E82" s="384">
        <v>0</v>
      </c>
      <c r="F82" s="335">
        <f>D82*E82</f>
        <v>0</v>
      </c>
      <c r="G82" s="332">
        <f aca="true" t="shared" si="6" ref="G82:G90">F82/$C$3</f>
        <v>0</v>
      </c>
      <c r="H82" s="375">
        <v>0</v>
      </c>
      <c r="I82" s="332">
        <f aca="true" t="shared" si="7" ref="I82:I90">H82*G82</f>
        <v>0</v>
      </c>
      <c r="J82" s="108"/>
      <c r="K82" s="108"/>
      <c r="L82" s="108"/>
    </row>
    <row r="83" spans="1:12" ht="12.75">
      <c r="A83" s="6"/>
      <c r="B83" s="3" t="s">
        <v>53</v>
      </c>
      <c r="C83" s="108"/>
      <c r="D83" s="382">
        <v>0</v>
      </c>
      <c r="E83" s="385">
        <v>0</v>
      </c>
      <c r="F83" s="335">
        <f>D83*E83</f>
        <v>0</v>
      </c>
      <c r="G83" s="332">
        <f t="shared" si="6"/>
        <v>0</v>
      </c>
      <c r="H83" s="376">
        <v>0</v>
      </c>
      <c r="I83" s="332">
        <f t="shared" si="7"/>
        <v>0</v>
      </c>
      <c r="J83" s="108"/>
      <c r="K83" s="108"/>
      <c r="L83" s="108"/>
    </row>
    <row r="84" spans="1:12" ht="13.5" thickBot="1">
      <c r="A84" s="6"/>
      <c r="B84" s="3" t="s">
        <v>54</v>
      </c>
      <c r="C84" s="108"/>
      <c r="D84" s="383">
        <v>0</v>
      </c>
      <c r="E84" s="386">
        <v>0</v>
      </c>
      <c r="F84" s="336">
        <f>D84*E84</f>
        <v>0</v>
      </c>
      <c r="G84" s="332">
        <f t="shared" si="6"/>
        <v>0</v>
      </c>
      <c r="H84" s="376">
        <v>0</v>
      </c>
      <c r="I84" s="332">
        <f t="shared" si="7"/>
        <v>0</v>
      </c>
      <c r="J84" s="108"/>
      <c r="K84" s="108"/>
      <c r="L84" s="108"/>
    </row>
    <row r="85" spans="1:12" ht="13.5" thickTop="1">
      <c r="A85" s="6"/>
      <c r="B85" s="5" t="s">
        <v>55</v>
      </c>
      <c r="C85" s="6"/>
      <c r="D85" s="6"/>
      <c r="E85" s="6"/>
      <c r="F85" s="387">
        <v>0</v>
      </c>
      <c r="G85" s="332">
        <f t="shared" si="6"/>
        <v>0</v>
      </c>
      <c r="H85" s="376">
        <v>0</v>
      </c>
      <c r="I85" s="332">
        <f t="shared" si="7"/>
        <v>0</v>
      </c>
      <c r="J85" s="108"/>
      <c r="K85" s="108"/>
      <c r="L85" s="108"/>
    </row>
    <row r="86" spans="1:12" ht="12.75">
      <c r="A86" s="6"/>
      <c r="B86" s="5" t="s">
        <v>56</v>
      </c>
      <c r="C86" s="6"/>
      <c r="D86" s="6"/>
      <c r="E86" s="6"/>
      <c r="F86" s="388">
        <v>0</v>
      </c>
      <c r="G86" s="332">
        <f t="shared" si="6"/>
        <v>0</v>
      </c>
      <c r="H86" s="376">
        <v>0</v>
      </c>
      <c r="I86" s="332">
        <f t="shared" si="7"/>
        <v>0</v>
      </c>
      <c r="J86" s="108"/>
      <c r="K86" s="108"/>
      <c r="L86" s="108"/>
    </row>
    <row r="87" spans="1:12" ht="12.75">
      <c r="A87" s="6"/>
      <c r="B87" s="5" t="s">
        <v>57</v>
      </c>
      <c r="C87" s="6"/>
      <c r="D87" s="6"/>
      <c r="E87" s="6"/>
      <c r="F87" s="389">
        <v>600</v>
      </c>
      <c r="G87" s="332">
        <f t="shared" si="6"/>
        <v>0.3076923076923077</v>
      </c>
      <c r="H87" s="376">
        <v>0</v>
      </c>
      <c r="I87" s="332">
        <f t="shared" si="7"/>
        <v>0</v>
      </c>
      <c r="J87" s="108"/>
      <c r="K87" s="108"/>
      <c r="L87" s="108"/>
    </row>
    <row r="88" spans="1:12" ht="12.75">
      <c r="A88" s="6"/>
      <c r="B88" s="5" t="s">
        <v>58</v>
      </c>
      <c r="C88" s="6"/>
      <c r="D88" s="6"/>
      <c r="E88" s="6"/>
      <c r="F88" s="389">
        <v>1700</v>
      </c>
      <c r="G88" s="332">
        <f t="shared" si="6"/>
        <v>0.8717948717948718</v>
      </c>
      <c r="H88" s="376">
        <v>0</v>
      </c>
      <c r="I88" s="332">
        <f t="shared" si="7"/>
        <v>0</v>
      </c>
      <c r="J88" s="108"/>
      <c r="K88" s="108"/>
      <c r="L88" s="108"/>
    </row>
    <row r="89" spans="1:12" ht="13.5" thickBot="1">
      <c r="A89" s="6"/>
      <c r="B89" s="287" t="s">
        <v>274</v>
      </c>
      <c r="C89" s="285"/>
      <c r="D89" s="285"/>
      <c r="E89" s="6"/>
      <c r="F89" s="379">
        <v>4800</v>
      </c>
      <c r="G89" s="332">
        <f t="shared" si="6"/>
        <v>2.4615384615384617</v>
      </c>
      <c r="H89" s="376">
        <v>0</v>
      </c>
      <c r="I89" s="332">
        <f t="shared" si="7"/>
        <v>0</v>
      </c>
      <c r="J89" s="108"/>
      <c r="K89" s="108"/>
      <c r="L89" s="108"/>
    </row>
    <row r="90" spans="1:12" ht="12" customHeight="1" thickBot="1" thickTop="1">
      <c r="A90" s="6"/>
      <c r="B90" s="286" t="s">
        <v>262</v>
      </c>
      <c r="C90" s="283"/>
      <c r="D90" s="284"/>
      <c r="E90" s="6"/>
      <c r="F90" s="390">
        <v>1600</v>
      </c>
      <c r="G90" s="332">
        <f t="shared" si="6"/>
        <v>0.8205128205128205</v>
      </c>
      <c r="H90" s="377">
        <v>0</v>
      </c>
      <c r="I90" s="332">
        <f t="shared" si="7"/>
        <v>0</v>
      </c>
      <c r="J90" s="108"/>
      <c r="K90" s="108"/>
      <c r="L90" s="108"/>
    </row>
    <row r="91" spans="1:12" ht="17.25" thickBot="1" thickTop="1">
      <c r="A91" s="24" t="s">
        <v>59</v>
      </c>
      <c r="B91" s="6"/>
      <c r="C91" s="6"/>
      <c r="D91" s="6"/>
      <c r="E91" s="6"/>
      <c r="F91" s="337"/>
      <c r="G91" s="334"/>
      <c r="H91" s="334"/>
      <c r="I91" s="334"/>
      <c r="J91" s="108"/>
      <c r="K91" s="108"/>
      <c r="L91" s="108"/>
    </row>
    <row r="92" spans="1:12" ht="13.5" thickTop="1">
      <c r="A92" s="67" t="s">
        <v>122</v>
      </c>
      <c r="B92" s="5" t="s">
        <v>60</v>
      </c>
      <c r="C92" s="6"/>
      <c r="D92" s="6"/>
      <c r="E92" s="6"/>
      <c r="F92" s="391">
        <v>1000</v>
      </c>
      <c r="G92" s="332">
        <f aca="true" t="shared" si="8" ref="G92:G106">F92/$C$3</f>
        <v>0.5128205128205128</v>
      </c>
      <c r="H92" s="375">
        <v>0</v>
      </c>
      <c r="I92" s="332">
        <f aca="true" t="shared" si="9" ref="I92:I106">H92*G92</f>
        <v>0</v>
      </c>
      <c r="J92" s="108"/>
      <c r="K92" s="108"/>
      <c r="L92" s="108"/>
    </row>
    <row r="93" spans="1:12" ht="12.75">
      <c r="A93" s="65"/>
      <c r="B93" s="5" t="s">
        <v>61</v>
      </c>
      <c r="C93" s="6"/>
      <c r="D93" s="6"/>
      <c r="E93" s="6"/>
      <c r="F93" s="379">
        <v>1000</v>
      </c>
      <c r="G93" s="332">
        <f t="shared" si="8"/>
        <v>0.5128205128205128</v>
      </c>
      <c r="H93" s="376">
        <v>0</v>
      </c>
      <c r="I93" s="332">
        <f t="shared" si="9"/>
        <v>0</v>
      </c>
      <c r="J93" s="108"/>
      <c r="K93" s="108"/>
      <c r="L93" s="108"/>
    </row>
    <row r="94" spans="1:12" ht="12.75">
      <c r="A94" s="65"/>
      <c r="B94" s="5" t="s">
        <v>62</v>
      </c>
      <c r="C94" s="6"/>
      <c r="D94" s="6"/>
      <c r="E94" s="6"/>
      <c r="F94" s="380">
        <v>3000</v>
      </c>
      <c r="G94" s="332">
        <f t="shared" si="8"/>
        <v>1.5384615384615385</v>
      </c>
      <c r="H94" s="376">
        <v>0</v>
      </c>
      <c r="I94" s="332">
        <f t="shared" si="9"/>
        <v>0</v>
      </c>
      <c r="J94" s="108"/>
      <c r="K94" s="108"/>
      <c r="L94" s="108"/>
    </row>
    <row r="95" spans="1:12" ht="12.75">
      <c r="A95" s="65"/>
      <c r="B95" s="5" t="s">
        <v>63</v>
      </c>
      <c r="C95" s="6"/>
      <c r="D95" s="6"/>
      <c r="E95" s="6"/>
      <c r="F95" s="337"/>
      <c r="G95" s="332">
        <f t="shared" si="8"/>
        <v>0</v>
      </c>
      <c r="H95" s="376">
        <v>0</v>
      </c>
      <c r="I95" s="332">
        <f t="shared" si="9"/>
        <v>0</v>
      </c>
      <c r="J95" s="108"/>
      <c r="K95" s="108"/>
      <c r="L95" s="108"/>
    </row>
    <row r="96" spans="1:12" ht="12.75">
      <c r="A96" s="65"/>
      <c r="B96" s="3" t="s">
        <v>64</v>
      </c>
      <c r="C96" s="6"/>
      <c r="D96" s="6"/>
      <c r="E96" s="6"/>
      <c r="F96" s="392">
        <v>30</v>
      </c>
      <c r="G96" s="332">
        <f t="shared" si="8"/>
        <v>0.015384615384615385</v>
      </c>
      <c r="H96" s="376">
        <v>0</v>
      </c>
      <c r="I96" s="332">
        <f t="shared" si="9"/>
        <v>0</v>
      </c>
      <c r="J96" s="108"/>
      <c r="K96" s="108"/>
      <c r="L96" s="108"/>
    </row>
    <row r="97" spans="1:12" ht="12.75">
      <c r="A97" s="65"/>
      <c r="B97" s="3" t="s">
        <v>65</v>
      </c>
      <c r="C97" s="6"/>
      <c r="D97" s="6"/>
      <c r="E97" s="6"/>
      <c r="F97" s="393">
        <v>0</v>
      </c>
      <c r="G97" s="332">
        <f t="shared" si="8"/>
        <v>0</v>
      </c>
      <c r="H97" s="376">
        <v>0</v>
      </c>
      <c r="I97" s="332">
        <f t="shared" si="9"/>
        <v>0</v>
      </c>
      <c r="J97" s="108"/>
      <c r="K97" s="108"/>
      <c r="L97" s="108"/>
    </row>
    <row r="98" spans="1:12" ht="12.75">
      <c r="A98" s="65"/>
      <c r="B98" s="3" t="s">
        <v>66</v>
      </c>
      <c r="C98" s="6"/>
      <c r="D98" s="6"/>
      <c r="E98" s="6"/>
      <c r="F98" s="393">
        <v>650</v>
      </c>
      <c r="G98" s="332">
        <f t="shared" si="8"/>
        <v>0.3333333333333333</v>
      </c>
      <c r="H98" s="376">
        <v>0</v>
      </c>
      <c r="I98" s="332">
        <f t="shared" si="9"/>
        <v>0</v>
      </c>
      <c r="J98" s="108"/>
      <c r="K98" s="108"/>
      <c r="L98" s="108"/>
    </row>
    <row r="99" spans="1:12" ht="12.75">
      <c r="A99" s="65"/>
      <c r="B99" s="3" t="s">
        <v>67</v>
      </c>
      <c r="C99" s="6"/>
      <c r="D99" s="6"/>
      <c r="E99" s="6"/>
      <c r="F99" s="393">
        <v>800</v>
      </c>
      <c r="G99" s="332">
        <f t="shared" si="8"/>
        <v>0.41025641025641024</v>
      </c>
      <c r="H99" s="376">
        <v>0</v>
      </c>
      <c r="I99" s="332">
        <f t="shared" si="9"/>
        <v>0</v>
      </c>
      <c r="J99" s="108"/>
      <c r="K99" s="108"/>
      <c r="L99" s="108"/>
    </row>
    <row r="100" spans="1:12" ht="12.75">
      <c r="A100" s="65"/>
      <c r="B100" s="5" t="s">
        <v>48</v>
      </c>
      <c r="C100" s="6"/>
      <c r="D100" s="6"/>
      <c r="E100" s="6"/>
      <c r="F100" s="394">
        <v>0</v>
      </c>
      <c r="G100" s="332">
        <f t="shared" si="8"/>
        <v>0</v>
      </c>
      <c r="H100" s="376">
        <v>0</v>
      </c>
      <c r="I100" s="332">
        <f t="shared" si="9"/>
        <v>0</v>
      </c>
      <c r="J100" s="108"/>
      <c r="K100" s="108"/>
      <c r="L100" s="108"/>
    </row>
    <row r="101" spans="1:12" ht="12.75">
      <c r="A101" s="65"/>
      <c r="B101" s="5" t="s">
        <v>68</v>
      </c>
      <c r="C101" s="6"/>
      <c r="D101" s="6"/>
      <c r="E101" s="6"/>
      <c r="F101" s="394">
        <v>0</v>
      </c>
      <c r="G101" s="332">
        <f t="shared" si="8"/>
        <v>0</v>
      </c>
      <c r="H101" s="376">
        <v>0</v>
      </c>
      <c r="I101" s="332">
        <f t="shared" si="9"/>
        <v>0</v>
      </c>
      <c r="J101" s="108"/>
      <c r="K101" s="108"/>
      <c r="L101" s="108"/>
    </row>
    <row r="102" spans="1:12" ht="12.75">
      <c r="A102" s="65"/>
      <c r="B102" s="5" t="s">
        <v>69</v>
      </c>
      <c r="C102" s="6"/>
      <c r="D102" s="6"/>
      <c r="E102" s="6"/>
      <c r="F102" s="393">
        <v>300</v>
      </c>
      <c r="G102" s="332">
        <f t="shared" si="8"/>
        <v>0.15384615384615385</v>
      </c>
      <c r="H102" s="376">
        <v>0</v>
      </c>
      <c r="I102" s="332">
        <f t="shared" si="9"/>
        <v>0</v>
      </c>
      <c r="J102" s="108"/>
      <c r="K102" s="108"/>
      <c r="L102" s="108"/>
    </row>
    <row r="103" spans="1:12" ht="13.5" thickBot="1">
      <c r="A103" s="65"/>
      <c r="B103" s="5" t="s">
        <v>57</v>
      </c>
      <c r="C103" s="6"/>
      <c r="D103" s="6"/>
      <c r="E103" s="6"/>
      <c r="F103" s="393">
        <v>2000</v>
      </c>
      <c r="G103" s="332">
        <f t="shared" si="8"/>
        <v>1.0256410256410255</v>
      </c>
      <c r="H103" s="376">
        <v>0</v>
      </c>
      <c r="I103" s="332">
        <f t="shared" si="9"/>
        <v>0</v>
      </c>
      <c r="J103" s="108"/>
      <c r="K103" s="108"/>
      <c r="L103" s="108"/>
    </row>
    <row r="104" spans="1:12" ht="13.5" thickTop="1">
      <c r="A104" s="66"/>
      <c r="B104" s="521" t="s">
        <v>42</v>
      </c>
      <c r="C104" s="522"/>
      <c r="D104" s="108"/>
      <c r="E104" s="108"/>
      <c r="F104" s="394">
        <v>0</v>
      </c>
      <c r="G104" s="332">
        <f t="shared" si="8"/>
        <v>0</v>
      </c>
      <c r="H104" s="376">
        <v>0</v>
      </c>
      <c r="I104" s="332">
        <f t="shared" si="9"/>
        <v>0</v>
      </c>
      <c r="J104" s="108"/>
      <c r="K104" s="108"/>
      <c r="L104" s="108"/>
    </row>
    <row r="105" spans="1:12" ht="12.75">
      <c r="A105" s="66"/>
      <c r="B105" s="523" t="s">
        <v>42</v>
      </c>
      <c r="C105" s="524"/>
      <c r="D105" s="108"/>
      <c r="E105" s="108"/>
      <c r="F105" s="394">
        <v>0</v>
      </c>
      <c r="G105" s="332">
        <f t="shared" si="8"/>
        <v>0</v>
      </c>
      <c r="H105" s="376">
        <v>0</v>
      </c>
      <c r="I105" s="332">
        <f t="shared" si="9"/>
        <v>0</v>
      </c>
      <c r="J105" s="108"/>
      <c r="K105" s="108"/>
      <c r="L105" s="108"/>
    </row>
    <row r="106" spans="1:12" ht="13.5" thickBot="1">
      <c r="A106" s="66"/>
      <c r="B106" s="525" t="s">
        <v>42</v>
      </c>
      <c r="C106" s="526"/>
      <c r="D106" s="108"/>
      <c r="E106" s="108"/>
      <c r="F106" s="395">
        <v>0</v>
      </c>
      <c r="G106" s="332">
        <f t="shared" si="8"/>
        <v>0</v>
      </c>
      <c r="H106" s="377">
        <v>0</v>
      </c>
      <c r="I106" s="332">
        <f t="shared" si="9"/>
        <v>0</v>
      </c>
      <c r="J106" s="108"/>
      <c r="K106" s="108"/>
      <c r="L106" s="108"/>
    </row>
    <row r="107" spans="1:12" ht="13.5" thickTop="1">
      <c r="A107" s="6"/>
      <c r="B107" s="108"/>
      <c r="C107" s="6"/>
      <c r="D107" s="6"/>
      <c r="E107" s="6"/>
      <c r="F107" s="338"/>
      <c r="G107" s="334"/>
      <c r="H107" s="334"/>
      <c r="I107" s="334"/>
      <c r="J107" s="108"/>
      <c r="K107" s="108"/>
      <c r="L107" s="108"/>
    </row>
    <row r="108" spans="1:12" ht="12.75">
      <c r="A108" s="6"/>
      <c r="B108" s="12" t="s">
        <v>70</v>
      </c>
      <c r="C108" s="6"/>
      <c r="D108" s="6"/>
      <c r="E108" s="6"/>
      <c r="F108" s="331">
        <f>SUM(F77:F107)</f>
        <v>50880</v>
      </c>
      <c r="G108" s="332">
        <f>SUM(G77:G107)</f>
        <v>26.09230769230769</v>
      </c>
      <c r="H108" s="323"/>
      <c r="I108" s="332">
        <f>SUM(I77:I107)</f>
        <v>0</v>
      </c>
      <c r="J108" s="108"/>
      <c r="K108" s="108"/>
      <c r="L108" s="108"/>
    </row>
    <row r="109" spans="1:12" ht="12.75">
      <c r="A109" s="6"/>
      <c r="B109" s="6"/>
      <c r="C109" s="6"/>
      <c r="D109" s="6"/>
      <c r="E109" s="6"/>
      <c r="F109" s="9"/>
      <c r="G109" s="11"/>
      <c r="H109" s="108"/>
      <c r="I109" s="108"/>
      <c r="J109" s="108"/>
      <c r="K109" s="108"/>
      <c r="L109" s="108"/>
    </row>
    <row r="110" spans="1:12" ht="15.75">
      <c r="A110" s="24" t="s">
        <v>71</v>
      </c>
      <c r="B110" s="6"/>
      <c r="C110" s="6"/>
      <c r="D110" s="6"/>
      <c r="E110" s="6"/>
      <c r="F110" s="9"/>
      <c r="G110" s="11"/>
      <c r="H110" s="108"/>
      <c r="I110" s="108"/>
      <c r="J110" s="108"/>
      <c r="K110" s="108"/>
      <c r="L110" s="108"/>
    </row>
    <row r="111" spans="1:12" ht="12.75">
      <c r="A111" s="6"/>
      <c r="B111" s="5" t="s">
        <v>72</v>
      </c>
      <c r="C111" s="6"/>
      <c r="D111" s="6"/>
      <c r="E111" s="6"/>
      <c r="F111" s="9"/>
      <c r="G111" s="11"/>
      <c r="H111" s="108"/>
      <c r="I111" s="108"/>
      <c r="J111" s="108"/>
      <c r="K111" s="108"/>
      <c r="L111" s="108"/>
    </row>
    <row r="112" spans="1:12" ht="13.5" thickBot="1">
      <c r="A112" s="6"/>
      <c r="B112" s="5" t="s">
        <v>73</v>
      </c>
      <c r="C112" s="6"/>
      <c r="D112" s="6"/>
      <c r="E112" s="6"/>
      <c r="F112" s="9"/>
      <c r="G112" s="11"/>
      <c r="H112" s="108"/>
      <c r="I112" s="108"/>
      <c r="J112" s="108"/>
      <c r="K112" s="108"/>
      <c r="L112" s="108"/>
    </row>
    <row r="113" spans="2:12" ht="13.5" thickTop="1">
      <c r="B113" s="5" t="s">
        <v>74</v>
      </c>
      <c r="C113" s="6"/>
      <c r="D113" s="108"/>
      <c r="E113" s="396">
        <v>0.09</v>
      </c>
      <c r="F113" s="9"/>
      <c r="G113" s="11"/>
      <c r="H113" s="108"/>
      <c r="I113" s="108"/>
      <c r="J113" s="108"/>
      <c r="K113" s="108"/>
      <c r="L113" s="108"/>
    </row>
    <row r="114" spans="1:12" ht="12.75">
      <c r="A114" s="6"/>
      <c r="B114" s="5" t="s">
        <v>75</v>
      </c>
      <c r="C114" s="6"/>
      <c r="D114" s="108"/>
      <c r="E114" s="397">
        <v>6</v>
      </c>
      <c r="F114" s="9"/>
      <c r="G114" s="11"/>
      <c r="H114" s="8" t="s">
        <v>224</v>
      </c>
      <c r="I114" s="8" t="s">
        <v>224</v>
      </c>
      <c r="J114" s="108"/>
      <c r="K114" s="108"/>
      <c r="L114" s="108"/>
    </row>
    <row r="115" spans="1:12" ht="13.5" thickBot="1">
      <c r="A115" s="6"/>
      <c r="B115" s="5" t="s">
        <v>76</v>
      </c>
      <c r="C115" s="108"/>
      <c r="D115" s="108"/>
      <c r="E115" s="398">
        <v>0.03</v>
      </c>
      <c r="F115" s="9"/>
      <c r="G115" s="11"/>
      <c r="H115" s="8" t="s">
        <v>35</v>
      </c>
      <c r="I115" s="8" t="s">
        <v>36</v>
      </c>
      <c r="J115" s="108"/>
      <c r="K115" s="108"/>
      <c r="L115" s="108"/>
    </row>
    <row r="116" spans="1:12" ht="14.25" thickBot="1" thickTop="1">
      <c r="A116" s="314" t="s">
        <v>295</v>
      </c>
      <c r="B116" s="5" t="s">
        <v>77</v>
      </c>
      <c r="C116" s="108"/>
      <c r="D116" s="108"/>
      <c r="E116" s="108"/>
      <c r="F116" s="339">
        <f>(F108+F74)*E113/12*E114</f>
        <v>6346.799999999999</v>
      </c>
      <c r="G116" s="340">
        <f>F116/$C$3</f>
        <v>3.2547692307692304</v>
      </c>
      <c r="H116" s="341">
        <v>0</v>
      </c>
      <c r="I116" s="332">
        <f>H116*G116</f>
        <v>0</v>
      </c>
      <c r="J116" s="108"/>
      <c r="K116" s="108"/>
      <c r="L116" s="108"/>
    </row>
    <row r="117" spans="1:12" ht="12.75">
      <c r="A117" s="6"/>
      <c r="B117" s="6"/>
      <c r="C117" s="6"/>
      <c r="D117" s="108"/>
      <c r="E117" s="108"/>
      <c r="F117" s="9"/>
      <c r="G117" s="11"/>
      <c r="H117" s="108"/>
      <c r="I117" s="108"/>
      <c r="J117" s="108"/>
      <c r="K117" s="108"/>
      <c r="L117" s="108"/>
    </row>
    <row r="118" spans="1:12" ht="18.75">
      <c r="A118" s="29" t="s">
        <v>78</v>
      </c>
      <c r="B118" s="32"/>
      <c r="C118" s="32"/>
      <c r="D118" s="28"/>
      <c r="E118" s="28"/>
      <c r="F118" s="33">
        <f>F74+F108+F116</f>
        <v>147386.8</v>
      </c>
      <c r="G118" s="34">
        <f>F118/$C$3</f>
        <v>75.58297435897435</v>
      </c>
      <c r="H118" s="111"/>
      <c r="I118" s="34">
        <f>I74+I108+I116</f>
        <v>0</v>
      </c>
      <c r="J118" s="108"/>
      <c r="K118" s="108"/>
      <c r="L118" s="108"/>
    </row>
    <row r="119" spans="1:12" ht="12.75">
      <c r="A119" s="5" t="s">
        <v>80</v>
      </c>
      <c r="B119" s="108"/>
      <c r="C119" s="6"/>
      <c r="D119" s="108"/>
      <c r="E119" s="108"/>
      <c r="F119" s="25">
        <f>H26-H24-F118</f>
        <v>252441.95</v>
      </c>
      <c r="G119" s="37">
        <f>F119/$C$3</f>
        <v>129.45741025641027</v>
      </c>
      <c r="H119" s="35" t="s">
        <v>224</v>
      </c>
      <c r="I119" s="35" t="s">
        <v>79</v>
      </c>
      <c r="J119" s="108"/>
      <c r="K119" s="108"/>
      <c r="L119" s="108"/>
    </row>
    <row r="120" spans="1:12" ht="12.75">
      <c r="A120" s="5" t="s">
        <v>225</v>
      </c>
      <c r="B120" s="6"/>
      <c r="C120" s="6"/>
      <c r="D120" s="108"/>
      <c r="E120" s="108"/>
      <c r="F120" s="108"/>
      <c r="G120" s="108"/>
      <c r="H120" s="36" t="s">
        <v>36</v>
      </c>
      <c r="I120" s="36" t="s">
        <v>36</v>
      </c>
      <c r="J120" s="108"/>
      <c r="K120" s="108"/>
      <c r="L120" s="108"/>
    </row>
    <row r="121" spans="1:12" ht="12.75">
      <c r="A121" s="6"/>
      <c r="B121" s="6"/>
      <c r="C121" s="6"/>
      <c r="D121" s="108"/>
      <c r="E121" s="108"/>
      <c r="F121" s="108"/>
      <c r="G121" s="108"/>
      <c r="H121" s="342">
        <f>SUM(I61:I116)-I74-I108</f>
        <v>0</v>
      </c>
      <c r="I121" s="342">
        <f>G118-H121</f>
        <v>75.58297435897435</v>
      </c>
      <c r="J121" s="108"/>
      <c r="K121" s="108"/>
      <c r="L121" s="108"/>
    </row>
    <row r="122" spans="1:15" ht="12.75">
      <c r="A122" s="6"/>
      <c r="B122" s="6"/>
      <c r="C122" s="6"/>
      <c r="D122" s="108"/>
      <c r="E122" s="108"/>
      <c r="F122" s="108"/>
      <c r="G122" s="108"/>
      <c r="H122" s="108"/>
      <c r="I122" s="108"/>
      <c r="J122" s="108"/>
      <c r="K122" s="108"/>
      <c r="L122" s="108"/>
      <c r="N122" s="198"/>
      <c r="O122" s="198"/>
    </row>
    <row r="123" spans="1:15" ht="12.75">
      <c r="A123" s="6"/>
      <c r="B123" s="6"/>
      <c r="C123" s="6"/>
      <c r="D123" s="108"/>
      <c r="E123" s="108"/>
      <c r="F123" s="108"/>
      <c r="G123" s="108"/>
      <c r="H123" s="108"/>
      <c r="I123" s="108"/>
      <c r="J123" s="108"/>
      <c r="K123" s="108"/>
      <c r="L123" s="108"/>
      <c r="N123" s="198"/>
      <c r="O123" s="198"/>
    </row>
    <row r="124" spans="1:15" ht="12.75">
      <c r="A124" s="108"/>
      <c r="B124" s="108"/>
      <c r="C124" s="108"/>
      <c r="D124" s="108"/>
      <c r="E124" s="108"/>
      <c r="F124" s="108"/>
      <c r="G124" s="108"/>
      <c r="H124" s="108"/>
      <c r="I124" s="108"/>
      <c r="J124" s="108"/>
      <c r="K124" s="108"/>
      <c r="L124" s="108"/>
      <c r="N124" s="198"/>
      <c r="O124" s="198"/>
    </row>
    <row r="125" spans="1:15" ht="20.25">
      <c r="A125" s="278" t="s">
        <v>222</v>
      </c>
      <c r="B125" s="6"/>
      <c r="C125" s="13"/>
      <c r="D125" s="13"/>
      <c r="E125" s="13"/>
      <c r="F125" s="108"/>
      <c r="G125" s="70" t="s">
        <v>31</v>
      </c>
      <c r="H125" s="108"/>
      <c r="I125" s="108"/>
      <c r="J125" s="108"/>
      <c r="K125" s="108"/>
      <c r="L125" s="108"/>
      <c r="N125" s="198"/>
      <c r="O125" s="198"/>
    </row>
    <row r="126" spans="1:16" ht="18.75">
      <c r="A126" s="309" t="s">
        <v>290</v>
      </c>
      <c r="B126" s="75"/>
      <c r="C126" s="124" t="s">
        <v>226</v>
      </c>
      <c r="D126" s="74"/>
      <c r="E126" s="74"/>
      <c r="F126" s="74"/>
      <c r="G126" s="76"/>
      <c r="H126" s="74"/>
      <c r="I126" s="74"/>
      <c r="J126" s="108"/>
      <c r="K126" s="108"/>
      <c r="L126" s="108"/>
      <c r="M126" s="236" t="s">
        <v>303</v>
      </c>
      <c r="N126" s="198"/>
      <c r="O126" s="198"/>
      <c r="P126" s="236"/>
    </row>
    <row r="127" spans="1:15" ht="15.75">
      <c r="A127" s="137" t="s">
        <v>153</v>
      </c>
      <c r="B127" s="6"/>
      <c r="C127" s="6"/>
      <c r="D127" s="6"/>
      <c r="E127" s="108"/>
      <c r="F127" s="108"/>
      <c r="G127" s="108"/>
      <c r="H127" s="108"/>
      <c r="I127" s="108"/>
      <c r="L127" s="323"/>
      <c r="M127" s="323" t="s">
        <v>18</v>
      </c>
      <c r="N127" s="324"/>
      <c r="O127" s="324"/>
    </row>
    <row r="128" spans="1:15" ht="12.75">
      <c r="A128" s="6"/>
      <c r="B128" s="6"/>
      <c r="C128" s="8" t="s">
        <v>81</v>
      </c>
      <c r="D128" s="8" t="s">
        <v>82</v>
      </c>
      <c r="E128" s="8" t="s">
        <v>83</v>
      </c>
      <c r="F128" s="8" t="s">
        <v>84</v>
      </c>
      <c r="G128" s="8" t="s">
        <v>32</v>
      </c>
      <c r="H128" s="8" t="s">
        <v>224</v>
      </c>
      <c r="I128" s="8" t="s">
        <v>224</v>
      </c>
      <c r="L128" s="323"/>
      <c r="M128" s="323" t="s">
        <v>300</v>
      </c>
      <c r="N128" s="324"/>
      <c r="O128" s="324"/>
    </row>
    <row r="129" spans="1:15" ht="13.5" thickBot="1">
      <c r="A129" s="12" t="s">
        <v>85</v>
      </c>
      <c r="B129" s="5" t="s">
        <v>86</v>
      </c>
      <c r="C129" s="8" t="s">
        <v>87</v>
      </c>
      <c r="D129" s="8" t="s">
        <v>88</v>
      </c>
      <c r="E129" s="8" t="s">
        <v>32</v>
      </c>
      <c r="F129" s="61" t="s">
        <v>85</v>
      </c>
      <c r="G129" s="8" t="s">
        <v>17</v>
      </c>
      <c r="H129" s="8" t="s">
        <v>35</v>
      </c>
      <c r="I129" s="8" t="s">
        <v>36</v>
      </c>
      <c r="L129" s="323"/>
      <c r="M129" s="323" t="s">
        <v>301</v>
      </c>
      <c r="N129" s="324"/>
      <c r="O129" s="324"/>
    </row>
    <row r="130" spans="1:15" ht="13.5" thickTop="1">
      <c r="A130" s="67" t="s">
        <v>122</v>
      </c>
      <c r="B130" s="399" t="s">
        <v>89</v>
      </c>
      <c r="C130" s="493">
        <v>0</v>
      </c>
      <c r="D130" s="401">
        <v>0</v>
      </c>
      <c r="E130" s="402">
        <v>0</v>
      </c>
      <c r="F130" s="343">
        <f aca="true" t="shared" si="10" ref="F130:F141">(C130-E130)/IF(D130=0,1,D130)</f>
        <v>0</v>
      </c>
      <c r="G130" s="332">
        <f aca="true" t="shared" si="11" ref="G130:G141">F130/$C$3</f>
        <v>0</v>
      </c>
      <c r="H130" s="375">
        <v>0</v>
      </c>
      <c r="I130" s="332">
        <f aca="true" t="shared" si="12" ref="I130:I141">H130*G130</f>
        <v>0</v>
      </c>
      <c r="L130" s="323"/>
      <c r="M130" s="323">
        <f aca="true" t="shared" si="13" ref="M130:M141">C130</f>
        <v>0</v>
      </c>
      <c r="N130" s="324"/>
      <c r="O130" s="324"/>
    </row>
    <row r="131" spans="1:15" ht="12.75">
      <c r="A131" s="68"/>
      <c r="B131" s="403" t="s">
        <v>90</v>
      </c>
      <c r="C131" s="494">
        <v>5500</v>
      </c>
      <c r="D131" s="405">
        <v>15</v>
      </c>
      <c r="E131" s="406">
        <v>4000</v>
      </c>
      <c r="F131" s="343">
        <f t="shared" si="10"/>
        <v>100</v>
      </c>
      <c r="G131" s="332">
        <f t="shared" si="11"/>
        <v>0.05128205128205128</v>
      </c>
      <c r="H131" s="376">
        <v>0</v>
      </c>
      <c r="I131" s="332">
        <f t="shared" si="12"/>
        <v>0</v>
      </c>
      <c r="L131" s="323"/>
      <c r="M131" s="323">
        <f t="shared" si="13"/>
        <v>5500</v>
      </c>
      <c r="N131" s="324"/>
      <c r="O131" s="324"/>
    </row>
    <row r="132" spans="1:15" ht="12.75">
      <c r="A132" s="68"/>
      <c r="B132" s="403" t="s">
        <v>91</v>
      </c>
      <c r="C132" s="494">
        <v>11500</v>
      </c>
      <c r="D132" s="405">
        <v>10</v>
      </c>
      <c r="E132" s="406">
        <v>4000</v>
      </c>
      <c r="F132" s="343">
        <f t="shared" si="10"/>
        <v>750</v>
      </c>
      <c r="G132" s="332">
        <f t="shared" si="11"/>
        <v>0.38461538461538464</v>
      </c>
      <c r="H132" s="376">
        <v>0</v>
      </c>
      <c r="I132" s="332">
        <f t="shared" si="12"/>
        <v>0</v>
      </c>
      <c r="L132" s="323"/>
      <c r="M132" s="323">
        <f t="shared" si="13"/>
        <v>11500</v>
      </c>
      <c r="N132" s="324"/>
      <c r="O132" s="324"/>
    </row>
    <row r="133" spans="1:15" ht="12.75">
      <c r="A133" s="68"/>
      <c r="B133" s="403" t="s">
        <v>92</v>
      </c>
      <c r="C133" s="494">
        <v>5500</v>
      </c>
      <c r="D133" s="405">
        <v>7</v>
      </c>
      <c r="E133" s="406">
        <v>3000</v>
      </c>
      <c r="F133" s="343">
        <f t="shared" si="10"/>
        <v>357.14285714285717</v>
      </c>
      <c r="G133" s="332">
        <f t="shared" si="11"/>
        <v>0.18315018315018317</v>
      </c>
      <c r="H133" s="376">
        <v>0</v>
      </c>
      <c r="I133" s="332">
        <f t="shared" si="12"/>
        <v>0</v>
      </c>
      <c r="L133" s="323"/>
      <c r="M133" s="323">
        <f t="shared" si="13"/>
        <v>5500</v>
      </c>
      <c r="N133" s="324"/>
      <c r="O133" s="324"/>
    </row>
    <row r="134" spans="1:15" ht="12.75">
      <c r="A134" s="68"/>
      <c r="B134" s="407" t="s">
        <v>93</v>
      </c>
      <c r="C134" s="495">
        <v>0</v>
      </c>
      <c r="D134" s="409">
        <v>0</v>
      </c>
      <c r="E134" s="410">
        <v>0</v>
      </c>
      <c r="F134" s="343">
        <f t="shared" si="10"/>
        <v>0</v>
      </c>
      <c r="G134" s="332">
        <f t="shared" si="11"/>
        <v>0</v>
      </c>
      <c r="H134" s="376">
        <v>0</v>
      </c>
      <c r="I134" s="332">
        <f t="shared" si="12"/>
        <v>0</v>
      </c>
      <c r="L134" s="323"/>
      <c r="M134" s="323">
        <f t="shared" si="13"/>
        <v>0</v>
      </c>
      <c r="N134" s="324"/>
      <c r="O134" s="324"/>
    </row>
    <row r="135" spans="1:15" ht="12.75">
      <c r="A135" s="68"/>
      <c r="B135" s="407" t="s">
        <v>94</v>
      </c>
      <c r="C135" s="495">
        <v>1000</v>
      </c>
      <c r="D135" s="409">
        <v>20</v>
      </c>
      <c r="E135" s="410">
        <v>0</v>
      </c>
      <c r="F135" s="343">
        <f t="shared" si="10"/>
        <v>50</v>
      </c>
      <c r="G135" s="332">
        <f t="shared" si="11"/>
        <v>0.02564102564102564</v>
      </c>
      <c r="H135" s="376">
        <v>0</v>
      </c>
      <c r="I135" s="332">
        <f t="shared" si="12"/>
        <v>0</v>
      </c>
      <c r="L135" s="323"/>
      <c r="M135" s="323">
        <f t="shared" si="13"/>
        <v>1000</v>
      </c>
      <c r="N135" s="324"/>
      <c r="O135" s="324"/>
    </row>
    <row r="136" spans="1:15" ht="12.75">
      <c r="A136" s="69"/>
      <c r="B136" s="368" t="s">
        <v>42</v>
      </c>
      <c r="C136" s="495">
        <v>0</v>
      </c>
      <c r="D136" s="409">
        <v>0</v>
      </c>
      <c r="E136" s="410">
        <v>0</v>
      </c>
      <c r="F136" s="343">
        <f t="shared" si="10"/>
        <v>0</v>
      </c>
      <c r="G136" s="332">
        <f t="shared" si="11"/>
        <v>0</v>
      </c>
      <c r="H136" s="376">
        <v>0</v>
      </c>
      <c r="I136" s="332">
        <f t="shared" si="12"/>
        <v>0</v>
      </c>
      <c r="L136" s="323"/>
      <c r="M136" s="323">
        <f t="shared" si="13"/>
        <v>0</v>
      </c>
      <c r="N136" s="324"/>
      <c r="O136" s="324"/>
    </row>
    <row r="137" spans="1:15" ht="12.75">
      <c r="A137" s="68"/>
      <c r="B137" s="407" t="s">
        <v>263</v>
      </c>
      <c r="C137" s="495">
        <v>0</v>
      </c>
      <c r="D137" s="409">
        <v>0</v>
      </c>
      <c r="E137" s="410">
        <v>0</v>
      </c>
      <c r="F137" s="343">
        <f t="shared" si="10"/>
        <v>0</v>
      </c>
      <c r="G137" s="332">
        <f t="shared" si="11"/>
        <v>0</v>
      </c>
      <c r="H137" s="376">
        <v>0</v>
      </c>
      <c r="I137" s="332">
        <f t="shared" si="12"/>
        <v>0</v>
      </c>
      <c r="L137" s="323"/>
      <c r="M137" s="323">
        <f t="shared" si="13"/>
        <v>0</v>
      </c>
      <c r="N137" s="324"/>
      <c r="O137" s="324"/>
    </row>
    <row r="138" spans="1:15" ht="12.75">
      <c r="A138" s="68"/>
      <c r="B138" s="368" t="s">
        <v>42</v>
      </c>
      <c r="C138" s="496">
        <v>0</v>
      </c>
      <c r="D138" s="371">
        <v>0</v>
      </c>
      <c r="E138" s="412">
        <v>0</v>
      </c>
      <c r="F138" s="343">
        <f t="shared" si="10"/>
        <v>0</v>
      </c>
      <c r="G138" s="332">
        <f t="shared" si="11"/>
        <v>0</v>
      </c>
      <c r="H138" s="376">
        <v>0</v>
      </c>
      <c r="I138" s="332">
        <f t="shared" si="12"/>
        <v>0</v>
      </c>
      <c r="L138" s="323"/>
      <c r="M138" s="323">
        <f t="shared" si="13"/>
        <v>0</v>
      </c>
      <c r="N138" s="324"/>
      <c r="O138" s="324"/>
    </row>
    <row r="139" spans="1:15" ht="12.75">
      <c r="A139" s="68"/>
      <c r="B139" s="368" t="s">
        <v>42</v>
      </c>
      <c r="C139" s="496">
        <v>0</v>
      </c>
      <c r="D139" s="371">
        <v>0</v>
      </c>
      <c r="E139" s="412">
        <v>0</v>
      </c>
      <c r="F139" s="343">
        <f t="shared" si="10"/>
        <v>0</v>
      </c>
      <c r="G139" s="332">
        <f t="shared" si="11"/>
        <v>0</v>
      </c>
      <c r="H139" s="376">
        <v>0</v>
      </c>
      <c r="I139" s="332">
        <f t="shared" si="12"/>
        <v>0</v>
      </c>
      <c r="L139" s="323"/>
      <c r="M139" s="323">
        <f t="shared" si="13"/>
        <v>0</v>
      </c>
      <c r="N139" s="324"/>
      <c r="O139" s="324"/>
    </row>
    <row r="140" spans="1:15" ht="12.75">
      <c r="A140" s="68"/>
      <c r="B140" s="368" t="s">
        <v>42</v>
      </c>
      <c r="C140" s="496">
        <v>0</v>
      </c>
      <c r="D140" s="371">
        <v>0</v>
      </c>
      <c r="E140" s="412">
        <v>0</v>
      </c>
      <c r="F140" s="343">
        <f t="shared" si="10"/>
        <v>0</v>
      </c>
      <c r="G140" s="332">
        <f t="shared" si="11"/>
        <v>0</v>
      </c>
      <c r="H140" s="376">
        <v>0</v>
      </c>
      <c r="I140" s="332">
        <f t="shared" si="12"/>
        <v>0</v>
      </c>
      <c r="L140" s="323"/>
      <c r="M140" s="323">
        <f t="shared" si="13"/>
        <v>0</v>
      </c>
      <c r="N140" s="324"/>
      <c r="O140" s="324"/>
    </row>
    <row r="141" spans="1:15" ht="13.5" thickBot="1">
      <c r="A141" s="6"/>
      <c r="B141" s="372" t="s">
        <v>42</v>
      </c>
      <c r="C141" s="497">
        <v>0</v>
      </c>
      <c r="D141" s="414">
        <v>0</v>
      </c>
      <c r="E141" s="415">
        <v>0</v>
      </c>
      <c r="F141" s="343">
        <f t="shared" si="10"/>
        <v>0</v>
      </c>
      <c r="G141" s="332">
        <f t="shared" si="11"/>
        <v>0</v>
      </c>
      <c r="H141" s="377">
        <v>0</v>
      </c>
      <c r="I141" s="332">
        <f t="shared" si="12"/>
        <v>0</v>
      </c>
      <c r="L141" s="323"/>
      <c r="M141" s="323">
        <f t="shared" si="13"/>
        <v>0</v>
      </c>
      <c r="N141" s="324"/>
      <c r="O141" s="324"/>
    </row>
    <row r="142" spans="1:15" ht="13.5" thickTop="1">
      <c r="A142" s="314" t="s">
        <v>294</v>
      </c>
      <c r="B142" s="12" t="s">
        <v>15</v>
      </c>
      <c r="C142" s="59">
        <f>SUM(C130:C141)</f>
        <v>23500</v>
      </c>
      <c r="D142" s="60"/>
      <c r="E142" s="59">
        <f>SUM(E130:E141)</f>
        <v>11000</v>
      </c>
      <c r="F142" s="344"/>
      <c r="G142" s="332"/>
      <c r="H142" s="323"/>
      <c r="I142" s="323"/>
      <c r="L142" s="323"/>
      <c r="M142" s="323"/>
      <c r="N142" s="324"/>
      <c r="O142" s="324"/>
    </row>
    <row r="143" spans="1:15" ht="13.5" thickBot="1">
      <c r="A143" s="6"/>
      <c r="B143" s="6"/>
      <c r="C143" s="6"/>
      <c r="D143" s="6"/>
      <c r="E143" s="108"/>
      <c r="F143" s="61"/>
      <c r="G143" s="332"/>
      <c r="H143" s="323"/>
      <c r="I143" s="323"/>
      <c r="L143" s="323"/>
      <c r="M143" s="323"/>
      <c r="N143" s="326"/>
      <c r="O143" s="324"/>
    </row>
    <row r="144" spans="1:15" ht="14.25" thickBot="1" thickTop="1">
      <c r="A144" s="314" t="s">
        <v>295</v>
      </c>
      <c r="B144" s="5" t="s">
        <v>95</v>
      </c>
      <c r="C144" s="6"/>
      <c r="D144" s="6"/>
      <c r="E144" s="108"/>
      <c r="F144" s="345">
        <f>((SUM(C130:C141)+SUM(E130:E141))/2)*($E$113-$E$115)</f>
        <v>1035</v>
      </c>
      <c r="G144" s="332">
        <f>F144/$C$3</f>
        <v>0.5307692307692308</v>
      </c>
      <c r="H144" s="375">
        <v>0</v>
      </c>
      <c r="I144" s="332">
        <f>H144*G144</f>
        <v>0</v>
      </c>
      <c r="L144" s="323"/>
      <c r="M144" s="323"/>
      <c r="N144" s="326"/>
      <c r="O144" s="324"/>
    </row>
    <row r="145" spans="1:15" ht="13.5" thickTop="1">
      <c r="A145" s="6"/>
      <c r="B145" s="5" t="s">
        <v>96</v>
      </c>
      <c r="C145" s="6"/>
      <c r="D145" s="6"/>
      <c r="E145" s="108"/>
      <c r="F145" s="416">
        <v>100</v>
      </c>
      <c r="G145" s="332">
        <f>F145/$C$3</f>
        <v>0.05128205128205128</v>
      </c>
      <c r="H145" s="376">
        <v>0</v>
      </c>
      <c r="I145" s="332">
        <f>H145*G145</f>
        <v>0</v>
      </c>
      <c r="L145" s="323"/>
      <c r="M145" s="323"/>
      <c r="N145" s="326"/>
      <c r="O145" s="324"/>
    </row>
    <row r="146" spans="1:15" ht="13.5" thickBot="1">
      <c r="A146" s="6"/>
      <c r="B146" s="5" t="s">
        <v>97</v>
      </c>
      <c r="C146" s="6"/>
      <c r="D146" s="6"/>
      <c r="E146" s="108"/>
      <c r="F146" s="417">
        <v>200</v>
      </c>
      <c r="G146" s="332">
        <f>F146/$C$3</f>
        <v>0.10256410256410256</v>
      </c>
      <c r="H146" s="377">
        <v>0</v>
      </c>
      <c r="I146" s="332">
        <f>H146*G146</f>
        <v>0</v>
      </c>
      <c r="L146" s="323"/>
      <c r="M146" s="323"/>
      <c r="N146" s="326"/>
      <c r="O146" s="324"/>
    </row>
    <row r="147" spans="1:15" ht="13.5" thickTop="1">
      <c r="A147" s="6"/>
      <c r="B147" s="6"/>
      <c r="C147" s="6"/>
      <c r="D147" s="6"/>
      <c r="E147" s="108"/>
      <c r="F147" s="331"/>
      <c r="G147" s="332"/>
      <c r="H147" s="323"/>
      <c r="I147" s="323"/>
      <c r="L147" s="323"/>
      <c r="M147" s="323"/>
      <c r="N147" s="326"/>
      <c r="O147" s="324"/>
    </row>
    <row r="148" spans="1:15" ht="15.75">
      <c r="A148" s="137" t="s">
        <v>154</v>
      </c>
      <c r="B148" s="6"/>
      <c r="C148" s="6"/>
      <c r="D148" s="6"/>
      <c r="E148" s="108"/>
      <c r="F148" s="331"/>
      <c r="G148" s="332"/>
      <c r="H148" s="323"/>
      <c r="I148" s="323"/>
      <c r="L148" s="323"/>
      <c r="M148" s="323"/>
      <c r="N148" s="326"/>
      <c r="O148" s="324"/>
    </row>
    <row r="149" spans="1:15" ht="12.75">
      <c r="A149" s="6"/>
      <c r="B149" s="6"/>
      <c r="C149" s="8" t="s">
        <v>81</v>
      </c>
      <c r="D149" s="8" t="s">
        <v>82</v>
      </c>
      <c r="E149" s="8" t="s">
        <v>83</v>
      </c>
      <c r="F149" s="8" t="s">
        <v>84</v>
      </c>
      <c r="G149" s="8" t="s">
        <v>32</v>
      </c>
      <c r="H149" s="8" t="s">
        <v>224</v>
      </c>
      <c r="I149" s="8" t="s">
        <v>224</v>
      </c>
      <c r="L149" s="323"/>
      <c r="M149" s="323"/>
      <c r="N149" s="326"/>
      <c r="O149" s="324"/>
    </row>
    <row r="150" spans="1:15" ht="13.5" thickBot="1">
      <c r="A150" s="108"/>
      <c r="B150" s="5" t="s">
        <v>86</v>
      </c>
      <c r="C150" s="8" t="s">
        <v>87</v>
      </c>
      <c r="D150" s="8" t="s">
        <v>88</v>
      </c>
      <c r="E150" s="8" t="s">
        <v>32</v>
      </c>
      <c r="F150" s="61" t="s">
        <v>85</v>
      </c>
      <c r="G150" s="8" t="s">
        <v>17</v>
      </c>
      <c r="H150" s="8" t="s">
        <v>35</v>
      </c>
      <c r="I150" s="8" t="s">
        <v>36</v>
      </c>
      <c r="L150" s="323"/>
      <c r="M150" s="323"/>
      <c r="N150" s="326"/>
      <c r="O150" s="324"/>
    </row>
    <row r="151" spans="1:15" ht="13.5" thickTop="1">
      <c r="A151" s="12" t="s">
        <v>85</v>
      </c>
      <c r="B151" s="418" t="s">
        <v>98</v>
      </c>
      <c r="C151" s="498">
        <v>0</v>
      </c>
      <c r="D151" s="420">
        <v>0</v>
      </c>
      <c r="E151" s="402">
        <v>0</v>
      </c>
      <c r="F151" s="343">
        <f aca="true" t="shared" si="14" ref="F151:F158">(C151-E151)/IF(D151=0,1,D151)</f>
        <v>0</v>
      </c>
      <c r="G151" s="332">
        <f aca="true" t="shared" si="15" ref="G151:G158">F151/$C$3</f>
        <v>0</v>
      </c>
      <c r="H151" s="375">
        <v>0</v>
      </c>
      <c r="I151" s="332">
        <f aca="true" t="shared" si="16" ref="I151:I158">H151*G151</f>
        <v>0</v>
      </c>
      <c r="L151" s="323"/>
      <c r="M151" s="323">
        <f aca="true" t="shared" si="17" ref="M151:M158">C151</f>
        <v>0</v>
      </c>
      <c r="N151" s="324"/>
      <c r="O151" s="324"/>
    </row>
    <row r="152" spans="1:15" ht="12.75">
      <c r="A152" s="6"/>
      <c r="B152" s="403" t="s">
        <v>264</v>
      </c>
      <c r="C152" s="494">
        <v>3000</v>
      </c>
      <c r="D152" s="405">
        <v>20</v>
      </c>
      <c r="E152" s="410">
        <v>0</v>
      </c>
      <c r="F152" s="343">
        <f t="shared" si="14"/>
        <v>150</v>
      </c>
      <c r="G152" s="332">
        <f t="shared" si="15"/>
        <v>0.07692307692307693</v>
      </c>
      <c r="H152" s="376">
        <v>0</v>
      </c>
      <c r="I152" s="332">
        <f t="shared" si="16"/>
        <v>0</v>
      </c>
      <c r="L152" s="323"/>
      <c r="M152" s="323">
        <f t="shared" si="17"/>
        <v>3000</v>
      </c>
      <c r="N152" s="324"/>
      <c r="O152" s="324"/>
    </row>
    <row r="153" spans="1:15" ht="12.75">
      <c r="A153" s="67" t="s">
        <v>122</v>
      </c>
      <c r="B153" s="403" t="s">
        <v>265</v>
      </c>
      <c r="C153" s="494">
        <v>8000</v>
      </c>
      <c r="D153" s="405">
        <v>20</v>
      </c>
      <c r="E153" s="410">
        <v>0</v>
      </c>
      <c r="F153" s="343">
        <f t="shared" si="14"/>
        <v>400</v>
      </c>
      <c r="G153" s="332">
        <f t="shared" si="15"/>
        <v>0.20512820512820512</v>
      </c>
      <c r="H153" s="376">
        <v>0</v>
      </c>
      <c r="I153" s="332">
        <f t="shared" si="16"/>
        <v>0</v>
      </c>
      <c r="L153" s="323"/>
      <c r="M153" s="323">
        <f t="shared" si="17"/>
        <v>8000</v>
      </c>
      <c r="N153" s="324"/>
      <c r="O153" s="324"/>
    </row>
    <row r="154" spans="1:15" ht="12.75">
      <c r="A154" s="6"/>
      <c r="B154" s="403" t="s">
        <v>266</v>
      </c>
      <c r="C154" s="494">
        <v>0</v>
      </c>
      <c r="D154" s="405">
        <v>0</v>
      </c>
      <c r="E154" s="410">
        <v>0</v>
      </c>
      <c r="F154" s="343">
        <f t="shared" si="14"/>
        <v>0</v>
      </c>
      <c r="G154" s="332">
        <f t="shared" si="15"/>
        <v>0</v>
      </c>
      <c r="H154" s="376">
        <v>0</v>
      </c>
      <c r="I154" s="332">
        <f t="shared" si="16"/>
        <v>0</v>
      </c>
      <c r="L154" s="323"/>
      <c r="M154" s="323">
        <f t="shared" si="17"/>
        <v>0</v>
      </c>
      <c r="N154" s="324"/>
      <c r="O154" s="324"/>
    </row>
    <row r="155" spans="1:15" ht="12.75">
      <c r="A155" s="6"/>
      <c r="B155" s="403" t="s">
        <v>267</v>
      </c>
      <c r="C155" s="494">
        <v>0</v>
      </c>
      <c r="D155" s="405">
        <v>0</v>
      </c>
      <c r="E155" s="410">
        <v>0</v>
      </c>
      <c r="F155" s="343">
        <f t="shared" si="14"/>
        <v>0</v>
      </c>
      <c r="G155" s="332">
        <f t="shared" si="15"/>
        <v>0</v>
      </c>
      <c r="H155" s="376">
        <v>0</v>
      </c>
      <c r="I155" s="332">
        <f t="shared" si="16"/>
        <v>0</v>
      </c>
      <c r="L155" s="323"/>
      <c r="M155" s="323">
        <f t="shared" si="17"/>
        <v>0</v>
      </c>
      <c r="N155" s="324"/>
      <c r="O155" s="324"/>
    </row>
    <row r="156" spans="1:15" ht="12.75">
      <c r="A156" s="6"/>
      <c r="B156" s="403" t="s">
        <v>268</v>
      </c>
      <c r="C156" s="494">
        <v>0</v>
      </c>
      <c r="D156" s="405">
        <v>0</v>
      </c>
      <c r="E156" s="410">
        <v>0</v>
      </c>
      <c r="F156" s="343">
        <f t="shared" si="14"/>
        <v>0</v>
      </c>
      <c r="G156" s="332">
        <f t="shared" si="15"/>
        <v>0</v>
      </c>
      <c r="H156" s="376">
        <v>0</v>
      </c>
      <c r="I156" s="332">
        <f t="shared" si="16"/>
        <v>0</v>
      </c>
      <c r="L156" s="323"/>
      <c r="M156" s="323">
        <f t="shared" si="17"/>
        <v>0</v>
      </c>
      <c r="N156" s="324"/>
      <c r="O156" s="324"/>
    </row>
    <row r="157" spans="1:15" ht="12.75">
      <c r="A157" s="6"/>
      <c r="B157" s="403" t="s">
        <v>269</v>
      </c>
      <c r="C157" s="494">
        <v>1500</v>
      </c>
      <c r="D157" s="405">
        <v>20</v>
      </c>
      <c r="E157" s="410">
        <v>0</v>
      </c>
      <c r="F157" s="343">
        <f t="shared" si="14"/>
        <v>75</v>
      </c>
      <c r="G157" s="332">
        <f t="shared" si="15"/>
        <v>0.038461538461538464</v>
      </c>
      <c r="H157" s="376">
        <v>0</v>
      </c>
      <c r="I157" s="332">
        <f t="shared" si="16"/>
        <v>0</v>
      </c>
      <c r="L157" s="323"/>
      <c r="M157" s="323">
        <f t="shared" si="17"/>
        <v>1500</v>
      </c>
      <c r="N157" s="324"/>
      <c r="O157" s="324"/>
    </row>
    <row r="158" spans="1:15" ht="13.5" thickBot="1">
      <c r="A158" s="6"/>
      <c r="B158" s="421" t="s">
        <v>42</v>
      </c>
      <c r="C158" s="499">
        <v>0</v>
      </c>
      <c r="D158" s="423">
        <v>0</v>
      </c>
      <c r="E158" s="424">
        <v>0</v>
      </c>
      <c r="F158" s="343">
        <f t="shared" si="14"/>
        <v>0</v>
      </c>
      <c r="G158" s="332">
        <f t="shared" si="15"/>
        <v>0</v>
      </c>
      <c r="H158" s="377">
        <v>0</v>
      </c>
      <c r="I158" s="332">
        <f t="shared" si="16"/>
        <v>0</v>
      </c>
      <c r="L158" s="323"/>
      <c r="M158" s="323">
        <f t="shared" si="17"/>
        <v>0</v>
      </c>
      <c r="N158" s="324"/>
      <c r="O158" s="324"/>
    </row>
    <row r="159" spans="1:15" ht="13.5" thickTop="1">
      <c r="A159" s="314" t="s">
        <v>294</v>
      </c>
      <c r="B159" s="12" t="s">
        <v>15</v>
      </c>
      <c r="C159" s="59">
        <f>SUM(C151:C158)</f>
        <v>12500</v>
      </c>
      <c r="D159" s="60"/>
      <c r="E159" s="59">
        <f>SUM(E151:E158)</f>
        <v>0</v>
      </c>
      <c r="F159" s="25"/>
      <c r="G159" s="11"/>
      <c r="H159" s="108"/>
      <c r="I159" s="108"/>
      <c r="L159" s="323"/>
      <c r="M159" s="323"/>
      <c r="N159" s="326"/>
      <c r="O159" s="324"/>
    </row>
    <row r="160" spans="1:15" ht="13.5" thickBot="1">
      <c r="A160" s="6"/>
      <c r="B160" s="6"/>
      <c r="C160" s="6"/>
      <c r="D160" s="6"/>
      <c r="E160" s="108"/>
      <c r="F160" s="25"/>
      <c r="G160" s="11"/>
      <c r="H160" s="108"/>
      <c r="I160" s="108"/>
      <c r="L160" s="323"/>
      <c r="M160" s="323"/>
      <c r="N160" s="326"/>
      <c r="O160" s="324"/>
    </row>
    <row r="161" spans="1:15" ht="14.25" thickBot="1" thickTop="1">
      <c r="A161" s="314" t="s">
        <v>295</v>
      </c>
      <c r="B161" s="5" t="s">
        <v>95</v>
      </c>
      <c r="C161" s="6"/>
      <c r="D161" s="6"/>
      <c r="E161" s="108"/>
      <c r="F161" s="345">
        <f>((SUM(C151:C158)+SUM(E151:E158))/2)*($E$113-$E$115)</f>
        <v>375</v>
      </c>
      <c r="G161" s="332">
        <f>F161/$C$3</f>
        <v>0.19230769230769232</v>
      </c>
      <c r="H161" s="375">
        <v>0</v>
      </c>
      <c r="I161" s="332">
        <f>H161*G161</f>
        <v>0</v>
      </c>
      <c r="L161" s="323"/>
      <c r="M161" s="323"/>
      <c r="N161" s="326"/>
      <c r="O161" s="324"/>
    </row>
    <row r="162" spans="1:15" ht="13.5" thickTop="1">
      <c r="A162" s="6"/>
      <c r="B162" s="5" t="s">
        <v>99</v>
      </c>
      <c r="C162" s="6"/>
      <c r="D162" s="6"/>
      <c r="E162" s="108"/>
      <c r="F162" s="416">
        <v>500</v>
      </c>
      <c r="G162" s="332">
        <f>F162/$C$3</f>
        <v>0.2564102564102564</v>
      </c>
      <c r="H162" s="376">
        <v>0</v>
      </c>
      <c r="I162" s="332">
        <f>H162*G162</f>
        <v>0</v>
      </c>
      <c r="L162" s="323"/>
      <c r="M162" s="323"/>
      <c r="N162" s="326"/>
      <c r="O162" s="324"/>
    </row>
    <row r="163" spans="1:15" ht="13.5" thickBot="1">
      <c r="A163" s="6"/>
      <c r="B163" s="5" t="s">
        <v>97</v>
      </c>
      <c r="C163" s="6"/>
      <c r="D163" s="6"/>
      <c r="E163" s="108"/>
      <c r="F163" s="417">
        <v>1100</v>
      </c>
      <c r="G163" s="332">
        <f>F163/$C$3</f>
        <v>0.5641025641025641</v>
      </c>
      <c r="H163" s="377">
        <v>0</v>
      </c>
      <c r="I163" s="332">
        <f>H163*G163</f>
        <v>0</v>
      </c>
      <c r="L163" s="323"/>
      <c r="M163" s="323"/>
      <c r="N163" s="326"/>
      <c r="O163" s="324"/>
    </row>
    <row r="164" spans="1:15" ht="13.5" thickTop="1">
      <c r="A164" s="6"/>
      <c r="B164" s="6"/>
      <c r="C164" s="6"/>
      <c r="D164" s="6"/>
      <c r="E164" s="108"/>
      <c r="F164" s="331"/>
      <c r="G164" s="332" t="s">
        <v>12</v>
      </c>
      <c r="H164" s="323"/>
      <c r="I164" s="323"/>
      <c r="L164" s="323"/>
      <c r="M164" s="323"/>
      <c r="N164" s="326"/>
      <c r="O164" s="324"/>
    </row>
    <row r="165" spans="1:15" ht="15.75">
      <c r="A165" s="137" t="s">
        <v>155</v>
      </c>
      <c r="B165" s="6"/>
      <c r="C165" s="6"/>
      <c r="D165" s="6"/>
      <c r="E165" s="108"/>
      <c r="F165" s="331"/>
      <c r="G165" s="332" t="s">
        <v>12</v>
      </c>
      <c r="H165" s="8" t="s">
        <v>224</v>
      </c>
      <c r="I165" s="8" t="s">
        <v>224</v>
      </c>
      <c r="L165" s="323"/>
      <c r="M165" s="323"/>
      <c r="N165" s="326"/>
      <c r="O165" s="324"/>
    </row>
    <row r="166" spans="1:15" ht="13.5" thickBot="1">
      <c r="A166" s="6"/>
      <c r="B166" s="5" t="s">
        <v>100</v>
      </c>
      <c r="C166" s="5" t="s">
        <v>101</v>
      </c>
      <c r="D166" s="5" t="s">
        <v>102</v>
      </c>
      <c r="E166" s="5" t="s">
        <v>11</v>
      </c>
      <c r="F166" s="331"/>
      <c r="G166" s="332"/>
      <c r="H166" s="8" t="s">
        <v>35</v>
      </c>
      <c r="I166" s="8" t="s">
        <v>36</v>
      </c>
      <c r="L166" s="323"/>
      <c r="M166" s="323"/>
      <c r="N166" s="326"/>
      <c r="O166" s="324"/>
    </row>
    <row r="167" spans="1:15" ht="13.5" thickTop="1">
      <c r="A167" s="67" t="s">
        <v>122</v>
      </c>
      <c r="B167" s="487" t="s">
        <v>285</v>
      </c>
      <c r="C167" s="488">
        <v>0</v>
      </c>
      <c r="D167" s="489">
        <v>0</v>
      </c>
      <c r="E167" s="71">
        <f aca="true" t="shared" si="18" ref="E167:E176">C167*D167</f>
        <v>0</v>
      </c>
      <c r="F167" s="331"/>
      <c r="G167" s="332"/>
      <c r="H167" s="375">
        <v>0</v>
      </c>
      <c r="I167" s="332">
        <f>E167/$C$3*H167*($E$113-$E$115)</f>
        <v>0</v>
      </c>
      <c r="L167" s="323"/>
      <c r="M167" s="323">
        <f aca="true" t="shared" si="19" ref="M167:M176">E167</f>
        <v>0</v>
      </c>
      <c r="N167" s="326"/>
      <c r="O167" s="324"/>
    </row>
    <row r="168" spans="1:15" ht="12.75">
      <c r="A168" s="64"/>
      <c r="B168" s="490" t="s">
        <v>286</v>
      </c>
      <c r="C168" s="491">
        <v>0</v>
      </c>
      <c r="D168" s="492">
        <v>0</v>
      </c>
      <c r="E168" s="71">
        <f t="shared" si="18"/>
        <v>0</v>
      </c>
      <c r="F168" s="331"/>
      <c r="G168" s="332"/>
      <c r="H168" s="376">
        <v>0</v>
      </c>
      <c r="I168" s="332">
        <f aca="true" t="shared" si="20" ref="I168:I176">E168/$C$3*H168*($E$113-$E$115)</f>
        <v>0</v>
      </c>
      <c r="L168" s="323"/>
      <c r="M168" s="323">
        <f t="shared" si="19"/>
        <v>0</v>
      </c>
      <c r="N168" s="326"/>
      <c r="O168" s="324"/>
    </row>
    <row r="169" spans="1:15" ht="12.75">
      <c r="A169" s="64"/>
      <c r="B169" s="403" t="s">
        <v>287</v>
      </c>
      <c r="C169" s="427">
        <v>0</v>
      </c>
      <c r="D169" s="428">
        <v>0</v>
      </c>
      <c r="E169" s="71">
        <f t="shared" si="18"/>
        <v>0</v>
      </c>
      <c r="F169" s="331"/>
      <c r="G169" s="332"/>
      <c r="H169" s="376">
        <v>0</v>
      </c>
      <c r="I169" s="332">
        <f t="shared" si="20"/>
        <v>0</v>
      </c>
      <c r="L169" s="323"/>
      <c r="M169" s="323">
        <f t="shared" si="19"/>
        <v>0</v>
      </c>
      <c r="N169" s="326"/>
      <c r="O169" s="324"/>
    </row>
    <row r="170" spans="1:15" ht="12.75">
      <c r="A170" s="64"/>
      <c r="B170" s="403" t="s">
        <v>270</v>
      </c>
      <c r="C170" s="427">
        <v>0</v>
      </c>
      <c r="D170" s="428">
        <v>0</v>
      </c>
      <c r="E170" s="71">
        <f t="shared" si="18"/>
        <v>0</v>
      </c>
      <c r="F170" s="331"/>
      <c r="G170" s="332"/>
      <c r="H170" s="376">
        <v>0</v>
      </c>
      <c r="I170" s="332">
        <f t="shared" si="20"/>
        <v>0</v>
      </c>
      <c r="L170" s="323"/>
      <c r="M170" s="323">
        <f t="shared" si="19"/>
        <v>0</v>
      </c>
      <c r="N170" s="326"/>
      <c r="O170" s="324"/>
    </row>
    <row r="171" spans="1:15" ht="12.75">
      <c r="A171" s="64"/>
      <c r="B171" s="403" t="s">
        <v>103</v>
      </c>
      <c r="C171" s="427">
        <v>0</v>
      </c>
      <c r="D171" s="428">
        <v>0</v>
      </c>
      <c r="E171" s="71">
        <f t="shared" si="18"/>
        <v>0</v>
      </c>
      <c r="F171" s="331"/>
      <c r="G171" s="332"/>
      <c r="H171" s="376">
        <v>0</v>
      </c>
      <c r="I171" s="332">
        <f t="shared" si="20"/>
        <v>0</v>
      </c>
      <c r="L171" s="323"/>
      <c r="M171" s="323">
        <f t="shared" si="19"/>
        <v>0</v>
      </c>
      <c r="N171" s="326"/>
      <c r="O171" s="324"/>
    </row>
    <row r="172" spans="1:15" ht="12.75">
      <c r="A172" s="64"/>
      <c r="B172" s="403"/>
      <c r="C172" s="427"/>
      <c r="D172" s="428"/>
      <c r="E172" s="71">
        <f t="shared" si="18"/>
        <v>0</v>
      </c>
      <c r="F172" s="331"/>
      <c r="G172" s="332"/>
      <c r="H172" s="376">
        <v>0</v>
      </c>
      <c r="I172" s="332">
        <f t="shared" si="20"/>
        <v>0</v>
      </c>
      <c r="L172" s="323"/>
      <c r="M172" s="323">
        <f t="shared" si="19"/>
        <v>0</v>
      </c>
      <c r="N172" s="326"/>
      <c r="O172" s="324"/>
    </row>
    <row r="173" spans="1:15" ht="12.75">
      <c r="A173" s="64"/>
      <c r="B173" s="403"/>
      <c r="C173" s="427"/>
      <c r="D173" s="428"/>
      <c r="E173" s="71">
        <f t="shared" si="18"/>
        <v>0</v>
      </c>
      <c r="F173" s="331"/>
      <c r="G173" s="332"/>
      <c r="H173" s="376">
        <v>0</v>
      </c>
      <c r="I173" s="332">
        <f t="shared" si="20"/>
        <v>0</v>
      </c>
      <c r="L173" s="323"/>
      <c r="M173" s="323">
        <f t="shared" si="19"/>
        <v>0</v>
      </c>
      <c r="N173" s="326"/>
      <c r="O173" s="324"/>
    </row>
    <row r="174" spans="1:15" ht="12.75">
      <c r="A174" s="64"/>
      <c r="B174" s="429"/>
      <c r="C174" s="430"/>
      <c r="D174" s="412"/>
      <c r="E174" s="71">
        <f t="shared" si="18"/>
        <v>0</v>
      </c>
      <c r="F174" s="331"/>
      <c r="G174" s="332"/>
      <c r="H174" s="376">
        <v>0</v>
      </c>
      <c r="I174" s="332">
        <f t="shared" si="20"/>
        <v>0</v>
      </c>
      <c r="L174" s="323"/>
      <c r="M174" s="323">
        <f t="shared" si="19"/>
        <v>0</v>
      </c>
      <c r="N174" s="326"/>
      <c r="O174" s="324"/>
    </row>
    <row r="175" spans="1:15" ht="12.75">
      <c r="A175" s="64"/>
      <c r="B175" s="429"/>
      <c r="C175" s="430"/>
      <c r="D175" s="412"/>
      <c r="E175" s="71">
        <f t="shared" si="18"/>
        <v>0</v>
      </c>
      <c r="F175" s="331"/>
      <c r="G175" s="332"/>
      <c r="H175" s="376">
        <v>0</v>
      </c>
      <c r="I175" s="332">
        <f t="shared" si="20"/>
        <v>0</v>
      </c>
      <c r="L175" s="323"/>
      <c r="M175" s="323">
        <f t="shared" si="19"/>
        <v>0</v>
      </c>
      <c r="N175" s="326"/>
      <c r="O175" s="324"/>
    </row>
    <row r="176" spans="1:15" ht="13.5" thickBot="1">
      <c r="A176" s="64"/>
      <c r="B176" s="431"/>
      <c r="C176" s="432"/>
      <c r="D176" s="415"/>
      <c r="E176" s="71">
        <f t="shared" si="18"/>
        <v>0</v>
      </c>
      <c r="F176" s="331"/>
      <c r="G176" s="332"/>
      <c r="H176" s="377">
        <v>0</v>
      </c>
      <c r="I176" s="332">
        <f t="shared" si="20"/>
        <v>0</v>
      </c>
      <c r="L176" s="323"/>
      <c r="M176" s="323">
        <f t="shared" si="19"/>
        <v>0</v>
      </c>
      <c r="N176" s="326"/>
      <c r="O176" s="324"/>
    </row>
    <row r="177" spans="1:15" ht="14.25" thickBot="1" thickTop="1">
      <c r="A177" s="65"/>
      <c r="B177" s="13"/>
      <c r="C177" s="13"/>
      <c r="D177" s="5" t="s">
        <v>18</v>
      </c>
      <c r="E177" s="59">
        <f>SUM(E167:E176)</f>
        <v>0</v>
      </c>
      <c r="F177" s="331"/>
      <c r="G177" s="332"/>
      <c r="H177" s="8"/>
      <c r="I177" s="8"/>
      <c r="L177" s="323"/>
      <c r="M177" s="323"/>
      <c r="N177" s="326"/>
      <c r="O177" s="324"/>
    </row>
    <row r="178" spans="1:15" ht="14.25" thickBot="1" thickTop="1">
      <c r="A178" s="314" t="s">
        <v>295</v>
      </c>
      <c r="B178" s="5" t="s">
        <v>95</v>
      </c>
      <c r="C178" s="6"/>
      <c r="D178" s="6"/>
      <c r="E178" s="108"/>
      <c r="F178" s="345">
        <f>E177*(E113-E115)</f>
        <v>0</v>
      </c>
      <c r="G178" s="332">
        <f>F178/$C$3</f>
        <v>0</v>
      </c>
      <c r="H178" s="375">
        <v>0</v>
      </c>
      <c r="I178" s="332">
        <f>H178*G178</f>
        <v>0</v>
      </c>
      <c r="L178" s="323"/>
      <c r="M178" s="323"/>
      <c r="N178" s="326"/>
      <c r="O178" s="324"/>
    </row>
    <row r="179" spans="1:15" ht="14.25" thickBot="1" thickTop="1">
      <c r="A179" s="63"/>
      <c r="B179" s="5" t="s">
        <v>104</v>
      </c>
      <c r="C179" s="6"/>
      <c r="D179" s="6"/>
      <c r="E179" s="108"/>
      <c r="F179" s="346">
        <v>1250</v>
      </c>
      <c r="G179" s="332">
        <f>F179/$C$3</f>
        <v>0.6410256410256411</v>
      </c>
      <c r="H179" s="377">
        <v>0</v>
      </c>
      <c r="I179" s="332">
        <f>H179*G179</f>
        <v>0</v>
      </c>
      <c r="L179" s="323"/>
      <c r="M179" s="323"/>
      <c r="N179" s="326"/>
      <c r="O179" s="324"/>
    </row>
    <row r="180" spans="1:15" ht="13.5" thickTop="1">
      <c r="A180" s="6"/>
      <c r="B180" s="6" t="s">
        <v>293</v>
      </c>
      <c r="C180" s="6"/>
      <c r="D180" s="6"/>
      <c r="E180" s="108"/>
      <c r="F180" s="9"/>
      <c r="G180" s="10" t="s">
        <v>12</v>
      </c>
      <c r="H180" s="108"/>
      <c r="I180" s="108"/>
      <c r="L180" s="323"/>
      <c r="M180" s="323"/>
      <c r="N180" s="326"/>
      <c r="O180" s="324"/>
    </row>
    <row r="181" spans="1:15" ht="12.75">
      <c r="A181" s="108"/>
      <c r="B181" s="6"/>
      <c r="C181" s="6"/>
      <c r="D181" s="6"/>
      <c r="E181" s="108"/>
      <c r="F181" s="9"/>
      <c r="G181" s="10" t="s">
        <v>12</v>
      </c>
      <c r="H181" s="108"/>
      <c r="I181" s="108"/>
      <c r="L181" s="323"/>
      <c r="M181" s="323"/>
      <c r="N181" s="326"/>
      <c r="O181" s="324"/>
    </row>
    <row r="182" spans="1:15" ht="15.75">
      <c r="A182" s="137" t="s">
        <v>227</v>
      </c>
      <c r="B182" s="6"/>
      <c r="C182" s="6"/>
      <c r="D182" s="6"/>
      <c r="E182" s="108"/>
      <c r="F182" s="9"/>
      <c r="G182" s="11"/>
      <c r="H182" s="108"/>
      <c r="I182" s="108"/>
      <c r="L182" s="323"/>
      <c r="M182" s="323"/>
      <c r="N182" s="326"/>
      <c r="O182" s="324"/>
    </row>
    <row r="183" spans="1:15" ht="12.75">
      <c r="A183" s="6"/>
      <c r="B183" s="6"/>
      <c r="C183" s="8" t="s">
        <v>81</v>
      </c>
      <c r="D183" s="8" t="s">
        <v>82</v>
      </c>
      <c r="E183" s="8" t="s">
        <v>83</v>
      </c>
      <c r="F183" s="8" t="s">
        <v>84</v>
      </c>
      <c r="G183" s="8" t="s">
        <v>32</v>
      </c>
      <c r="H183" s="8" t="s">
        <v>224</v>
      </c>
      <c r="I183" s="8" t="s">
        <v>224</v>
      </c>
      <c r="L183" s="323"/>
      <c r="M183" s="323"/>
      <c r="N183" s="326"/>
      <c r="O183" s="324"/>
    </row>
    <row r="184" spans="1:15" ht="13.5" thickBot="1">
      <c r="A184" s="5" t="s">
        <v>85</v>
      </c>
      <c r="B184" s="5" t="s">
        <v>86</v>
      </c>
      <c r="C184" s="8" t="s">
        <v>87</v>
      </c>
      <c r="D184" s="8" t="s">
        <v>88</v>
      </c>
      <c r="E184" s="8" t="s">
        <v>32</v>
      </c>
      <c r="F184" s="61" t="s">
        <v>85</v>
      </c>
      <c r="G184" s="8" t="s">
        <v>17</v>
      </c>
      <c r="H184" s="8" t="s">
        <v>35</v>
      </c>
      <c r="I184" s="8" t="s">
        <v>36</v>
      </c>
      <c r="L184" s="323"/>
      <c r="M184" s="323"/>
      <c r="N184" s="326"/>
      <c r="O184" s="324"/>
    </row>
    <row r="185" spans="1:15" ht="14.25" thickBot="1" thickTop="1">
      <c r="A185" s="544" t="s">
        <v>296</v>
      </c>
      <c r="B185" s="465" t="s">
        <v>228</v>
      </c>
      <c r="C185" s="500">
        <f>1950/35*200</f>
        <v>11142.857142857143</v>
      </c>
      <c r="D185" s="433">
        <v>4</v>
      </c>
      <c r="E185" s="434">
        <f>1950/35*50</f>
        <v>2785.714285714286</v>
      </c>
      <c r="F185" s="343">
        <f>(C185-E185)/IF(D185=0,1,D185)</f>
        <v>2089.285714285714</v>
      </c>
      <c r="G185" s="332">
        <f>F185/$C$3</f>
        <v>1.0714285714285714</v>
      </c>
      <c r="H185" s="375">
        <v>0</v>
      </c>
      <c r="I185" s="332">
        <f>H185*G185</f>
        <v>0</v>
      </c>
      <c r="L185" s="323"/>
      <c r="M185" s="323">
        <f>C185</f>
        <v>11142.857142857143</v>
      </c>
      <c r="N185" s="324"/>
      <c r="O185" s="324"/>
    </row>
    <row r="186" spans="1:15" ht="14.25" thickBot="1" thickTop="1">
      <c r="A186" s="544"/>
      <c r="B186" s="467" t="s">
        <v>229</v>
      </c>
      <c r="C186" s="501">
        <f>C3*C5</f>
        <v>117000</v>
      </c>
      <c r="D186" s="468">
        <v>0</v>
      </c>
      <c r="E186" s="435">
        <v>0</v>
      </c>
      <c r="F186" s="343">
        <f>IF(D186=0,0,((C186-E186)/D186))</f>
        <v>0</v>
      </c>
      <c r="G186" s="332">
        <f>F186/$C$3</f>
        <v>0</v>
      </c>
      <c r="H186" s="376">
        <v>0</v>
      </c>
      <c r="I186" s="332">
        <f>H186*G186</f>
        <v>0</v>
      </c>
      <c r="L186" s="323"/>
      <c r="M186" s="323">
        <f>C186</f>
        <v>117000</v>
      </c>
      <c r="N186" s="324"/>
      <c r="O186" s="324"/>
    </row>
    <row r="187" spans="1:15" ht="14.25" thickBot="1" thickTop="1">
      <c r="A187" s="64"/>
      <c r="B187" s="466" t="s">
        <v>356</v>
      </c>
      <c r="C187" s="502">
        <v>0</v>
      </c>
      <c r="D187" s="414">
        <v>0</v>
      </c>
      <c r="E187" s="415">
        <v>0</v>
      </c>
      <c r="F187" s="343">
        <f>(C187-E187)/IF(D187=0,1,D187)</f>
        <v>0</v>
      </c>
      <c r="G187" s="332">
        <f>F187/$C$3</f>
        <v>0</v>
      </c>
      <c r="H187" s="377">
        <v>0</v>
      </c>
      <c r="I187" s="332">
        <f>H187*G187</f>
        <v>0</v>
      </c>
      <c r="L187" s="323"/>
      <c r="M187" s="325">
        <f>C187</f>
        <v>0</v>
      </c>
      <c r="N187" s="324"/>
      <c r="O187" s="324"/>
    </row>
    <row r="188" spans="1:15" ht="13.5" thickTop="1">
      <c r="A188" s="314" t="s">
        <v>294</v>
      </c>
      <c r="B188" s="12" t="s">
        <v>15</v>
      </c>
      <c r="C188" s="59">
        <f>SUM(C185:C187)</f>
        <v>128142.85714285714</v>
      </c>
      <c r="D188" s="60"/>
      <c r="E188" s="59">
        <f>SUM(E185:E187)</f>
        <v>2785.714285714286</v>
      </c>
      <c r="F188" s="61"/>
      <c r="G188" s="332"/>
      <c r="H188" s="323"/>
      <c r="I188" s="323"/>
      <c r="L188" s="323" t="s">
        <v>302</v>
      </c>
      <c r="M188" s="323">
        <f>SUM(M130:M187)</f>
        <v>164142.85714285716</v>
      </c>
      <c r="N188" s="326"/>
      <c r="O188" s="326"/>
    </row>
    <row r="189" spans="1:12" ht="13.5" thickBot="1">
      <c r="A189" s="65"/>
      <c r="B189" s="6"/>
      <c r="C189" s="60"/>
      <c r="D189" s="60"/>
      <c r="E189" s="110"/>
      <c r="F189" s="61"/>
      <c r="G189" s="332"/>
      <c r="H189" s="323"/>
      <c r="I189" s="323"/>
      <c r="J189" s="108"/>
      <c r="K189" s="108"/>
      <c r="L189" s="108"/>
    </row>
    <row r="190" spans="1:12" ht="14.25" thickBot="1" thickTop="1">
      <c r="A190" s="314" t="s">
        <v>295</v>
      </c>
      <c r="B190" s="5" t="s">
        <v>95</v>
      </c>
      <c r="C190" s="6"/>
      <c r="D190" s="6"/>
      <c r="E190" s="108"/>
      <c r="F190" s="345">
        <f>((SUM(C185:C187)+SUM(E185:E187))/2)*($E$113-$E$115)</f>
        <v>3927.857142857143</v>
      </c>
      <c r="G190" s="332">
        <f>F190/$C$3</f>
        <v>2.0142857142857142</v>
      </c>
      <c r="H190" s="375">
        <v>0</v>
      </c>
      <c r="I190" s="332">
        <f>H190*G190</f>
        <v>0</v>
      </c>
      <c r="J190" s="108"/>
      <c r="K190" s="108"/>
      <c r="L190" s="108"/>
    </row>
    <row r="191" spans="1:12" ht="14.25" thickBot="1" thickTop="1">
      <c r="A191" s="104"/>
      <c r="B191" s="5" t="s">
        <v>105</v>
      </c>
      <c r="C191" s="6"/>
      <c r="D191" s="6"/>
      <c r="E191" s="108"/>
      <c r="F191" s="346">
        <v>1000</v>
      </c>
      <c r="G191" s="332">
        <f>F191/$C$3</f>
        <v>0.5128205128205128</v>
      </c>
      <c r="H191" s="377">
        <v>0</v>
      </c>
      <c r="I191" s="332">
        <f>H191*G191</f>
        <v>0</v>
      </c>
      <c r="J191" s="108"/>
      <c r="K191" s="108"/>
      <c r="L191" s="108"/>
    </row>
    <row r="192" spans="1:12" ht="13.5" thickTop="1">
      <c r="A192" s="108"/>
      <c r="B192" s="6"/>
      <c r="C192" s="6"/>
      <c r="D192" s="6"/>
      <c r="E192" s="108"/>
      <c r="F192" s="331"/>
      <c r="G192" s="332" t="s">
        <v>12</v>
      </c>
      <c r="H192" s="323"/>
      <c r="I192" s="323"/>
      <c r="J192" s="108"/>
      <c r="K192" s="108"/>
      <c r="L192" s="108"/>
    </row>
    <row r="193" spans="1:12" ht="12.75">
      <c r="A193" s="6"/>
      <c r="B193" s="6"/>
      <c r="C193" s="6"/>
      <c r="D193" s="6"/>
      <c r="E193" s="108"/>
      <c r="F193" s="9"/>
      <c r="G193" s="11"/>
      <c r="H193" s="8" t="s">
        <v>224</v>
      </c>
      <c r="I193" s="8" t="s">
        <v>106</v>
      </c>
      <c r="J193" s="108"/>
      <c r="K193" s="108"/>
      <c r="L193" s="108"/>
    </row>
    <row r="194" spans="1:12" ht="15.75">
      <c r="A194" s="31" t="s">
        <v>107</v>
      </c>
      <c r="B194" s="32"/>
      <c r="C194" s="32"/>
      <c r="D194" s="32"/>
      <c r="E194" s="28"/>
      <c r="F194" s="33">
        <f>SUM(F129:F191)</f>
        <v>13459.285714285714</v>
      </c>
      <c r="G194" s="34">
        <f>F194/$C$3</f>
        <v>6.902197802197802</v>
      </c>
      <c r="H194" s="8" t="s">
        <v>108</v>
      </c>
      <c r="I194" s="8" t="s">
        <v>109</v>
      </c>
      <c r="J194" s="108"/>
      <c r="K194" s="108"/>
      <c r="L194" s="108"/>
    </row>
    <row r="195" spans="1:12" ht="12.75">
      <c r="A195" s="53"/>
      <c r="B195" s="54" t="s">
        <v>110</v>
      </c>
      <c r="C195" s="55"/>
      <c r="D195" s="112"/>
      <c r="E195" s="112"/>
      <c r="F195" s="56">
        <f>F194+F118</f>
        <v>160846.0857142857</v>
      </c>
      <c r="G195" s="57">
        <f>F195/$C$3</f>
        <v>82.48517216117216</v>
      </c>
      <c r="H195" s="8" t="s">
        <v>111</v>
      </c>
      <c r="I195" s="8" t="s">
        <v>111</v>
      </c>
      <c r="J195" s="108"/>
      <c r="K195" s="108"/>
      <c r="L195" s="108"/>
    </row>
    <row r="196" spans="1:12" ht="12.75">
      <c r="A196" s="5" t="s">
        <v>230</v>
      </c>
      <c r="B196" s="108"/>
      <c r="C196" s="108"/>
      <c r="D196" s="108"/>
      <c r="E196" s="108"/>
      <c r="F196" s="234">
        <f>$H$26-$F$195-$H$24</f>
        <v>238982.66428571427</v>
      </c>
      <c r="G196" s="235">
        <f>$F$196/$C$3</f>
        <v>122.55521245421245</v>
      </c>
      <c r="H196" s="91">
        <f>SUM(I130:I191)-SUM(I167:I176)</f>
        <v>0</v>
      </c>
      <c r="I196" s="92">
        <f>G194-H196</f>
        <v>6.902197802197802</v>
      </c>
      <c r="J196" s="108"/>
      <c r="K196" s="108"/>
      <c r="L196" s="108"/>
    </row>
    <row r="197" spans="1:12" ht="12.75">
      <c r="A197" s="5" t="s">
        <v>231</v>
      </c>
      <c r="B197" s="6"/>
      <c r="C197" s="6"/>
      <c r="D197" s="6"/>
      <c r="E197" s="108"/>
      <c r="F197" s="234">
        <f>$H$26-$F$195</f>
        <v>277105.1642857143</v>
      </c>
      <c r="G197" s="235">
        <f>$F$197/$C$3</f>
        <v>142.10521245421245</v>
      </c>
      <c r="H197" s="108"/>
      <c r="I197" s="119"/>
      <c r="J197" s="119"/>
      <c r="K197" s="108"/>
      <c r="L197" s="108"/>
    </row>
    <row r="198" spans="1:12" ht="14.25">
      <c r="A198" s="313" t="s">
        <v>291</v>
      </c>
      <c r="B198" s="311"/>
      <c r="C198" s="311"/>
      <c r="D198" s="311"/>
      <c r="E198" s="312"/>
      <c r="F198" s="312"/>
      <c r="G198" s="312"/>
      <c r="H198" s="312"/>
      <c r="I198" s="307"/>
      <c r="J198" s="119"/>
      <c r="K198" s="108"/>
      <c r="L198" s="108"/>
    </row>
    <row r="199" spans="1:12" ht="51">
      <c r="A199" s="322" t="s">
        <v>299</v>
      </c>
      <c r="B199" s="118"/>
      <c r="C199" s="118"/>
      <c r="D199" s="157" t="s">
        <v>133</v>
      </c>
      <c r="E199" s="115"/>
      <c r="F199" s="518" t="s">
        <v>158</v>
      </c>
      <c r="G199" s="518" t="s">
        <v>159</v>
      </c>
      <c r="I199" s="119"/>
      <c r="J199" s="119"/>
      <c r="K199" s="108"/>
      <c r="L199" s="108"/>
    </row>
    <row r="200" spans="1:12" ht="12.75">
      <c r="A200" s="5" t="s">
        <v>232</v>
      </c>
      <c r="B200" s="108"/>
      <c r="C200" s="108"/>
      <c r="D200" s="120">
        <f>(H121+H196)/G195</f>
        <v>0</v>
      </c>
      <c r="E200" s="115"/>
      <c r="F200" s="519"/>
      <c r="G200" s="519"/>
      <c r="I200" s="119"/>
      <c r="J200" s="119"/>
      <c r="K200" s="108"/>
      <c r="L200" s="108"/>
    </row>
    <row r="201" spans="1:12" ht="12.75">
      <c r="A201" s="5" t="s">
        <v>131</v>
      </c>
      <c r="B201" s="108"/>
      <c r="C201" s="108"/>
      <c r="D201" s="120">
        <f>(I121+I196)/G195</f>
        <v>1</v>
      </c>
      <c r="E201" s="115"/>
      <c r="F201" s="519"/>
      <c r="G201" s="519"/>
      <c r="I201" s="119"/>
      <c r="J201" s="119"/>
      <c r="K201" s="108"/>
      <c r="L201" s="108"/>
    </row>
    <row r="202" spans="1:12" ht="12.75">
      <c r="A202" s="108"/>
      <c r="B202" s="108"/>
      <c r="C202" s="5" t="s">
        <v>156</v>
      </c>
      <c r="D202" s="121">
        <f>SUM(D200:D201)</f>
        <v>1</v>
      </c>
      <c r="F202" s="520"/>
      <c r="G202" s="520"/>
      <c r="I202" s="119"/>
      <c r="J202" s="119"/>
      <c r="K202" s="108"/>
      <c r="L202" s="108"/>
    </row>
    <row r="203" spans="1:12" ht="18.75">
      <c r="A203" s="547" t="s">
        <v>123</v>
      </c>
      <c r="B203" s="547"/>
      <c r="C203" s="547"/>
      <c r="D203" s="6"/>
      <c r="E203" s="108"/>
      <c r="F203" s="38">
        <f>(($E$11*$F$11/$F$18)+($E$12*$F$12/$F$18))*100</f>
        <v>175</v>
      </c>
      <c r="G203" s="114">
        <f>($F$11+$F$12)/($C$11+$C$12)</f>
        <v>91.60925449871465</v>
      </c>
      <c r="I203" s="119"/>
      <c r="J203" s="119"/>
      <c r="K203" s="108"/>
      <c r="L203" s="108"/>
    </row>
    <row r="204" spans="1:12" ht="12.75">
      <c r="A204" s="5"/>
      <c r="B204" s="6"/>
      <c r="C204" s="6"/>
      <c r="D204" s="6"/>
      <c r="E204" s="108"/>
      <c r="F204" s="108"/>
      <c r="G204" s="108"/>
      <c r="H204" s="108"/>
      <c r="I204" s="119"/>
      <c r="J204" s="119"/>
      <c r="K204" s="108"/>
      <c r="L204" s="108"/>
    </row>
    <row r="205" spans="1:12" ht="12.75">
      <c r="A205" s="5"/>
      <c r="B205" s="6"/>
      <c r="C205" s="6"/>
      <c r="D205" s="6"/>
      <c r="E205" s="108"/>
      <c r="F205" s="108"/>
      <c r="G205" s="108"/>
      <c r="H205" s="108"/>
      <c r="I205" s="119"/>
      <c r="J205" s="119"/>
      <c r="K205" s="108"/>
      <c r="L205" s="108"/>
    </row>
    <row r="206" spans="1:12" ht="18.75">
      <c r="A206" s="288" t="s">
        <v>233</v>
      </c>
      <c r="B206" s="288"/>
      <c r="C206" s="288"/>
      <c r="D206" s="288"/>
      <c r="E206" s="288"/>
      <c r="F206" s="288"/>
      <c r="G206" s="288"/>
      <c r="H206" s="289"/>
      <c r="I206" s="108"/>
      <c r="J206" s="119"/>
      <c r="K206" s="108"/>
      <c r="L206" s="108"/>
    </row>
    <row r="207" spans="1:12" ht="12.75" customHeight="1">
      <c r="A207" s="102" t="s">
        <v>305</v>
      </c>
      <c r="B207" s="289"/>
      <c r="C207" s="289"/>
      <c r="D207" s="289"/>
      <c r="E207" s="289"/>
      <c r="F207" s="289"/>
      <c r="G207" s="289"/>
      <c r="H207" s="289"/>
      <c r="I207" s="108"/>
      <c r="J207" s="119"/>
      <c r="K207" s="108"/>
      <c r="L207" s="108"/>
    </row>
    <row r="208" spans="1:12" ht="12.75" customHeight="1">
      <c r="A208" s="102" t="s">
        <v>306</v>
      </c>
      <c r="B208" s="289"/>
      <c r="C208" s="289"/>
      <c r="D208" s="289"/>
      <c r="E208" s="289"/>
      <c r="F208" s="289"/>
      <c r="G208" s="289"/>
      <c r="H208" s="289"/>
      <c r="I208" s="108"/>
      <c r="J208" s="119"/>
      <c r="K208" s="108"/>
      <c r="L208" s="108"/>
    </row>
    <row r="209" spans="1:12" ht="12.75" customHeight="1">
      <c r="A209" s="102" t="s">
        <v>307</v>
      </c>
      <c r="B209" s="289"/>
      <c r="C209" s="289"/>
      <c r="D209" s="289"/>
      <c r="E209" s="289"/>
      <c r="F209" s="289"/>
      <c r="G209" s="289"/>
      <c r="H209" s="289"/>
      <c r="I209" s="108"/>
      <c r="J209" s="119"/>
      <c r="K209" s="108"/>
      <c r="L209" s="108"/>
    </row>
    <row r="210" spans="1:12" ht="12.75" customHeight="1">
      <c r="A210" s="102" t="s">
        <v>308</v>
      </c>
      <c r="B210" s="102"/>
      <c r="C210" s="102"/>
      <c r="D210" s="102"/>
      <c r="E210" s="155"/>
      <c r="F210" s="279"/>
      <c r="G210" s="156"/>
      <c r="I210" s="108"/>
      <c r="J210" s="119"/>
      <c r="K210" s="108"/>
      <c r="L210" s="108"/>
    </row>
    <row r="211" spans="2:12" ht="12.75" customHeight="1" thickBot="1">
      <c r="B211" s="102"/>
      <c r="C211" s="142" t="s">
        <v>309</v>
      </c>
      <c r="D211" s="102"/>
      <c r="E211" s="126"/>
      <c r="F211" s="126"/>
      <c r="G211" s="126" t="s">
        <v>310</v>
      </c>
      <c r="I211" s="108"/>
      <c r="J211" s="119"/>
      <c r="K211" s="108"/>
      <c r="L211" s="108"/>
    </row>
    <row r="212" spans="1:12" ht="13.5" thickTop="1">
      <c r="A212" s="102" t="s">
        <v>317</v>
      </c>
      <c r="B212" s="102"/>
      <c r="C212" s="453" t="s">
        <v>311</v>
      </c>
      <c r="D212" s="150"/>
      <c r="E212" s="126"/>
      <c r="F212" s="150" t="s">
        <v>312</v>
      </c>
      <c r="G212" s="462" t="s">
        <v>313</v>
      </c>
      <c r="I212" s="108"/>
      <c r="J212" s="119"/>
      <c r="K212" s="108"/>
      <c r="L212" s="108"/>
    </row>
    <row r="213" spans="1:12" ht="13.5" thickBot="1">
      <c r="A213" s="106" t="s">
        <v>318</v>
      </c>
      <c r="B213" s="102"/>
      <c r="C213" s="455" t="s">
        <v>311</v>
      </c>
      <c r="E213" s="150"/>
      <c r="F213" s="150" t="s">
        <v>312</v>
      </c>
      <c r="G213" s="464" t="s">
        <v>314</v>
      </c>
      <c r="I213" s="108"/>
      <c r="J213" s="119"/>
      <c r="K213" s="108"/>
      <c r="L213" s="108"/>
    </row>
    <row r="214" spans="1:12" ht="13.5" thickTop="1">
      <c r="A214" s="436" t="s">
        <v>316</v>
      </c>
      <c r="B214" s="102"/>
      <c r="C214" s="102"/>
      <c r="D214" s="102"/>
      <c r="E214" s="150"/>
      <c r="F214" s="437" t="s">
        <v>315</v>
      </c>
      <c r="G214" s="126"/>
      <c r="H214" s="126"/>
      <c r="I214" s="108"/>
      <c r="J214" s="119"/>
      <c r="K214" s="108"/>
      <c r="L214" s="108"/>
    </row>
    <row r="215" spans="7:12" ht="15.75">
      <c r="G215" s="97"/>
      <c r="H215" s="515" t="s">
        <v>235</v>
      </c>
      <c r="I215" s="516"/>
      <c r="J215" s="516"/>
      <c r="K215" s="517"/>
      <c r="L215" s="108"/>
    </row>
    <row r="216" spans="1:17" ht="18.75">
      <c r="A216" s="241" t="s">
        <v>174</v>
      </c>
      <c r="B216" s="58"/>
      <c r="C216" s="141"/>
      <c r="D216" s="59"/>
      <c r="E216" s="25"/>
      <c r="F216" s="115"/>
      <c r="G216" s="97"/>
      <c r="H216" s="536" t="s">
        <v>160</v>
      </c>
      <c r="I216" s="537"/>
      <c r="J216" s="529" t="s">
        <v>161</v>
      </c>
      <c r="K216" s="530"/>
      <c r="L216" s="108"/>
      <c r="P216" s="78"/>
      <c r="Q216" s="115"/>
    </row>
    <row r="217" spans="4:17" ht="15.75">
      <c r="D217" s="186"/>
      <c r="E217" s="186"/>
      <c r="F217" s="97"/>
      <c r="G217" s="97"/>
      <c r="H217" s="207" t="s">
        <v>236</v>
      </c>
      <c r="I217" s="207" t="s">
        <v>132</v>
      </c>
      <c r="J217" s="207" t="s">
        <v>236</v>
      </c>
      <c r="K217" s="207" t="s">
        <v>132</v>
      </c>
      <c r="L217" s="108"/>
      <c r="P217" s="78"/>
      <c r="Q217" s="115"/>
    </row>
    <row r="218" spans="1:16" ht="15.75">
      <c r="A218" s="539" t="s">
        <v>297</v>
      </c>
      <c r="B218" s="539"/>
      <c r="C218" s="539"/>
      <c r="D218" s="186"/>
      <c r="E218" s="186"/>
      <c r="F218" s="97"/>
      <c r="G218" s="97"/>
      <c r="H218" s="184" t="s">
        <v>168</v>
      </c>
      <c r="I218" s="184" t="s">
        <v>166</v>
      </c>
      <c r="J218" s="184" t="s">
        <v>168</v>
      </c>
      <c r="K218" s="184" t="s">
        <v>166</v>
      </c>
      <c r="L218" s="108"/>
      <c r="O218" s="78"/>
      <c r="P218" s="115"/>
    </row>
    <row r="219" spans="1:16" ht="18.75">
      <c r="A219" s="186"/>
      <c r="B219" s="186"/>
      <c r="C219" s="186"/>
      <c r="D219" s="531" t="s">
        <v>234</v>
      </c>
      <c r="E219" s="532"/>
      <c r="F219" s="532"/>
      <c r="G219" s="533"/>
      <c r="H219" s="310" t="s">
        <v>169</v>
      </c>
      <c r="I219" s="184" t="s">
        <v>167</v>
      </c>
      <c r="J219" s="184" t="s">
        <v>169</v>
      </c>
      <c r="K219" s="184" t="s">
        <v>167</v>
      </c>
      <c r="L219" s="108"/>
      <c r="O219" s="267" t="s">
        <v>160</v>
      </c>
      <c r="P219" s="269" t="s">
        <v>190</v>
      </c>
    </row>
    <row r="220" spans="1:16" ht="12.75">
      <c r="A220" s="108"/>
      <c r="B220" s="108"/>
      <c r="C220" s="108"/>
      <c r="D220" s="536" t="s">
        <v>160</v>
      </c>
      <c r="E220" s="537"/>
      <c r="F220" s="529" t="s">
        <v>161</v>
      </c>
      <c r="G220" s="530"/>
      <c r="H220" s="191" t="s">
        <v>170</v>
      </c>
      <c r="I220" s="185" t="s">
        <v>165</v>
      </c>
      <c r="J220" s="191" t="s">
        <v>170</v>
      </c>
      <c r="K220" s="185" t="s">
        <v>165</v>
      </c>
      <c r="L220" s="108"/>
      <c r="O220" s="61">
        <f aca="true" t="shared" si="21" ref="O220:O225">D222</f>
        <v>192465</v>
      </c>
      <c r="P220" s="106" t="s">
        <v>271</v>
      </c>
    </row>
    <row r="221" spans="1:16" ht="19.5" thickBot="1">
      <c r="A221" s="438" t="s">
        <v>193</v>
      </c>
      <c r="B221" s="270"/>
      <c r="C221" s="271"/>
      <c r="D221" s="194" t="s">
        <v>18</v>
      </c>
      <c r="E221" s="193" t="s">
        <v>17</v>
      </c>
      <c r="F221" s="194" t="s">
        <v>18</v>
      </c>
      <c r="G221" s="195" t="s">
        <v>17</v>
      </c>
      <c r="H221" s="219">
        <f>D200</f>
        <v>0</v>
      </c>
      <c r="I221" s="220">
        <f>D201</f>
        <v>1</v>
      </c>
      <c r="J221" s="213">
        <f>D200</f>
        <v>0</v>
      </c>
      <c r="K221" s="214">
        <f>D201</f>
        <v>1</v>
      </c>
      <c r="L221" s="108"/>
      <c r="O221" s="61">
        <f t="shared" si="21"/>
        <v>119350</v>
      </c>
      <c r="P221" s="106" t="s">
        <v>202</v>
      </c>
    </row>
    <row r="222" spans="1:16" ht="12.75">
      <c r="A222" s="102" t="s">
        <v>201</v>
      </c>
      <c r="B222" s="102"/>
      <c r="C222" s="102"/>
      <c r="D222" s="187">
        <f>$H$11</f>
        <v>192465</v>
      </c>
      <c r="E222" s="188">
        <f aca="true" t="shared" si="22" ref="E222:E228">D222/$C$3</f>
        <v>98.7</v>
      </c>
      <c r="F222" s="187">
        <f>$H$11</f>
        <v>192465</v>
      </c>
      <c r="G222" s="188">
        <f aca="true" t="shared" si="23" ref="G222:G228">F222/$C$3</f>
        <v>98.7</v>
      </c>
      <c r="H222" s="290">
        <f>$H$221*D222</f>
        <v>0</v>
      </c>
      <c r="I222" s="290">
        <f>$I$221*D222</f>
        <v>192465</v>
      </c>
      <c r="J222" s="290">
        <f>$H$221*F222</f>
        <v>0</v>
      </c>
      <c r="K222" s="290">
        <f>$I$221*F222</f>
        <v>192465</v>
      </c>
      <c r="L222" s="108"/>
      <c r="O222" s="61">
        <f t="shared" si="21"/>
        <v>44100</v>
      </c>
      <c r="P222" s="106" t="s">
        <v>237</v>
      </c>
    </row>
    <row r="223" spans="1:16" ht="12.75">
      <c r="A223" s="102" t="s">
        <v>202</v>
      </c>
      <c r="B223" s="102"/>
      <c r="C223" s="102"/>
      <c r="D223" s="187">
        <f>$H$12</f>
        <v>119350</v>
      </c>
      <c r="E223" s="188">
        <f t="shared" si="22"/>
        <v>61.205128205128204</v>
      </c>
      <c r="F223" s="187">
        <f>$H$12</f>
        <v>119350</v>
      </c>
      <c r="G223" s="188">
        <f t="shared" si="23"/>
        <v>61.205128205128204</v>
      </c>
      <c r="H223" s="253">
        <f>$H$221*D223</f>
        <v>0</v>
      </c>
      <c r="I223" s="253">
        <f>$I$221*D223</f>
        <v>119350</v>
      </c>
      <c r="J223" s="253">
        <f>$H$221*F223</f>
        <v>0</v>
      </c>
      <c r="K223" s="253">
        <f>$I$221*F223</f>
        <v>119350</v>
      </c>
      <c r="L223" s="108"/>
      <c r="O223" s="61">
        <f t="shared" si="21"/>
        <v>0</v>
      </c>
      <c r="P223" s="106" t="s">
        <v>238</v>
      </c>
    </row>
    <row r="224" spans="1:16" ht="12.75">
      <c r="A224" s="102" t="s">
        <v>237</v>
      </c>
      <c r="B224" s="102"/>
      <c r="C224" s="102"/>
      <c r="D224" s="187">
        <f>$H$13</f>
        <v>44100</v>
      </c>
      <c r="E224" s="188">
        <f t="shared" si="22"/>
        <v>22.615384615384617</v>
      </c>
      <c r="F224" s="187">
        <f>$H$13</f>
        <v>44100</v>
      </c>
      <c r="G224" s="188">
        <f t="shared" si="23"/>
        <v>22.615384615384617</v>
      </c>
      <c r="H224" s="291">
        <f>IF($C$212="y",$D$224*$D$200,IF($G$212="o",$D$224,0))</f>
        <v>0</v>
      </c>
      <c r="I224" s="291">
        <f>IF($C$212="y",$D$224*$D$201,IF($G$212="t",$D$224,0))</f>
        <v>44100</v>
      </c>
      <c r="J224" s="291">
        <f>IF(D200=0,0,$D$224)</f>
        <v>0</v>
      </c>
      <c r="K224" s="460">
        <f>IF(D200=0,F224,0)</f>
        <v>44100</v>
      </c>
      <c r="L224" s="108"/>
      <c r="O224" s="61">
        <f t="shared" si="21"/>
        <v>700</v>
      </c>
      <c r="P224" s="106" t="s">
        <v>239</v>
      </c>
    </row>
    <row r="225" spans="1:16" ht="12.75">
      <c r="A225" s="102" t="s">
        <v>238</v>
      </c>
      <c r="B225" s="102"/>
      <c r="C225" s="102"/>
      <c r="D225" s="187">
        <f>$H$14</f>
        <v>0</v>
      </c>
      <c r="E225" s="188">
        <f t="shared" si="22"/>
        <v>0</v>
      </c>
      <c r="F225" s="187">
        <f>$H$14</f>
        <v>0</v>
      </c>
      <c r="G225" s="188">
        <f t="shared" si="23"/>
        <v>0</v>
      </c>
      <c r="H225" s="253">
        <f>$H$221*D225</f>
        <v>0</v>
      </c>
      <c r="I225" s="253">
        <f>$I$221*D225</f>
        <v>0</v>
      </c>
      <c r="J225" s="253">
        <f>$H$221*F225</f>
        <v>0</v>
      </c>
      <c r="K225" s="253">
        <f>$I$221*F225</f>
        <v>0</v>
      </c>
      <c r="L225" s="108"/>
      <c r="O225" s="225">
        <f t="shared" si="21"/>
        <v>43875</v>
      </c>
      <c r="P225" s="106" t="s">
        <v>278</v>
      </c>
    </row>
    <row r="226" spans="1:16" ht="12.75">
      <c r="A226" s="102" t="s">
        <v>239</v>
      </c>
      <c r="B226" s="102"/>
      <c r="C226" s="102"/>
      <c r="D226" s="187">
        <f>$H$16</f>
        <v>700</v>
      </c>
      <c r="E226" s="188">
        <f t="shared" si="22"/>
        <v>0.358974358974359</v>
      </c>
      <c r="F226" s="187">
        <f>$H$16</f>
        <v>700</v>
      </c>
      <c r="G226" s="188">
        <f t="shared" si="23"/>
        <v>0.358974358974359</v>
      </c>
      <c r="H226" s="291">
        <f>IF($C$213="y",$D$226*$D$200,IF($G$213="o",$D$226,0))</f>
        <v>0</v>
      </c>
      <c r="I226" s="291">
        <f>IF($C$213="y",$D$226*$D$201,IF($G$213="t",$D$226,0))</f>
        <v>700</v>
      </c>
      <c r="J226" s="291">
        <f>IF(D200=0,0,$D$226)</f>
        <v>0</v>
      </c>
      <c r="K226" s="460">
        <f>IF(D200=0,F226,0)</f>
        <v>700</v>
      </c>
      <c r="L226" s="108"/>
      <c r="O226" s="61">
        <f>D229</f>
        <v>38122.5</v>
      </c>
      <c r="P226" s="107" t="s">
        <v>272</v>
      </c>
    </row>
    <row r="227" spans="1:16" ht="13.5" thickBot="1">
      <c r="A227" s="102" t="s">
        <v>276</v>
      </c>
      <c r="B227" s="102"/>
      <c r="C227" s="102"/>
      <c r="D227" s="293">
        <f>$H$15</f>
        <v>43875</v>
      </c>
      <c r="E227" s="294">
        <f t="shared" si="22"/>
        <v>22.5</v>
      </c>
      <c r="F227" s="293">
        <f>$H$15</f>
        <v>43875</v>
      </c>
      <c r="G227" s="294">
        <f>F227/$C$3</f>
        <v>22.5</v>
      </c>
      <c r="H227" s="255">
        <f>$H$221*D227</f>
        <v>0</v>
      </c>
      <c r="I227" s="255">
        <f>$I$221*D227</f>
        <v>43875</v>
      </c>
      <c r="J227" s="255">
        <f>$H$221*F227</f>
        <v>0</v>
      </c>
      <c r="K227" s="255">
        <f>$I$221*F227</f>
        <v>43875</v>
      </c>
      <c r="L227" s="108"/>
      <c r="O227" s="61">
        <f>D230</f>
        <v>-661.25</v>
      </c>
      <c r="P227" s="107" t="s">
        <v>27</v>
      </c>
    </row>
    <row r="228" spans="1:12" ht="13.5" thickTop="1">
      <c r="A228" s="102"/>
      <c r="B228" s="102"/>
      <c r="C228" s="150" t="s">
        <v>240</v>
      </c>
      <c r="D228" s="439">
        <f>SUM(D222:D227)</f>
        <v>400490</v>
      </c>
      <c r="E228" s="440">
        <f t="shared" si="22"/>
        <v>205.37948717948717</v>
      </c>
      <c r="F228" s="439">
        <f>SUM(F222:F227)</f>
        <v>400490</v>
      </c>
      <c r="G228" s="440">
        <f t="shared" si="23"/>
        <v>205.37948717948717</v>
      </c>
      <c r="H228" s="441">
        <f>SUM(H222:H227)</f>
        <v>0</v>
      </c>
      <c r="I228" s="441">
        <f>SUM(I222:I227)</f>
        <v>400490</v>
      </c>
      <c r="J228" s="259">
        <f>SUM(J222:J227)</f>
        <v>0</v>
      </c>
      <c r="K228" s="259">
        <f>SUM(K222:K227)</f>
        <v>400490</v>
      </c>
      <c r="L228" s="108"/>
    </row>
    <row r="229" spans="1:12" ht="12.75">
      <c r="A229" s="5" t="s">
        <v>241</v>
      </c>
      <c r="B229" s="108"/>
      <c r="C229" s="108"/>
      <c r="D229" s="187">
        <f>$H$24</f>
        <v>38122.5</v>
      </c>
      <c r="E229" s="189">
        <f>$H$24/$C$3</f>
        <v>19.55</v>
      </c>
      <c r="F229" s="192"/>
      <c r="G229" s="196"/>
      <c r="H229" s="291">
        <f>IF($C$212="y",$D$229*$D$200,IF($G$212="o",$D$229,0))</f>
        <v>0</v>
      </c>
      <c r="I229" s="291">
        <f>IF($C$212="y",$D$229*$D$201,IF($G$212="t",$D$229,0))</f>
        <v>38122.5</v>
      </c>
      <c r="J229" s="215"/>
      <c r="K229" s="206"/>
      <c r="L229" s="108"/>
    </row>
    <row r="230" spans="1:12" ht="13.5" thickBot="1">
      <c r="A230" s="5" t="s">
        <v>112</v>
      </c>
      <c r="B230" s="108"/>
      <c r="C230" s="108"/>
      <c r="D230" s="202">
        <f>$H$25</f>
        <v>-661.25</v>
      </c>
      <c r="E230" s="203">
        <f>$H$25/$C$3</f>
        <v>-0.3391025641025641</v>
      </c>
      <c r="F230" s="204"/>
      <c r="G230" s="205"/>
      <c r="H230" s="292">
        <f>IF($C$212="N",$D$230,$D$230*$D$200)</f>
        <v>0</v>
      </c>
      <c r="I230" s="292">
        <f>IF($C$212="N",0,$D$230*$D$201)</f>
        <v>-661.25</v>
      </c>
      <c r="J230" s="240"/>
      <c r="K230" s="239"/>
      <c r="L230" s="108"/>
    </row>
    <row r="231" spans="1:12" ht="14.25" thickBot="1" thickTop="1">
      <c r="A231" s="58" t="s">
        <v>162</v>
      </c>
      <c r="B231" s="110"/>
      <c r="C231" s="110"/>
      <c r="D231" s="209">
        <f>SUM(D228:D230)</f>
        <v>437951.25</v>
      </c>
      <c r="E231" s="210">
        <f>$I$26</f>
        <v>224.5903846153846</v>
      </c>
      <c r="F231" s="209">
        <f>F228</f>
        <v>400490</v>
      </c>
      <c r="G231" s="211">
        <f>F231/$C$3</f>
        <v>205.37948717948717</v>
      </c>
      <c r="H231" s="208">
        <f>SUM(H228:H230)</f>
        <v>0</v>
      </c>
      <c r="I231" s="212">
        <f>SUM(I228:I230)</f>
        <v>437951.25</v>
      </c>
      <c r="J231" s="221">
        <f>SUM(J228:J230)</f>
        <v>0</v>
      </c>
      <c r="K231" s="222">
        <f>SUM(K228:K230)</f>
        <v>400490</v>
      </c>
      <c r="L231" s="108"/>
    </row>
    <row r="232" spans="1:16" ht="14.25" thickBot="1" thickTop="1">
      <c r="A232" s="58"/>
      <c r="B232" s="110"/>
      <c r="C232" s="201"/>
      <c r="D232" s="230"/>
      <c r="E232" s="231"/>
      <c r="F232" s="232"/>
      <c r="G232" s="233" t="s">
        <v>172</v>
      </c>
      <c r="H232" s="216">
        <f>H231/D231</f>
        <v>0</v>
      </c>
      <c r="I232" s="217">
        <f>I231/D231</f>
        <v>1</v>
      </c>
      <c r="J232" s="218">
        <f>J231/F231</f>
        <v>0</v>
      </c>
      <c r="K232" s="217">
        <f>K231/F231</f>
        <v>1</v>
      </c>
      <c r="L232" s="108"/>
      <c r="O232" s="267" t="s">
        <v>160</v>
      </c>
      <c r="P232" s="268" t="s">
        <v>185</v>
      </c>
    </row>
    <row r="233" spans="1:16" ht="12.75">
      <c r="A233" s="58"/>
      <c r="B233" s="110"/>
      <c r="C233" s="201"/>
      <c r="D233" s="190"/>
      <c r="E233" s="242"/>
      <c r="F233" s="198"/>
      <c r="G233" s="243"/>
      <c r="H233" s="244"/>
      <c r="I233" s="244"/>
      <c r="J233" s="245"/>
      <c r="K233" s="244"/>
      <c r="L233" s="108"/>
      <c r="O233" s="246">
        <f>$F$74</f>
        <v>90160</v>
      </c>
      <c r="P233" s="58" t="s">
        <v>187</v>
      </c>
    </row>
    <row r="234" spans="1:16" ht="12.75">
      <c r="A234" s="58" t="s">
        <v>184</v>
      </c>
      <c r="B234" s="110"/>
      <c r="C234" s="201"/>
      <c r="D234" s="536" t="s">
        <v>160</v>
      </c>
      <c r="E234" s="537"/>
      <c r="F234" s="529" t="s">
        <v>161</v>
      </c>
      <c r="G234" s="530"/>
      <c r="H234" s="536" t="s">
        <v>160</v>
      </c>
      <c r="I234" s="537"/>
      <c r="J234" s="529" t="s">
        <v>161</v>
      </c>
      <c r="K234" s="530"/>
      <c r="L234" s="108"/>
      <c r="O234" s="246">
        <f>SUM($F$77:$F$90)</f>
        <v>42100</v>
      </c>
      <c r="P234" s="58" t="s">
        <v>186</v>
      </c>
    </row>
    <row r="235" spans="1:16" ht="12.75">
      <c r="A235" s="58" t="s">
        <v>175</v>
      </c>
      <c r="B235" s="110"/>
      <c r="C235" s="201"/>
      <c r="D235" s="249">
        <f>$F$74</f>
        <v>90160</v>
      </c>
      <c r="E235" s="250">
        <f>$G$74</f>
        <v>46.23589743589744</v>
      </c>
      <c r="F235" s="249">
        <f>$F$74</f>
        <v>90160</v>
      </c>
      <c r="G235" s="250">
        <f>$G$74</f>
        <v>46.23589743589744</v>
      </c>
      <c r="H235" s="253">
        <f>$I$74*$C$3</f>
        <v>0</v>
      </c>
      <c r="I235" s="253">
        <f>D235-H235</f>
        <v>90160</v>
      </c>
      <c r="J235" s="253">
        <f>$I$74*$C$3</f>
        <v>0</v>
      </c>
      <c r="K235" s="253">
        <f>F235-J235</f>
        <v>90160</v>
      </c>
      <c r="L235" s="108"/>
      <c r="O235" s="246">
        <f>SUM($F$92:$F$106)</f>
        <v>8780</v>
      </c>
      <c r="P235" s="58" t="s">
        <v>188</v>
      </c>
    </row>
    <row r="236" spans="1:16" ht="12.75">
      <c r="A236" s="58" t="s">
        <v>176</v>
      </c>
      <c r="B236" s="110"/>
      <c r="C236" s="201"/>
      <c r="D236" s="249">
        <f>SUM($F$77:$F$90)</f>
        <v>42100</v>
      </c>
      <c r="E236" s="250">
        <f>SUM($G$77:$G$90)</f>
        <v>21.589743589743588</v>
      </c>
      <c r="F236" s="246">
        <f>SUM($F$77:$F$90)</f>
        <v>42100</v>
      </c>
      <c r="G236" s="250">
        <f>SUM($G$77:$G$90)</f>
        <v>21.589743589743588</v>
      </c>
      <c r="H236" s="249">
        <f>SUM($I$77:$I$90)*$C$3</f>
        <v>0</v>
      </c>
      <c r="I236" s="253">
        <f>D236-H236</f>
        <v>42100</v>
      </c>
      <c r="J236" s="249">
        <f>SUM($I$77:$I$90)*$C$3</f>
        <v>0</v>
      </c>
      <c r="K236" s="253">
        <f>F236-J236</f>
        <v>42100</v>
      </c>
      <c r="L236" s="108"/>
      <c r="O236" s="246">
        <f>$F$116</f>
        <v>6346.799999999999</v>
      </c>
      <c r="P236" s="58" t="s">
        <v>189</v>
      </c>
    </row>
    <row r="237" spans="1:16" ht="12.75">
      <c r="A237" s="58" t="s">
        <v>177</v>
      </c>
      <c r="B237" s="110"/>
      <c r="C237" s="201"/>
      <c r="D237" s="249">
        <f>SUM($F$92:$F$106)</f>
        <v>8780</v>
      </c>
      <c r="E237" s="250">
        <f>SUM($G$92:$G$106)</f>
        <v>4.5025641025641026</v>
      </c>
      <c r="F237" s="246">
        <f>SUM($F$92:$F$106)</f>
        <v>8780</v>
      </c>
      <c r="G237" s="250">
        <f>SUM($G$92:$G$106)</f>
        <v>4.5025641025641026</v>
      </c>
      <c r="H237" s="249">
        <f>SUM($I$92:$I$106)*$C$3</f>
        <v>0</v>
      </c>
      <c r="I237" s="253">
        <f>D237-H237</f>
        <v>8780</v>
      </c>
      <c r="J237" s="249">
        <f>SUM($I$92:$I$106)*$C$3</f>
        <v>0</v>
      </c>
      <c r="K237" s="253">
        <f>F237-J237</f>
        <v>8780</v>
      </c>
      <c r="L237" s="108"/>
      <c r="O237" s="197">
        <f>SUM($F$130:$F$141)+SUM($F$151:$F$158)+$F$185+$F$187+$F$186</f>
        <v>3971.4285714285716</v>
      </c>
      <c r="P237" s="6" t="s">
        <v>85</v>
      </c>
    </row>
    <row r="238" spans="1:16" ht="13.5" thickBot="1">
      <c r="A238" s="58" t="s">
        <v>178</v>
      </c>
      <c r="B238" s="110"/>
      <c r="C238" s="201"/>
      <c r="D238" s="251">
        <f>$F$116</f>
        <v>6346.799999999999</v>
      </c>
      <c r="E238" s="252">
        <f>G116</f>
        <v>3.2547692307692304</v>
      </c>
      <c r="F238" s="247"/>
      <c r="G238" s="272"/>
      <c r="H238" s="251">
        <f>$I$116*$C$3</f>
        <v>0</v>
      </c>
      <c r="I238" s="255">
        <f>D238-H238</f>
        <v>6346.799999999999</v>
      </c>
      <c r="J238" s="247"/>
      <c r="K238" s="272"/>
      <c r="L238" s="108"/>
      <c r="O238" s="197">
        <f>$F$146+$F$163</f>
        <v>1300</v>
      </c>
      <c r="P238" s="6" t="s">
        <v>97</v>
      </c>
    </row>
    <row r="239" spans="1:16" ht="13.5" thickTop="1">
      <c r="A239" s="5" t="s">
        <v>163</v>
      </c>
      <c r="B239" s="6"/>
      <c r="C239" s="6"/>
      <c r="D239" s="260">
        <f>F118</f>
        <v>147386.8</v>
      </c>
      <c r="E239" s="261">
        <f>G118</f>
        <v>75.58297435897435</v>
      </c>
      <c r="F239" s="262">
        <f>$F$118-$F$116</f>
        <v>141040</v>
      </c>
      <c r="G239" s="263">
        <f>F239/$C$3</f>
        <v>72.32820512820513</v>
      </c>
      <c r="H239" s="265">
        <f>SUM(H235:H238)</f>
        <v>0</v>
      </c>
      <c r="I239" s="266">
        <f>SUM(I235:I238)</f>
        <v>147386.8</v>
      </c>
      <c r="J239" s="265">
        <f>SUM(J235:J238)</f>
        <v>0</v>
      </c>
      <c r="K239" s="265">
        <f>SUM(K235:K238)</f>
        <v>141040</v>
      </c>
      <c r="L239" s="108"/>
      <c r="O239" s="197">
        <f>$F$145+$F$162+$F$179+$F$191</f>
        <v>2850</v>
      </c>
      <c r="P239" s="6" t="s">
        <v>179</v>
      </c>
    </row>
    <row r="240" spans="1:16" ht="12.75">
      <c r="A240" s="6"/>
      <c r="C240" s="12" t="s">
        <v>277</v>
      </c>
      <c r="D240" s="298">
        <f>F119</f>
        <v>252441.95</v>
      </c>
      <c r="E240" s="301">
        <f>G119</f>
        <v>129.45741025641027</v>
      </c>
      <c r="F240" s="298">
        <f>$F$231-$F$239</f>
        <v>259450</v>
      </c>
      <c r="G240" s="301">
        <f>$G$231-$G$239</f>
        <v>133.05128205128204</v>
      </c>
      <c r="H240" s="299">
        <f>H231-H239-H229</f>
        <v>0</v>
      </c>
      <c r="I240" s="299">
        <f>I231-I239-I229</f>
        <v>252441.95</v>
      </c>
      <c r="J240" s="299">
        <f>J231-J239</f>
        <v>0</v>
      </c>
      <c r="K240" s="298">
        <f>K231-K239</f>
        <v>259450</v>
      </c>
      <c r="L240" s="108"/>
      <c r="O240" s="197">
        <f>$F$144+$F$161+$F$178+$F$190</f>
        <v>5337.857142857143</v>
      </c>
      <c r="P240" s="6" t="s">
        <v>191</v>
      </c>
    </row>
    <row r="241" spans="1:15" ht="12.75">
      <c r="A241" s="6" t="s">
        <v>180</v>
      </c>
      <c r="B241" s="5"/>
      <c r="C241" s="6"/>
      <c r="D241" s="253"/>
      <c r="E241" s="254"/>
      <c r="F241" s="259"/>
      <c r="G241" s="264"/>
      <c r="H241" s="257"/>
      <c r="I241" s="257"/>
      <c r="J241" s="257"/>
      <c r="K241" s="259"/>
      <c r="L241" s="108"/>
      <c r="O241" s="198"/>
    </row>
    <row r="242" spans="1:16" ht="12.75">
      <c r="A242" s="6" t="s">
        <v>181</v>
      </c>
      <c r="B242" s="5"/>
      <c r="C242" s="6"/>
      <c r="D242" s="253">
        <f>SUM($F$130:$F$141)+SUM($F$151:$F$158)+$F$185+$F$186+$F$187</f>
        <v>3971.4285714285716</v>
      </c>
      <c r="E242" s="254">
        <f>SUM(G130:G141)+SUM(G151:G158)+G185+G186+G187</f>
        <v>2.0366300366300365</v>
      </c>
      <c r="F242" s="248"/>
      <c r="G242" s="273"/>
      <c r="H242" s="253">
        <f>(SUM($I$130:$I$141)+SUM($I$151:$I$158)+$I$185+$I$186+$I$187)*$C$3</f>
        <v>0</v>
      </c>
      <c r="I242" s="257">
        <f>D242-H242</f>
        <v>3971.4285714285716</v>
      </c>
      <c r="J242" s="248"/>
      <c r="K242" s="273"/>
      <c r="L242" s="108"/>
      <c r="O242" s="267" t="s">
        <v>161</v>
      </c>
      <c r="P242" s="268" t="s">
        <v>185</v>
      </c>
    </row>
    <row r="243" spans="1:16" ht="12.75">
      <c r="A243" s="6" t="s">
        <v>182</v>
      </c>
      <c r="B243" s="5"/>
      <c r="C243" s="6"/>
      <c r="D243" s="253">
        <f>$F$146+$F$163</f>
        <v>1300</v>
      </c>
      <c r="E243" s="254">
        <f>$G$146+$G$163</f>
        <v>0.6666666666666666</v>
      </c>
      <c r="F243" s="197">
        <f>$F$146+$F$163</f>
        <v>1300</v>
      </c>
      <c r="G243" s="254">
        <f>$G$146+$G$163</f>
        <v>0.6666666666666666</v>
      </c>
      <c r="H243" s="257">
        <f>($I$146+$I$163)*$C$3</f>
        <v>0</v>
      </c>
      <c r="I243" s="257">
        <f>D243-H243</f>
        <v>1300</v>
      </c>
      <c r="J243" s="253">
        <f>($I$146+$I$163)*$C$3</f>
        <v>0</v>
      </c>
      <c r="K243" s="259">
        <f>F243-J243</f>
        <v>1300</v>
      </c>
      <c r="L243" s="108"/>
      <c r="O243" s="246">
        <f>$F$74</f>
        <v>90160</v>
      </c>
      <c r="P243" s="58" t="s">
        <v>187</v>
      </c>
    </row>
    <row r="244" spans="1:16" ht="12.75">
      <c r="A244" s="6" t="s">
        <v>183</v>
      </c>
      <c r="B244" s="5"/>
      <c r="C244" s="6"/>
      <c r="D244" s="253">
        <f>$F$145+$F$162+$F$179+$F$191</f>
        <v>2850</v>
      </c>
      <c r="E244" s="254">
        <f>$G$145+$G$162+$G$179+$G$191</f>
        <v>1.4615384615384615</v>
      </c>
      <c r="F244" s="197">
        <f>$F$145+$F$162+$F$179+$F$191</f>
        <v>2850</v>
      </c>
      <c r="G244" s="254">
        <f>$G$145+$G$162+$G$179+$G$191</f>
        <v>1.4615384615384615</v>
      </c>
      <c r="H244" s="253">
        <f>($I$145+$I$162+$I$179+$I$191)*$C$3</f>
        <v>0</v>
      </c>
      <c r="I244" s="257">
        <f>D244-H244</f>
        <v>2850</v>
      </c>
      <c r="J244" s="253">
        <f>($I$145+$I$162+$I$179+$I$191)*$C$3</f>
        <v>0</v>
      </c>
      <c r="K244" s="259">
        <f>F244-J244</f>
        <v>2850</v>
      </c>
      <c r="L244" s="108"/>
      <c r="O244" s="246">
        <f>SUM($F$77:$F$90)</f>
        <v>42100</v>
      </c>
      <c r="P244" s="58" t="s">
        <v>186</v>
      </c>
    </row>
    <row r="245" spans="1:16" ht="13.5" thickBot="1">
      <c r="A245" s="6" t="s">
        <v>192</v>
      </c>
      <c r="B245" s="5"/>
      <c r="C245" s="6"/>
      <c r="D245" s="255">
        <f>$F$144+$F$161+$F$178+$F$190</f>
        <v>5337.857142857143</v>
      </c>
      <c r="E245" s="256">
        <f>G144+G161+G178+G190</f>
        <v>2.7373626373626374</v>
      </c>
      <c r="F245" s="247"/>
      <c r="G245" s="272"/>
      <c r="H245" s="255">
        <f>(I144+I161+I178+I190)*$C$3</f>
        <v>0</v>
      </c>
      <c r="I245" s="258">
        <f>D245-H245</f>
        <v>5337.857142857143</v>
      </c>
      <c r="J245" s="247"/>
      <c r="K245" s="272"/>
      <c r="L245" s="108"/>
      <c r="O245" s="246">
        <f>SUM($F$92:$F$106)</f>
        <v>8780</v>
      </c>
      <c r="P245" s="58" t="s">
        <v>188</v>
      </c>
    </row>
    <row r="246" spans="1:16" ht="13.5" thickTop="1">
      <c r="A246" s="5" t="s">
        <v>107</v>
      </c>
      <c r="B246" s="13"/>
      <c r="C246" s="108"/>
      <c r="D246" s="187">
        <f>F194</f>
        <v>13459.285714285714</v>
      </c>
      <c r="E246" s="189">
        <f>G194</f>
        <v>6.902197802197802</v>
      </c>
      <c r="F246" s="181">
        <f>($F$194-SUM($F$130:$F$141)-$F$144-SUM($F$151:$F$158)-$F$161-$F$178-$F$185-$F$187-$F$190)</f>
        <v>4150</v>
      </c>
      <c r="G246" s="188">
        <f>F246/$C$3</f>
        <v>2.128205128205128</v>
      </c>
      <c r="H246" s="225">
        <f>F194*(H196/G194)</f>
        <v>0</v>
      </c>
      <c r="I246" s="226">
        <f>F194*(I196/G194)</f>
        <v>13459.285714285714</v>
      </c>
      <c r="J246" s="181">
        <f>($I$145+$I$146+$I$162+$I$163+$I$179+$I$186+$I$191)*$C$3</f>
        <v>0</v>
      </c>
      <c r="K246" s="168">
        <f>F246-J246</f>
        <v>4150</v>
      </c>
      <c r="L246" s="108"/>
      <c r="O246" s="197">
        <f>$F$146+$F$163</f>
        <v>1300</v>
      </c>
      <c r="P246" s="6" t="s">
        <v>97</v>
      </c>
    </row>
    <row r="247" spans="1:16" ht="12.75">
      <c r="A247" s="5" t="s">
        <v>164</v>
      </c>
      <c r="B247" s="6"/>
      <c r="C247" s="108"/>
      <c r="D247" s="187">
        <f>F195</f>
        <v>160846.0857142857</v>
      </c>
      <c r="E247" s="189">
        <f>G195</f>
        <v>82.48517216117216</v>
      </c>
      <c r="F247" s="181">
        <f>$F$118-$F$116+($F$194-SUM($F$130:$F$141)-$F$144-SUM($F$151:$F$158)-$F$161-$F$178-$F$185-$F$187-$F$190)</f>
        <v>145190</v>
      </c>
      <c r="G247" s="189">
        <f>$F$247/$C$3</f>
        <v>74.45641025641025</v>
      </c>
      <c r="H247" s="225">
        <f>(I74+I108+I116+SUM(I130:I192)-SUM(I167:I176))*C3</f>
        <v>0</v>
      </c>
      <c r="I247" s="226">
        <f>I239+I246</f>
        <v>160846.0857142857</v>
      </c>
      <c r="J247" s="227">
        <f>J239+J246</f>
        <v>0</v>
      </c>
      <c r="K247" s="168">
        <f>K239+K246</f>
        <v>145190</v>
      </c>
      <c r="L247" s="108"/>
      <c r="O247" s="197">
        <f>$F$145+$F$162+$F$179+$F$191</f>
        <v>2850</v>
      </c>
      <c r="P247" s="6" t="s">
        <v>179</v>
      </c>
    </row>
    <row r="248" spans="1:12" ht="12.75">
      <c r="A248" s="5"/>
      <c r="B248" s="6"/>
      <c r="C248" s="108"/>
      <c r="D248" s="187"/>
      <c r="E248" s="189"/>
      <c r="F248" s="181"/>
      <c r="G248" s="189"/>
      <c r="H248" s="126"/>
      <c r="I248" s="168"/>
      <c r="J248" s="228"/>
      <c r="K248" s="229"/>
      <c r="L248" s="108"/>
    </row>
    <row r="249" spans="1:12" ht="13.5" thickBot="1">
      <c r="A249" s="5" t="s">
        <v>171</v>
      </c>
      <c r="B249" s="6"/>
      <c r="C249" s="108"/>
      <c r="D249" s="461">
        <f>D231-D247</f>
        <v>277105.1642857143</v>
      </c>
      <c r="E249" s="300">
        <f>G197</f>
        <v>142.10521245421245</v>
      </c>
      <c r="F249" s="297">
        <f aca="true" t="shared" si="24" ref="F249:K249">F231-F247</f>
        <v>255300</v>
      </c>
      <c r="G249" s="302">
        <f t="shared" si="24"/>
        <v>130.9230769230769</v>
      </c>
      <c r="H249" s="295">
        <f t="shared" si="24"/>
        <v>0</v>
      </c>
      <c r="I249" s="296">
        <f t="shared" si="24"/>
        <v>277105.1642857143</v>
      </c>
      <c r="J249" s="295">
        <f t="shared" si="24"/>
        <v>0</v>
      </c>
      <c r="K249" s="296">
        <f t="shared" si="24"/>
        <v>255300</v>
      </c>
      <c r="L249" s="108"/>
    </row>
    <row r="250" spans="1:12" ht="13.5" thickTop="1">
      <c r="A250" s="545" t="s">
        <v>354</v>
      </c>
      <c r="B250" s="545"/>
      <c r="C250" s="546"/>
      <c r="D250" s="462">
        <v>30000</v>
      </c>
      <c r="F250" s="319"/>
      <c r="G250" s="320"/>
      <c r="H250" s="527" t="s">
        <v>304</v>
      </c>
      <c r="I250" s="527"/>
      <c r="J250" s="318"/>
      <c r="K250" s="318"/>
      <c r="L250" s="108"/>
    </row>
    <row r="251" spans="1:12" ht="13.5" thickBot="1">
      <c r="A251" s="545" t="s">
        <v>355</v>
      </c>
      <c r="B251" s="545"/>
      <c r="C251" s="546"/>
      <c r="D251" s="463">
        <v>0.4</v>
      </c>
      <c r="E251" s="128"/>
      <c r="F251" s="128"/>
      <c r="G251" s="172"/>
      <c r="H251" s="128"/>
      <c r="I251" s="173"/>
      <c r="J251" s="223"/>
      <c r="K251" s="224"/>
      <c r="L251" s="108"/>
    </row>
    <row r="252" spans="1:12" ht="13.5" thickTop="1">
      <c r="A252" s="509" t="s">
        <v>298</v>
      </c>
      <c r="B252" s="509"/>
      <c r="C252" s="509"/>
      <c r="D252" s="321">
        <f>($D$249+$F$116+$F$144+$F$161+$F$178+$F$190-(D250*D251))/M188</f>
        <v>1.6862739338555264</v>
      </c>
      <c r="E252" s="172"/>
      <c r="F252" s="128"/>
      <c r="G252" s="172"/>
      <c r="H252" s="128"/>
      <c r="I252" s="126"/>
      <c r="J252" s="223"/>
      <c r="K252" s="224"/>
      <c r="L252" s="108"/>
    </row>
    <row r="253" spans="1:12" ht="18.75">
      <c r="A253" s="241"/>
      <c r="B253" s="6"/>
      <c r="C253" s="115"/>
      <c r="D253" s="197"/>
      <c r="E253" s="172"/>
      <c r="F253" s="128"/>
      <c r="G253" s="172"/>
      <c r="H253" s="128"/>
      <c r="I253" s="126"/>
      <c r="J253" s="223"/>
      <c r="K253" s="224"/>
      <c r="L253" s="108"/>
    </row>
    <row r="254" spans="1:12" ht="12.75">
      <c r="A254" s="5"/>
      <c r="B254" s="6"/>
      <c r="C254" s="107"/>
      <c r="D254" s="197"/>
      <c r="J254" s="119"/>
      <c r="K254" s="108"/>
      <c r="L254" s="108"/>
    </row>
    <row r="255" spans="1:12" ht="15.75">
      <c r="A255" s="108"/>
      <c r="B255" s="6"/>
      <c r="C255" s="108"/>
      <c r="D255" s="6"/>
      <c r="E255" s="528" t="s">
        <v>113</v>
      </c>
      <c r="F255" s="528"/>
      <c r="G255" s="115"/>
      <c r="H255" s="528" t="s">
        <v>113</v>
      </c>
      <c r="I255" s="528"/>
      <c r="J255" s="119"/>
      <c r="K255" s="108"/>
      <c r="L255" s="108"/>
    </row>
    <row r="256" spans="1:12" ht="16.5" thickBot="1">
      <c r="A256" s="108"/>
      <c r="B256" s="6"/>
      <c r="C256" s="6"/>
      <c r="D256" s="6"/>
      <c r="E256" s="305" t="s">
        <v>279</v>
      </c>
      <c r="F256" s="304"/>
      <c r="G256" s="6"/>
      <c r="H256" s="305" t="s">
        <v>280</v>
      </c>
      <c r="I256" s="270"/>
      <c r="J256" s="119"/>
      <c r="K256" s="108"/>
      <c r="L256" s="108"/>
    </row>
    <row r="257" spans="1:12" ht="12.75">
      <c r="A257" s="108"/>
      <c r="B257" s="6"/>
      <c r="C257" s="6"/>
      <c r="D257" s="6"/>
      <c r="E257" s="89"/>
      <c r="F257" s="8" t="s">
        <v>114</v>
      </c>
      <c r="G257" s="108"/>
      <c r="H257" s="89" t="s">
        <v>147</v>
      </c>
      <c r="I257" s="8" t="s">
        <v>148</v>
      </c>
      <c r="J257" s="119"/>
      <c r="K257" s="108"/>
      <c r="L257" s="108"/>
    </row>
    <row r="258" spans="1:12" ht="12.75">
      <c r="A258" s="108"/>
      <c r="B258" s="6"/>
      <c r="C258" s="6"/>
      <c r="D258" s="6"/>
      <c r="E258" s="89" t="s">
        <v>114</v>
      </c>
      <c r="F258" s="8" t="s">
        <v>115</v>
      </c>
      <c r="G258" s="108"/>
      <c r="H258" s="89" t="s">
        <v>114</v>
      </c>
      <c r="I258" s="8" t="s">
        <v>115</v>
      </c>
      <c r="J258" s="119"/>
      <c r="K258" s="108"/>
      <c r="L258" s="108"/>
    </row>
    <row r="259" spans="5:12" ht="13.5" thickBot="1">
      <c r="E259" s="90" t="s">
        <v>116</v>
      </c>
      <c r="F259" s="39" t="s">
        <v>116</v>
      </c>
      <c r="G259" s="108"/>
      <c r="H259" s="90" t="s">
        <v>116</v>
      </c>
      <c r="I259" s="39" t="s">
        <v>116</v>
      </c>
      <c r="J259" s="119"/>
      <c r="K259" s="108"/>
      <c r="L259" s="108"/>
    </row>
    <row r="260" spans="1:12" ht="12.75">
      <c r="A260" s="543" t="s">
        <v>242</v>
      </c>
      <c r="B260" s="543"/>
      <c r="C260" s="543"/>
      <c r="D260" s="543"/>
      <c r="E260" s="84">
        <f>($F$118-$F$89)/($C$3*$G$203*$F$203)*100</f>
        <v>0.4561076048955721</v>
      </c>
      <c r="F260" s="85">
        <f>($F$195-$F$89)/($C$3*$F$203*$G$203)*100</f>
        <v>0.49916125762323027</v>
      </c>
      <c r="G260" s="108"/>
      <c r="H260" s="84">
        <f>($F$118-SUM($H$13:$H$16))/($C$3*$G$203*$F$203)*100</f>
        <v>0.18780769662484778</v>
      </c>
      <c r="I260" s="85">
        <f>($F$195-SUM($H$13:$H$16))/($C$3*$F$203*$G$203)*100</f>
        <v>0.23086134935250596</v>
      </c>
      <c r="J260" s="119"/>
      <c r="K260" s="108"/>
      <c r="L260" s="108"/>
    </row>
    <row r="261" spans="1:12" ht="12.75">
      <c r="A261" s="543" t="s">
        <v>243</v>
      </c>
      <c r="B261" s="543"/>
      <c r="C261" s="543"/>
      <c r="D261" s="543"/>
      <c r="E261" s="45">
        <f>($F$118-$F$89)/(($C$11+$C$12)*$F$203)*100</f>
        <v>41.89109070877708</v>
      </c>
      <c r="F261" s="86">
        <f>($F$195-$F$89)/(($C$11+$C$12)*$F$203)*100</f>
        <v>45.84534284665022</v>
      </c>
      <c r="G261" s="108"/>
      <c r="H261" s="45">
        <f>($F$118-SUM($H$13:$H$16))/(($C$11+$C$12)*$F$203)*100</f>
        <v>17.249151670951154</v>
      </c>
      <c r="I261" s="86">
        <f>($F$195-SUM($H$13:$H$16))/(($C$11+$C$12)*$F$203)*100</f>
        <v>21.203403808824298</v>
      </c>
      <c r="J261" s="119"/>
      <c r="K261" s="108"/>
      <c r="L261" s="108"/>
    </row>
    <row r="262" spans="1:12" ht="12.75">
      <c r="A262" s="543" t="s">
        <v>244</v>
      </c>
      <c r="B262" s="543"/>
      <c r="C262" s="543"/>
      <c r="D262" s="543"/>
      <c r="E262" s="87">
        <f>($F$118-$F$89)/(($C$11+$C$12)*$G$203)*100</f>
        <v>80.02402065327196</v>
      </c>
      <c r="F262" s="88">
        <f>($F$195-$F$89)/(($C$11+$C$12)*$G$203)*100</f>
        <v>87.57777849045107</v>
      </c>
      <c r="G262" s="108"/>
      <c r="H262" s="87">
        <f>($F$118-SUM($H$13:$H$16))/(($C$11+$C$12)*$G$203)*100</f>
        <v>32.95083623302278</v>
      </c>
      <c r="I262" s="88">
        <f>($F$195-SUM($H$13:$H$16))/(($C$11+$C$12)*$G$203)*100</f>
        <v>40.50459407020187</v>
      </c>
      <c r="J262" s="119"/>
      <c r="K262" s="108"/>
      <c r="L262" s="108"/>
    </row>
    <row r="263" spans="1:12" ht="12.75">
      <c r="A263" s="108"/>
      <c r="B263" s="108"/>
      <c r="C263" s="108"/>
      <c r="D263" s="108"/>
      <c r="E263" s="108"/>
      <c r="F263" s="108"/>
      <c r="G263" s="108"/>
      <c r="H263" s="108"/>
      <c r="I263" s="108"/>
      <c r="J263" s="119"/>
      <c r="K263" s="108"/>
      <c r="L263" s="108"/>
    </row>
    <row r="264" spans="1:12" ht="18.75">
      <c r="A264" s="540" t="s">
        <v>245</v>
      </c>
      <c r="B264" s="540"/>
      <c r="C264" s="540"/>
      <c r="D264" s="540"/>
      <c r="E264" s="540"/>
      <c r="F264" s="540"/>
      <c r="G264" s="540"/>
      <c r="H264" s="108"/>
      <c r="I264" s="108"/>
      <c r="J264" s="119"/>
      <c r="K264" s="108"/>
      <c r="L264" s="108"/>
    </row>
    <row r="265" spans="1:12" ht="12.75">
      <c r="A265" s="108"/>
      <c r="B265" s="108"/>
      <c r="C265" s="538" t="s">
        <v>319</v>
      </c>
      <c r="D265" s="538"/>
      <c r="E265" s="538"/>
      <c r="F265" s="538"/>
      <c r="G265" s="538"/>
      <c r="H265" s="108"/>
      <c r="I265" s="108"/>
      <c r="J265" s="119"/>
      <c r="K265" s="108"/>
      <c r="L265" s="108"/>
    </row>
    <row r="266" spans="1:12" ht="13.5" thickBot="1">
      <c r="A266" s="108"/>
      <c r="B266" s="108"/>
      <c r="C266" s="535" t="s">
        <v>117</v>
      </c>
      <c r="D266" s="535"/>
      <c r="E266" s="535"/>
      <c r="F266" s="535"/>
      <c r="G266" s="535"/>
      <c r="H266" s="108"/>
      <c r="I266" s="108"/>
      <c r="J266" s="119"/>
      <c r="K266" s="108"/>
      <c r="L266" s="108"/>
    </row>
    <row r="267" spans="1:12" ht="13.5" thickBot="1">
      <c r="A267" s="303" t="s">
        <v>281</v>
      </c>
      <c r="B267" s="40"/>
      <c r="C267" s="41">
        <f>E267-20</f>
        <v>71.60925449871465</v>
      </c>
      <c r="D267" s="41">
        <f>E267-10</f>
        <v>81.60925449871465</v>
      </c>
      <c r="E267" s="41">
        <f>G203</f>
        <v>91.60925449871465</v>
      </c>
      <c r="F267" s="41">
        <f>E267+10</f>
        <v>101.60925449871465</v>
      </c>
      <c r="G267" s="41">
        <f>E267+20</f>
        <v>111.60925449871465</v>
      </c>
      <c r="H267" s="108"/>
      <c r="I267" s="108"/>
      <c r="J267" s="119"/>
      <c r="K267" s="108"/>
      <c r="L267" s="108"/>
    </row>
    <row r="268" spans="1:12" ht="12.75">
      <c r="A268" s="109" t="s">
        <v>283</v>
      </c>
      <c r="B268" s="108"/>
      <c r="C268" s="11">
        <f>($F$118-SUM($H$13:$H$16))/(($C$11+$C$12)*C267)*100</f>
        <v>42.15379092475588</v>
      </c>
      <c r="D268" s="11">
        <f>($F$118-SUM($H$13:$H$16))/(($C$11+$C$12)*D267)*100</f>
        <v>36.98847098847098</v>
      </c>
      <c r="E268" s="11">
        <f>($F$118-SUM($H$13:$H$16))/(($C$11+$C$12)*E267)*100</f>
        <v>32.95083623302278</v>
      </c>
      <c r="F268" s="11">
        <f>($F$118-SUM($H$13:$H$16))/(($C$11+$C$12)*F267)*100</f>
        <v>29.707939078075185</v>
      </c>
      <c r="G268" s="11">
        <f>($F$118-SUM($H$13:$H$16))/(($C$11+$C$12)*G267)*100</f>
        <v>27.0461580983969</v>
      </c>
      <c r="H268" s="108"/>
      <c r="I268" s="108"/>
      <c r="J268" s="119"/>
      <c r="K268" s="108"/>
      <c r="L268" s="108"/>
    </row>
    <row r="269" spans="1:12" ht="12.75">
      <c r="A269" s="109" t="s">
        <v>282</v>
      </c>
      <c r="B269" s="108"/>
      <c r="C269" s="11">
        <f>($F$195-SUM($H$13:$H$16))/(($C$11+$C$12)*C267)*100</f>
        <v>51.81726429802247</v>
      </c>
      <c r="D269" s="11">
        <f>($F$195-SUM($H$13:$H$16))/(($C$11+$C$12)*D267)*100</f>
        <v>45.46782946782946</v>
      </c>
      <c r="E269" s="11">
        <f>($F$195-SUM($H$13:$H$16))/(($C$11+$C$12)*E267)*100</f>
        <v>40.50459407020187</v>
      </c>
      <c r="F269" s="11">
        <f>($F$195-SUM($H$13:$H$16))/(($C$11+$C$12)*F267)*100</f>
        <v>36.51828452880924</v>
      </c>
      <c r="G269" s="11">
        <f>($F$195-SUM($H$13:$H$16))/(($C$11+$C$12)*G267)*100</f>
        <v>33.246308141830525</v>
      </c>
      <c r="H269" s="108"/>
      <c r="I269" s="108"/>
      <c r="J269" s="119"/>
      <c r="K269" s="108"/>
      <c r="L269" s="108"/>
    </row>
    <row r="270" spans="1:12" ht="12.75">
      <c r="A270" s="108"/>
      <c r="B270" s="108"/>
      <c r="C270" s="108"/>
      <c r="D270" s="108"/>
      <c r="E270" s="108"/>
      <c r="F270" s="108"/>
      <c r="G270" s="108"/>
      <c r="H270" s="108"/>
      <c r="I270" s="108"/>
      <c r="J270" s="119"/>
      <c r="K270" s="108"/>
      <c r="L270" s="108"/>
    </row>
    <row r="271" spans="1:12" ht="12.75">
      <c r="A271" s="108"/>
      <c r="B271" s="108"/>
      <c r="C271" s="108"/>
      <c r="D271" s="108"/>
      <c r="E271" s="108"/>
      <c r="F271" s="108"/>
      <c r="G271" s="108"/>
      <c r="H271" s="108"/>
      <c r="I271" s="108"/>
      <c r="J271" s="119"/>
      <c r="K271" s="108"/>
      <c r="L271" s="108"/>
    </row>
    <row r="272" spans="1:12" ht="12.75">
      <c r="A272" s="108"/>
      <c r="B272" s="108"/>
      <c r="C272" s="116"/>
      <c r="D272" s="42" t="s">
        <v>129</v>
      </c>
      <c r="E272" s="43"/>
      <c r="F272" s="43"/>
      <c r="G272" s="43"/>
      <c r="H272" s="108"/>
      <c r="I272" s="108"/>
      <c r="J272" s="119"/>
      <c r="K272" s="108"/>
      <c r="L272" s="108"/>
    </row>
    <row r="273" spans="1:12" ht="12.75">
      <c r="A273" s="108"/>
      <c r="B273" s="108"/>
      <c r="C273" s="117"/>
      <c r="D273" s="98" t="s">
        <v>246</v>
      </c>
      <c r="E273" s="117"/>
      <c r="F273" s="117"/>
      <c r="G273" s="117"/>
      <c r="H273" s="108"/>
      <c r="I273" s="108"/>
      <c r="J273" s="119"/>
      <c r="K273" s="108"/>
      <c r="L273" s="108"/>
    </row>
    <row r="274" spans="1:12" ht="13.5" thickBot="1">
      <c r="A274" s="108"/>
      <c r="B274" s="8" t="s">
        <v>118</v>
      </c>
      <c r="C274" s="535" t="s">
        <v>247</v>
      </c>
      <c r="D274" s="535"/>
      <c r="E274" s="535"/>
      <c r="F274" s="535"/>
      <c r="G274" s="535"/>
      <c r="H274" s="108"/>
      <c r="I274" s="110"/>
      <c r="J274" s="119"/>
      <c r="K274" s="108"/>
      <c r="L274" s="108"/>
    </row>
    <row r="275" spans="1:12" ht="13.5" thickBot="1">
      <c r="A275" s="108"/>
      <c r="B275" s="39" t="s">
        <v>119</v>
      </c>
      <c r="C275" s="44">
        <f>$E$275-4</f>
        <v>171</v>
      </c>
      <c r="D275" s="44">
        <f>$E$275-2</f>
        <v>173</v>
      </c>
      <c r="E275" s="44">
        <f>$F$203</f>
        <v>175</v>
      </c>
      <c r="F275" s="44">
        <f>$E$275+2</f>
        <v>177</v>
      </c>
      <c r="G275" s="44">
        <f>$E$275+4</f>
        <v>179</v>
      </c>
      <c r="H275" s="108"/>
      <c r="I275" s="62"/>
      <c r="J275" s="119"/>
      <c r="K275" s="108"/>
      <c r="L275" s="108"/>
    </row>
    <row r="276" spans="1:12" ht="12.75">
      <c r="A276" s="77"/>
      <c r="B276" s="45">
        <f>$C$267</f>
        <v>71.60925449871465</v>
      </c>
      <c r="C276" s="37">
        <f>((SUM($H$13:$H$16)/$C$3)+(C275*$B$276*(($C$11+$C$12)/$C$3)/100)-($G$195-$E$230))+($H$25/$C$3)</f>
        <v>84.44882783882784</v>
      </c>
      <c r="D276" s="37">
        <f>((SUM($H$13:$H$16)/$C$3)+(D275*$B$276*(($C$11+$C$12)/$C$3)/100)-($G$195-$E$230))+($H$25/$C$3)</f>
        <v>85.87734065934066</v>
      </c>
      <c r="E276" s="37">
        <f>((SUM($H$13:$H$16)/$C$3)+(E275*$B$276*(($C$11+$C$12)/$C$3)/100)-($G$195-$E$230))+($H$25/$C$3)</f>
        <v>87.30585347985348</v>
      </c>
      <c r="F276" s="37">
        <f>((SUM($H$13:$H$16)/$C$3)+(F275*$B$276*(($C$11+$C$12)/$C$3)/100)-$G$195)+($H$25/$C$3)</f>
        <v>89.07346886446886</v>
      </c>
      <c r="G276" s="37">
        <f>((SUM($H$13:$H$16)/$C$3)+(G275*$B$276*(($C$11+$C$12)/$C$3)/100)-$G$195)+($H$25/$C$3)</f>
        <v>90.50198168498169</v>
      </c>
      <c r="H276" s="108"/>
      <c r="I276" s="110"/>
      <c r="J276" s="119"/>
      <c r="K276" s="108"/>
      <c r="L276" s="108"/>
    </row>
    <row r="277" spans="1:12" ht="12.75">
      <c r="A277" s="80" t="s">
        <v>124</v>
      </c>
      <c r="B277" s="45">
        <f>$D$267</f>
        <v>81.60925449871465</v>
      </c>
      <c r="C277" s="37">
        <f>((SUM($H$13:$H$16)/$C$3)+(C275*$B$277*(($C$11+$C$12)/$C$3)/100)-($G$195-$E$230))+($H$25/$C$3)</f>
        <v>101.50498168498169</v>
      </c>
      <c r="D277" s="37">
        <f>((SUM($H$13:$H$16)/$C$3)+(D275*$B$277*(($C$11+$C$12)/$C$3)/100)-($G$195-$E$230))+($H$25/$C$3)</f>
        <v>103.1329816849817</v>
      </c>
      <c r="E277" s="37">
        <f>((SUM($H$13:$H$16)/$C$3)+(E275*$B$277*(($C$11+$C$12)/$C$3)/100)-($G$195-$E$230))+($H$25/$C$3)</f>
        <v>104.76098168498169</v>
      </c>
      <c r="F277" s="37">
        <f>((SUM($H$13:$H$16)/$C$3)+(F275*$B$277*(($C$11+$C$12)/$C$3)/100)-$G$195)+($H$25/$C$3)</f>
        <v>106.72808424908426</v>
      </c>
      <c r="G277" s="37">
        <f>((SUM($H$13:$H$16)/$C$3)+(G275*$B$277*(($C$11+$C$12)/$C$3)/100)-$G$195)+($H$25/$C$3)</f>
        <v>108.35608424908428</v>
      </c>
      <c r="H277" s="108"/>
      <c r="I277" s="110"/>
      <c r="J277" s="119"/>
      <c r="K277" s="108"/>
      <c r="L277" s="108"/>
    </row>
    <row r="278" spans="1:12" ht="12.75">
      <c r="A278" s="80" t="s">
        <v>248</v>
      </c>
      <c r="B278" s="45">
        <f>$G$203</f>
        <v>91.60925449871465</v>
      </c>
      <c r="C278" s="37">
        <f>((SUM($H$13:$H$16)/$C$3)+(C275*$B$278*(($C$11+$C$12)/$C$3)/100)-($G$195-$E$230))+($H$25/$C$3)</f>
        <v>118.56113553113553</v>
      </c>
      <c r="D278" s="37">
        <f>((SUM($H$13:$H$16)/$C$3)+(D275*$B$278*(($C$11+$C$12)/$C$3)/100)-($G$195-$E$230))+($H$25/$C$3)</f>
        <v>120.38862271062271</v>
      </c>
      <c r="E278" s="46">
        <f>((SUM($H$13:$H$16)/$C$3)+(E275*$B$278*(($C$11+$C$12)/$C$3)/100)-($G$195-$E$230))</f>
        <v>122.55521245421245</v>
      </c>
      <c r="F278" s="37">
        <f>((SUM($H$13:$H$16)/$C$3)+(F275*$B$278*(($C$11+$C$12)/$C$3)/100)-($G$195-$E$230))+($H$25/$C$3)</f>
        <v>124.04359706959707</v>
      </c>
      <c r="G278" s="37">
        <f>((SUM($H$13:$H$16)/$C$3)+(G275*$B$278*(($C$11+$C$12)/$C$3)/100)-($G$195-$E$230))+($H$25/$C$3)</f>
        <v>125.87108424908425</v>
      </c>
      <c r="H278" s="108"/>
      <c r="I278" s="62"/>
      <c r="J278" s="119"/>
      <c r="K278" s="108"/>
      <c r="L278" s="108"/>
    </row>
    <row r="279" spans="1:12" ht="12.75">
      <c r="A279" s="81" t="s">
        <v>125</v>
      </c>
      <c r="B279" s="45">
        <f>$F$267</f>
        <v>101.60925449871465</v>
      </c>
      <c r="C279" s="37">
        <f>((SUM($H$13:$H$16)/$C$3)+(C275*$B$279*(($C$11+$C$12)/$C$3)/100)-($G$195-$E$230))+($H$25/$C$3)</f>
        <v>135.6172893772894</v>
      </c>
      <c r="D279" s="37">
        <f>((SUM($H$13:$H$16)/$C$3)+(D275*$B$279*(($C$11+$C$12)/$C$3)/100)-($G$195-$E$230))+($H$25/$C$3)</f>
        <v>137.64426373626372</v>
      </c>
      <c r="E279" s="37">
        <f>((SUM($H$13:$H$16)/$C$3)+(E275*$B$279*(($C$11+$C$12)/$C$3)/100)-($G$195-$E$230))+($H$25/$C$3)</f>
        <v>139.6712380952381</v>
      </c>
      <c r="F279" s="37">
        <f>((SUM($H$13:$H$16)/$C$3)+(F275*$B$279*(($C$11+$C$12)/$C$3)/100)-($G$195-$E$230))+($H$25/$C$3)</f>
        <v>141.69821245421247</v>
      </c>
      <c r="G279" s="37">
        <f>((SUM($H$13:$H$16)/$C$3)+(G275*$B$279*(($C$11+$C$12)/$C$3)/100)-($G$195-$E$230))+($H$25/$C$3)</f>
        <v>143.72518681318684</v>
      </c>
      <c r="H279" s="108"/>
      <c r="I279" s="108"/>
      <c r="J279" s="119"/>
      <c r="K279" s="108"/>
      <c r="L279" s="108"/>
    </row>
    <row r="280" spans="1:12" ht="13.5" thickBot="1">
      <c r="A280" s="82">
        <f>F3</f>
        <v>1.2</v>
      </c>
      <c r="B280" s="47">
        <f>$G$267</f>
        <v>111.60925449871465</v>
      </c>
      <c r="C280" s="48">
        <f>((SUM($H$13:$H$16)/$C$3)+(C275*$B$280*(($C$11+$C$12)/$C$3)/100)-($G$195-$E$230))+($H$25/$C$3)</f>
        <v>152.6734432234432</v>
      </c>
      <c r="D280" s="48">
        <f>((SUM($H$13:$H$16)/$C$3)+(D275*$B$280*(($C$11+$C$12)/$C$3)/100)-($G$195-$E$230))+($H$25/$C$3)</f>
        <v>154.89990476190474</v>
      </c>
      <c r="E280" s="48">
        <f>((SUM($H$13:$H$16)/$C$3)+(E275*$B$280*(($C$11+$C$12)/$C$3)/100)-($G$195-$E$230))+($H$25/$C$3)</f>
        <v>157.12636630036627</v>
      </c>
      <c r="F280" s="48">
        <f>((SUM($H$13:$H$16)/$C$3)+(F275*$B$280*(($C$11+$C$12)/$C$3)/100)-($G$195-$E$230))+($H$25/$C$3)</f>
        <v>159.35282783882786</v>
      </c>
      <c r="G280" s="48">
        <f>((SUM($H$13:$H$16)/$C$3)+(G275*$B$280*(($C$11+$C$12)/$C$3)/100)-($G$195-$E$230))+($H$25/$C$3)</f>
        <v>161.57928937728934</v>
      </c>
      <c r="H280" s="108"/>
      <c r="I280" s="108"/>
      <c r="J280" s="119"/>
      <c r="K280" s="108"/>
      <c r="L280" s="108"/>
    </row>
    <row r="281" spans="1:12" ht="12.75">
      <c r="A281" s="5"/>
      <c r="B281" s="108"/>
      <c r="C281" s="108"/>
      <c r="D281" s="108"/>
      <c r="E281" s="108"/>
      <c r="F281" s="11"/>
      <c r="G281" s="11"/>
      <c r="H281" s="108"/>
      <c r="I281" s="108"/>
      <c r="J281" s="119"/>
      <c r="K281" s="108"/>
      <c r="L281" s="108"/>
    </row>
    <row r="282" spans="1:12" ht="12.75">
      <c r="A282" s="108"/>
      <c r="B282" s="108"/>
      <c r="C282" s="108"/>
      <c r="D282" s="108"/>
      <c r="E282" s="108"/>
      <c r="F282" s="108"/>
      <c r="G282" s="108"/>
      <c r="H282" s="108"/>
      <c r="I282" s="108"/>
      <c r="J282" s="119"/>
      <c r="K282" s="108"/>
      <c r="L282" s="108"/>
    </row>
    <row r="283" spans="1:12" ht="12.75">
      <c r="A283" s="108"/>
      <c r="B283" s="108"/>
      <c r="C283" s="42" t="s">
        <v>130</v>
      </c>
      <c r="D283" s="43"/>
      <c r="E283" s="43"/>
      <c r="F283" s="43"/>
      <c r="G283" s="43"/>
      <c r="H283" s="108"/>
      <c r="I283" s="108"/>
      <c r="J283" s="119"/>
      <c r="K283" s="108"/>
      <c r="L283" s="108"/>
    </row>
    <row r="284" spans="1:12" ht="12.75">
      <c r="A284" s="108"/>
      <c r="B284" s="108"/>
      <c r="C284" s="98" t="s">
        <v>249</v>
      </c>
      <c r="D284" s="99"/>
      <c r="E284" s="99"/>
      <c r="F284" s="99"/>
      <c r="G284" s="99"/>
      <c r="H284" s="108"/>
      <c r="I284" s="108"/>
      <c r="J284" s="119"/>
      <c r="K284" s="108"/>
      <c r="L284" s="108"/>
    </row>
    <row r="285" spans="1:12" ht="13.5" thickBot="1">
      <c r="A285" s="108"/>
      <c r="B285" s="8" t="s">
        <v>118</v>
      </c>
      <c r="C285" s="535" t="s">
        <v>247</v>
      </c>
      <c r="D285" s="535"/>
      <c r="E285" s="535"/>
      <c r="F285" s="535"/>
      <c r="G285" s="535"/>
      <c r="H285" s="108"/>
      <c r="I285" s="108"/>
      <c r="J285" s="119"/>
      <c r="K285" s="108"/>
      <c r="L285" s="108"/>
    </row>
    <row r="286" spans="1:12" ht="13.5" thickBot="1">
      <c r="A286" s="11"/>
      <c r="B286" s="39" t="s">
        <v>119</v>
      </c>
      <c r="C286" s="44">
        <f>$E$275-4</f>
        <v>171</v>
      </c>
      <c r="D286" s="44">
        <f>$E$275-2</f>
        <v>173</v>
      </c>
      <c r="E286" s="44">
        <f>$F$203</f>
        <v>175</v>
      </c>
      <c r="F286" s="44">
        <f>$E$275+2</f>
        <v>177</v>
      </c>
      <c r="G286" s="44">
        <f>$E$275+4</f>
        <v>179</v>
      </c>
      <c r="H286" s="108"/>
      <c r="I286" s="108"/>
      <c r="J286" s="119"/>
      <c r="K286" s="108"/>
      <c r="L286" s="108"/>
    </row>
    <row r="287" spans="1:12" ht="12.75">
      <c r="A287" s="79"/>
      <c r="B287" s="45">
        <f>$C$267</f>
        <v>71.60925449871465</v>
      </c>
      <c r="C287" s="37">
        <f>((SUM($H$13:$H$16)/$C$3)+($C$286*B287*(($C$11+$C$12)/$C$3)/100)-($G$118-$E$230))</f>
        <v>91.6901282051282</v>
      </c>
      <c r="D287" s="37">
        <f>((SUM($H$13:$H$16)/$C$3)+($D$286*B287*(($C$11+$C$12)/$C$3)/100)-($G$118-$E$230))</f>
        <v>93.11864102564103</v>
      </c>
      <c r="E287" s="37">
        <f>((SUM($H$13:$H$16)/$C$3)+($E$286*B287*(($C$11+$C$12)/$C$3)/100)-($G$118-$E$230))</f>
        <v>94.54715384615385</v>
      </c>
      <c r="F287" s="37">
        <f>((SUM($H$13:$H$16)/$C$3)+($F$286*B287*(($C$11+$C$12)/$C$3)/100)-($G$118-$E$230))</f>
        <v>95.97566666666667</v>
      </c>
      <c r="G287" s="37">
        <f>((SUM($H$13:$H$16)/$C$3)+($G$286*B287*(($C$11+$C$12)/$C$3)/100)-($G$118-$E$230))</f>
        <v>97.40417948717949</v>
      </c>
      <c r="H287" s="108"/>
      <c r="I287" s="108"/>
      <c r="J287" s="119"/>
      <c r="K287" s="108"/>
      <c r="L287" s="108"/>
    </row>
    <row r="288" spans="1:12" ht="12.75">
      <c r="A288" s="80" t="s">
        <v>124</v>
      </c>
      <c r="B288" s="45">
        <f>$D$267</f>
        <v>81.60925449871465</v>
      </c>
      <c r="C288" s="37">
        <f>((SUM($H$13:$H$16)/$C$3)+($C$286*B288*(($C$11+$C$12)/$C$3)/100)-($G$118-$E$230))</f>
        <v>108.74628205128205</v>
      </c>
      <c r="D288" s="37">
        <f>((SUM($H$13:$H$16)/$C$3)+($D$286*B288*(($C$11+$C$12)/$C$3)/100)-($G$118-$E$230))</f>
        <v>110.37428205128207</v>
      </c>
      <c r="E288" s="37">
        <f>((SUM($H$13:$H$16)/$C$3)+($E$286*B288*(($C$11+$C$12)/$C$3)/100)-($G$118-$E$230))</f>
        <v>112.00228205128205</v>
      </c>
      <c r="F288" s="37">
        <f>((SUM($H$13:$H$16)/$C$3)+($F$286*B288*(($C$11+$C$12)/$C$3)/100)-($G$118-$E$230))</f>
        <v>113.63028205128207</v>
      </c>
      <c r="G288" s="37">
        <f>((SUM($H$13:$H$16)/$C$3)+($G$286*B288*(($C$11+$C$12)/$C$3)/100)-($G$118-$E$230))</f>
        <v>115.25828205128208</v>
      </c>
      <c r="H288" s="108"/>
      <c r="I288" s="108"/>
      <c r="J288" s="119"/>
      <c r="K288" s="108"/>
      <c r="L288" s="108"/>
    </row>
    <row r="289" spans="1:12" ht="12.75">
      <c r="A289" s="80" t="s">
        <v>248</v>
      </c>
      <c r="B289" s="45">
        <f>$E$267</f>
        <v>91.60925449871465</v>
      </c>
      <c r="C289" s="37">
        <f>((SUM($H$13:$H$16)/$C$3)+($C$286*B289*(($C$11+$C$12)/$C$3)/100)-($G$118-$E$230))</f>
        <v>125.8024358974359</v>
      </c>
      <c r="D289" s="37">
        <f>((SUM($H$13:$H$16)/$C$3)+($D$286*B289*(($C$11+$C$12)/$C$3)/100)-($G$118-$E$230))</f>
        <v>127.62992307692308</v>
      </c>
      <c r="E289" s="46">
        <f>((SUM($H$13:$H$16)/$C$3)+($E$286*B289*(($C$11+$C$12)/$C$3)/100)-($G$118-$E$230))</f>
        <v>129.45741025641024</v>
      </c>
      <c r="F289" s="37">
        <f>((SUM($H$13:$H$16)/$C$3)+($F$286*B289*(($C$11+$C$12)/$C$3)/100)-($G$118-$E$230))</f>
        <v>131.28489743589745</v>
      </c>
      <c r="G289" s="37">
        <f>((SUM($H$13:$H$16)/$C$3)+($G$286*B289*(($C$11+$C$12)/$C$3)/100)-($G$118-$E$230))</f>
        <v>133.1123846153846</v>
      </c>
      <c r="H289" s="108"/>
      <c r="I289" s="108"/>
      <c r="J289" s="119"/>
      <c r="K289" s="108"/>
      <c r="L289" s="108"/>
    </row>
    <row r="290" spans="1:12" ht="12.75">
      <c r="A290" s="81" t="s">
        <v>125</v>
      </c>
      <c r="B290" s="45">
        <f>$F$267</f>
        <v>101.60925449871465</v>
      </c>
      <c r="C290" s="37">
        <f>((SUM($H$13:$H$16)/$C$3)+($C$286*B290*(($C$11+$C$12)/$C$3)/100)-($G$118-$E$230))</f>
        <v>142.8585897435898</v>
      </c>
      <c r="D290" s="37">
        <f>((SUM($H$13:$H$16)/$C$3)+($D$286*B290*(($C$11+$C$12)/$C$3)/100)-($G$118-$E$230))</f>
        <v>144.8855641025641</v>
      </c>
      <c r="E290" s="37">
        <f>((SUM($H$13:$H$16)/$C$3)+($E$286*B290*(($C$11+$C$12)/$C$3)/100)-($G$118-$E$230))</f>
        <v>146.91253846153847</v>
      </c>
      <c r="F290" s="37">
        <f>((SUM($H$13:$H$16)/$C$3)+($F$286*B290*(($C$11+$C$12)/$C$3)/100)-($G$118-$E$230))</f>
        <v>148.93951282051285</v>
      </c>
      <c r="G290" s="37">
        <f>((SUM($H$13:$H$16)/$C$3)+($G$286*B290*(($C$11+$C$12)/$C$3)/100)-($G$118-$E$230))</f>
        <v>150.96648717948722</v>
      </c>
      <c r="H290" s="108"/>
      <c r="I290" s="108"/>
      <c r="J290" s="119"/>
      <c r="K290" s="108"/>
      <c r="L290" s="108"/>
    </row>
    <row r="291" spans="1:12" ht="13.5" thickBot="1">
      <c r="A291" s="82">
        <f>F3</f>
        <v>1.2</v>
      </c>
      <c r="B291" s="47">
        <f>$G$267</f>
        <v>111.60925449871465</v>
      </c>
      <c r="C291" s="48">
        <f>((SUM($H$13:$H$16)/$C$3)+($C$286*B291*(($C$11+$C$12)/$C$3)/100)-($G$118-$E$230))</f>
        <v>159.91474358974358</v>
      </c>
      <c r="D291" s="48">
        <f>((SUM($H$13:$H$16)/$C$3)+($D$286*B291*(($C$11+$C$12)/$C$3)/100)-($G$118-$E$230))</f>
        <v>162.14120512820512</v>
      </c>
      <c r="E291" s="48">
        <f>((SUM($H$13:$H$16)/$C$3)+($E$286*B291*(($C$11+$C$12)/$C$3)/100)-($G$118-$E$230))</f>
        <v>164.36766666666665</v>
      </c>
      <c r="F291" s="48">
        <f>((SUM($H$13:$H$16)/$C$3)+($F$286*B291*(($C$11+$C$12)/$C$3)/100)-($G$118-$E$230))</f>
        <v>166.59412820512824</v>
      </c>
      <c r="G291" s="48">
        <f>((SUM($H$13:$H$16)/$C$3)+($G$286*B291*(($C$11+$C$12)/$C$3)/100)-($G$118-$E$230))</f>
        <v>168.82058974358972</v>
      </c>
      <c r="H291" s="108"/>
      <c r="I291" s="108"/>
      <c r="J291" s="119"/>
      <c r="K291" s="108"/>
      <c r="L291" s="108"/>
    </row>
    <row r="292" spans="1:12" ht="12.75">
      <c r="A292" s="5"/>
      <c r="B292" s="108"/>
      <c r="C292" s="108"/>
      <c r="D292" s="108"/>
      <c r="E292" s="108"/>
      <c r="F292" s="108"/>
      <c r="G292" s="108"/>
      <c r="H292" s="108"/>
      <c r="I292" s="108"/>
      <c r="J292" s="119"/>
      <c r="K292" s="108"/>
      <c r="L292" s="108"/>
    </row>
    <row r="293" spans="1:12" ht="12.75">
      <c r="A293" s="108"/>
      <c r="B293" s="108"/>
      <c r="C293" s="43"/>
      <c r="D293" s="42"/>
      <c r="E293" s="43"/>
      <c r="F293" s="43"/>
      <c r="G293" s="43"/>
      <c r="H293" s="13"/>
      <c r="I293" s="108"/>
      <c r="J293" s="119"/>
      <c r="K293" s="108"/>
      <c r="L293" s="108"/>
    </row>
    <row r="294" spans="1:12" ht="12.75">
      <c r="A294" s="108"/>
      <c r="B294" s="108"/>
      <c r="C294" s="42" t="s">
        <v>250</v>
      </c>
      <c r="D294" s="42"/>
      <c r="E294" s="43"/>
      <c r="F294" s="43"/>
      <c r="G294" s="43"/>
      <c r="H294" s="13"/>
      <c r="I294" s="108"/>
      <c r="J294" s="119"/>
      <c r="K294" s="108"/>
      <c r="L294" s="108"/>
    </row>
    <row r="295" spans="1:12" ht="12.75">
      <c r="A295" s="108"/>
      <c r="B295" s="108"/>
      <c r="C295" s="541" t="s">
        <v>120</v>
      </c>
      <c r="D295" s="541"/>
      <c r="E295" s="541"/>
      <c r="F295" s="541"/>
      <c r="G295" s="541"/>
      <c r="H295" s="108"/>
      <c r="I295" s="108"/>
      <c r="J295" s="119"/>
      <c r="K295" s="108"/>
      <c r="L295" s="108"/>
    </row>
    <row r="296" spans="1:12" ht="13.5" thickBot="1">
      <c r="A296" s="108"/>
      <c r="B296" s="108"/>
      <c r="C296" s="535" t="s">
        <v>247</v>
      </c>
      <c r="D296" s="535"/>
      <c r="E296" s="535"/>
      <c r="F296" s="535"/>
      <c r="G296" s="535"/>
      <c r="H296" s="108"/>
      <c r="I296" s="108"/>
      <c r="J296" s="119"/>
      <c r="K296" s="108"/>
      <c r="L296" s="108"/>
    </row>
    <row r="297" spans="1:12" ht="13.5" thickBot="1">
      <c r="A297" s="108"/>
      <c r="B297" s="39" t="s">
        <v>251</v>
      </c>
      <c r="C297" s="44">
        <f>C275</f>
        <v>171</v>
      </c>
      <c r="D297" s="44">
        <f>D275</f>
        <v>173</v>
      </c>
      <c r="E297" s="44">
        <f>E275</f>
        <v>175</v>
      </c>
      <c r="F297" s="44">
        <f>F275</f>
        <v>177</v>
      </c>
      <c r="G297" s="44">
        <f>G275</f>
        <v>179</v>
      </c>
      <c r="H297" s="108"/>
      <c r="I297" s="108"/>
      <c r="J297" s="119"/>
      <c r="K297" s="108"/>
      <c r="L297" s="108"/>
    </row>
    <row r="298" spans="1:12" ht="12.75">
      <c r="A298" s="77"/>
      <c r="B298" s="49">
        <f>B300-0.1</f>
        <v>1.0999999999999999</v>
      </c>
      <c r="C298" s="62">
        <f>((SUM($H$13:$H$16)/$C$3)+(C297*$B$278*(($C$3*$B$298)-$F$5))/$C$3/100)-($G$195-$E$230)</f>
        <v>103.23505557595784</v>
      </c>
      <c r="D298" s="62">
        <f>((SUM($H$13:$H$16)/$C$3)+(D297*$B$278*(($C$3*$B$298)-$F$5))/$C$3/100)-($G$195-$E$230)</f>
        <v>104.87932424644764</v>
      </c>
      <c r="E298" s="62">
        <f>((SUM($H$13:$H$16)/$C$3)+(E297*$B$278*(($C$3*$B$298)-$F$5))/$C$3/100)-($G$195-$E$230)</f>
        <v>106.52359291693735</v>
      </c>
      <c r="F298" s="62">
        <f>((SUM($H$13:$H$16)/$C$3)+(F297*$B$278*(($C$3*$B$298)-$F$5))/$C$3/100)-($G$195-$E$230)</f>
        <v>108.16786158742711</v>
      </c>
      <c r="G298" s="62">
        <f>((SUM($H$13:$H$16)/$C$3)+(G297*$B$278*(($C$3*$B$298)-$F$5))/$C$3/100)-($G$195-$E$230)</f>
        <v>109.81213025791685</v>
      </c>
      <c r="H298" s="108"/>
      <c r="I298" s="108"/>
      <c r="J298" s="119"/>
      <c r="K298" s="108"/>
      <c r="L298" s="108"/>
    </row>
    <row r="299" spans="1:12" ht="12.75">
      <c r="A299" s="81" t="s">
        <v>84</v>
      </c>
      <c r="B299" s="49">
        <f>B300-0.05</f>
        <v>1.15</v>
      </c>
      <c r="C299" s="62">
        <f>((SUM($H$13:$H$16)/$C$3)+(C297*$B$278*(($C$3*$B$299)-$F$5))/$C$3/100)-($G$195-$E$230)</f>
        <v>111.06764683559801</v>
      </c>
      <c r="D299" s="62">
        <f>((SUM($H$13:$H$16)/$C$3)+(D297*$B$278*(($C$3*$B$299)-$F$5))/$C$3/100)-($G$195-$E$230)</f>
        <v>112.80352476058648</v>
      </c>
      <c r="E299" s="62">
        <f>((SUM($H$13:$H$16)/$C$3)+(E297*$B$278*(($C$3*$B$299)-$F$5))/$C$3/100)-($G$195-$E$230)</f>
        <v>114.5394026855749</v>
      </c>
      <c r="F299" s="62">
        <f>((SUM($H$13:$H$16)/$C$3)+(F297*$B$278*(($C$3*$B$299)-$F$5))/$C$3/100)-($G$195-$E$230)</f>
        <v>116.27528061056337</v>
      </c>
      <c r="G299" s="62">
        <f>((SUM($H$13:$H$16)/$C$3)+(G297*$B$278*(($C$3*$B$299)-$F$5))/$C$3/100)-($G$195-$E$230)</f>
        <v>118.01115853555184</v>
      </c>
      <c r="H299" s="108"/>
      <c r="I299" s="108"/>
      <c r="J299" s="119"/>
      <c r="K299" s="108"/>
      <c r="L299" s="108"/>
    </row>
    <row r="300" spans="1:12" ht="12.75">
      <c r="A300" s="81" t="s">
        <v>126</v>
      </c>
      <c r="B300" s="49">
        <f>F3</f>
        <v>1.2</v>
      </c>
      <c r="C300" s="62">
        <f>((SUM($H$13:$H$16)/$C$3)+(C297*$B$278*(($C$3*$B$300)-$F$5))/$C$3/100)-($G$195-$E$230)</f>
        <v>118.9002380952381</v>
      </c>
      <c r="D300" s="62">
        <f>((SUM($H$13:$H$16)/$C$3)+(D297*$B$278*(($C$3*$B$300)-$F$5))/$C$3/100)-($G$195-$E$230)</f>
        <v>120.72772527472527</v>
      </c>
      <c r="E300" s="46">
        <f>((SUM($H$13:$H$16)/$C$3)+(E297*$B$278*(($C$3*$B$300)-$F$5))/$C$3/100)-($G$195-$E$230)</f>
        <v>122.55521245421245</v>
      </c>
      <c r="F300" s="62">
        <f>((SUM($H$13:$H$16)/$C$3)+(F297*$B$278*(($C$3*$B$300)-$F$5))/$C$3/100)-($G$195-$E$230)</f>
        <v>124.38269963369963</v>
      </c>
      <c r="G300" s="62">
        <f>((SUM($H$13:$H$16)/$C$3)+(G297*$B$278*(($C$3*$B$300)-$F$5))/$C$3/100)-($G$195-$E$230)</f>
        <v>126.21018681318681</v>
      </c>
      <c r="H300" s="108"/>
      <c r="I300" s="108"/>
      <c r="J300" s="119"/>
      <c r="K300" s="108"/>
      <c r="L300" s="108"/>
    </row>
    <row r="301" spans="1:12" ht="12.75">
      <c r="A301" s="81" t="s">
        <v>127</v>
      </c>
      <c r="B301" s="49">
        <f>B300+0.05</f>
        <v>1.25</v>
      </c>
      <c r="C301" s="62">
        <f>((SUM($H$13:$H$16)/$C$3)+(C297*$B$278*(($C$3*$B$301)-$F$5))/$C$3/100)-($G$195-$E$230)</f>
        <v>126.7328293548782</v>
      </c>
      <c r="D301" s="62">
        <f>((SUM($H$13:$H$16)/$C$3)+(D297*$B$278*(($C$3*$B$301)-$F$5))/$C$3/100)-($G$195-$E$230)</f>
        <v>128.6519257888641</v>
      </c>
      <c r="E301" s="62">
        <f>((SUM($H$13:$H$16)/$C$3)+(E297*$B$278*(($C$3*$B$301)-$F$5))/$C$3/100)-($G$195-$E$230)</f>
        <v>130.57102222285</v>
      </c>
      <c r="F301" s="62">
        <f>((SUM($H$13:$H$16)/$C$3)+(F297*$B$278*(($C$3*$B$301)-$F$5))/$C$3/100)-($G$195-$E$230)</f>
        <v>132.49011865683588</v>
      </c>
      <c r="G301" s="62">
        <f>((SUM($H$13:$H$16)/$C$3)+(G297*$B$278*(($C$3*$B$301)-$F$5))/$C$3/100)-($G$195-$E$230)</f>
        <v>134.40921509082182</v>
      </c>
      <c r="H301" s="108"/>
      <c r="I301" s="108"/>
      <c r="J301" s="119"/>
      <c r="K301" s="108"/>
      <c r="L301" s="108"/>
    </row>
    <row r="302" spans="1:12" ht="13.5" thickBot="1">
      <c r="A302" s="83">
        <f>G203</f>
        <v>91.60925449871465</v>
      </c>
      <c r="B302" s="50">
        <f>B300+0.1</f>
        <v>1.3</v>
      </c>
      <c r="C302" s="281">
        <f>((SUM($H$13:$H$16)/$C$3)+(C297*$B$278*(($C$3*$B$302)-$F$5))/$C$3/100)-($G$195-$E$230)</f>
        <v>134.56542061451825</v>
      </c>
      <c r="D302" s="282">
        <f>((SUM($H$13:$H$16)/$C$3)+(D297*$B$278*(($C$3*$B$302)-$F$5))/$C$3/100)-($G$195-$E$230)</f>
        <v>136.57612630300292</v>
      </c>
      <c r="E302" s="282">
        <f>((SUM($H$13:$H$16)/$C$3)+(E297*$B$278*(($C$3*$B$302)-$F$5))/$C$3/100)-($G$195-$E$230)</f>
        <v>138.5868319914875</v>
      </c>
      <c r="F302" s="282">
        <f>((SUM($H$13:$H$16)/$C$3)+(F297*$B$278*(($C$3*$B$302)-$F$5))/$C$3/100)-($G$195-$E$230)</f>
        <v>140.5975376799721</v>
      </c>
      <c r="G302" s="282">
        <f>((SUM($H$13:$H$16)/$C$3)+(G297*$B$278*(($C$3*$B$302)-$F$5))/$C$3/100)-($G$195-$E$230)</f>
        <v>142.60824336845678</v>
      </c>
      <c r="H302" s="108"/>
      <c r="I302" s="108"/>
      <c r="J302" s="119"/>
      <c r="K302" s="108"/>
      <c r="L302" s="108"/>
    </row>
    <row r="303" spans="1:12" ht="12.75">
      <c r="A303" s="108"/>
      <c r="B303" s="108"/>
      <c r="C303" s="108"/>
      <c r="D303" s="108"/>
      <c r="E303" s="108"/>
      <c r="F303" s="108"/>
      <c r="G303" s="108"/>
      <c r="H303" s="108"/>
      <c r="I303" s="108"/>
      <c r="J303" s="119"/>
      <c r="K303" s="108"/>
      <c r="L303" s="108"/>
    </row>
    <row r="304" spans="1:12" ht="12.75">
      <c r="A304" s="108"/>
      <c r="B304" s="108"/>
      <c r="C304" s="43"/>
      <c r="D304" s="42"/>
      <c r="E304" s="43"/>
      <c r="F304" s="43"/>
      <c r="G304" s="43"/>
      <c r="H304" s="13"/>
      <c r="I304" s="108"/>
      <c r="J304" s="119"/>
      <c r="K304" s="108"/>
      <c r="L304" s="108"/>
    </row>
    <row r="305" spans="1:12" ht="12.75">
      <c r="A305" s="108"/>
      <c r="B305" s="108"/>
      <c r="C305" s="5" t="s">
        <v>252</v>
      </c>
      <c r="D305" s="42"/>
      <c r="E305" s="43"/>
      <c r="F305" s="43"/>
      <c r="G305" s="43"/>
      <c r="H305" s="13"/>
      <c r="I305" s="108"/>
      <c r="J305" s="119"/>
      <c r="K305" s="108"/>
      <c r="L305" s="108"/>
    </row>
    <row r="306" spans="1:12" ht="12.75">
      <c r="A306" s="108"/>
      <c r="B306" s="108"/>
      <c r="C306" s="100" t="s">
        <v>121</v>
      </c>
      <c r="D306" s="118"/>
      <c r="E306" s="118"/>
      <c r="F306" s="118"/>
      <c r="G306" s="118"/>
      <c r="H306" s="108"/>
      <c r="I306" s="108"/>
      <c r="J306" s="119"/>
      <c r="K306" s="108"/>
      <c r="L306" s="108"/>
    </row>
    <row r="307" spans="1:12" ht="13.5" thickBot="1">
      <c r="A307" s="108"/>
      <c r="B307" s="108"/>
      <c r="C307" s="535" t="s">
        <v>247</v>
      </c>
      <c r="D307" s="535"/>
      <c r="E307" s="535"/>
      <c r="F307" s="535"/>
      <c r="G307" s="535"/>
      <c r="H307" s="108"/>
      <c r="I307" s="108"/>
      <c r="J307" s="119"/>
      <c r="K307" s="108"/>
      <c r="L307" s="108"/>
    </row>
    <row r="308" spans="1:12" ht="13.5" thickBot="1">
      <c r="A308" s="108"/>
      <c r="B308" s="39" t="s">
        <v>251</v>
      </c>
      <c r="C308" s="44">
        <f>$E$275-4</f>
        <v>171</v>
      </c>
      <c r="D308" s="44">
        <f>$E$275-2</f>
        <v>173</v>
      </c>
      <c r="E308" s="44">
        <f>$F$203</f>
        <v>175</v>
      </c>
      <c r="F308" s="44">
        <f>$E$275+2</f>
        <v>177</v>
      </c>
      <c r="G308" s="44">
        <f>$E$275+4</f>
        <v>179</v>
      </c>
      <c r="H308" s="108"/>
      <c r="I308" s="108"/>
      <c r="J308" s="119"/>
      <c r="K308" s="108"/>
      <c r="L308" s="108"/>
    </row>
    <row r="309" spans="1:12" ht="12.75">
      <c r="A309" s="77"/>
      <c r="B309" s="49">
        <f>B298</f>
        <v>1.0999999999999999</v>
      </c>
      <c r="C309" s="37">
        <f>((SUM($H$13:$H$16)/$C$3)+(C308*$B$278*(($C$3*$B$298/2+(($C$3*$B$298/2)-$F$5))/$C$3)/100)-$G$118)+($H$25/$C$3)</f>
        <v>110.13725337815568</v>
      </c>
      <c r="D309" s="37">
        <f>((SUM($H$13:$H$16)/$C$3)+(D308*$B$278*(($C$3*$B$298/2+(($C$3*$B$298/2)-$F$5))/$C$3)/100)-$G$118)+($H$25/$C$3)</f>
        <v>111.78152204864541</v>
      </c>
      <c r="E309" s="37">
        <f>((SUM($H$13:$H$16)/$C$3)+(E308*$B$278*(($C$3*$B$298/2+(($C$3*$B$298/2)-$F$5))/$C$3)/100)-$G$118)+($H$25/$C$3)</f>
        <v>113.42579071913515</v>
      </c>
      <c r="F309" s="37">
        <f>((SUM($H$13:$H$16)/$C$3)+(F308*$B$278*(($C$3*$B$298/2+(($C$3*$B$298/2)-$F$5))/$C$3)/100)-$G$118)+($H$25/$C$3)</f>
        <v>115.07005938962492</v>
      </c>
      <c r="G309" s="37">
        <f>((SUM($H$13:$H$16)/$C$3)+(G308*$B$278*(($C$3*$B$298/2+(($C$3*$B$298/2)-$F$5))/$C$3)/100)-$G$118)+($H$25/$C$3)</f>
        <v>116.71432806011465</v>
      </c>
      <c r="H309" s="108"/>
      <c r="I309" s="108"/>
      <c r="J309" s="119"/>
      <c r="K309" s="108"/>
      <c r="L309" s="108"/>
    </row>
    <row r="310" spans="1:12" ht="12.75">
      <c r="A310" s="81" t="s">
        <v>84</v>
      </c>
      <c r="B310" s="49">
        <f>B299</f>
        <v>1.15</v>
      </c>
      <c r="C310" s="37">
        <f>((SUM($H$13:$H$16)/$C$3)+(C308*$B$278*(($C$3*$B$299/2+(($C$3*$B$299/2)-$F$5))/$C$3)/100)-$G$118)+($H$25/$C$3)</f>
        <v>117.96984463779579</v>
      </c>
      <c r="D310" s="37">
        <f>((SUM($H$13:$H$16)/$C$3)+(D308*$B$278*(($C$3*$B$299/2+(($C$3*$B$299/2)-$F$5))/$C$3)/100)-$G$118)+($H$25/$C$3)</f>
        <v>119.70572256278426</v>
      </c>
      <c r="E310" s="37">
        <f>((SUM($H$13:$H$16)/$C$3)+(E308*$B$278*(($C$3*$B$299/2+(($C$3*$B$299/2)-$F$5))/$C$3)/100)-$G$118)+($H$25/$C$3)</f>
        <v>121.4416004877727</v>
      </c>
      <c r="F310" s="37">
        <f>((SUM($H$13:$H$16)/$C$3)+(F308*$B$278*(($C$3*$B$299/2+(($C$3*$B$299/2)-$F$5))/$C$3)/100)-$G$118)+($H$25/$C$3)</f>
        <v>123.17747841276118</v>
      </c>
      <c r="G310" s="37">
        <f>((SUM($H$13:$H$16)/$C$3)+(G308*$B$278*(($C$3*$B$299/2+(($C$3*$B$299/2)-$F$5))/$C$3)/100)-$G$118)+($H$25/$C$3)</f>
        <v>124.91335633774965</v>
      </c>
      <c r="H310" s="108"/>
      <c r="I310" s="108"/>
      <c r="J310" s="119"/>
      <c r="K310" s="108"/>
      <c r="L310" s="108"/>
    </row>
    <row r="311" spans="1:12" ht="12.75">
      <c r="A311" s="81" t="s">
        <v>126</v>
      </c>
      <c r="B311" s="49">
        <f>B300</f>
        <v>1.2</v>
      </c>
      <c r="C311" s="37">
        <f>((SUM($H$13:$H$16)/$C$3)+(C308*$B$278*(($C$3*$B$300/2+(($C$3*$B$300/2)-$F$5))/$C$3)/100)-$G$118)+($H$25/$C$3)</f>
        <v>125.8024358974359</v>
      </c>
      <c r="D311" s="37">
        <f>((SUM($H$13:$H$16)/$C$3)+(D308*$B$278*(($C$3*$B$300/2+(($C$3*$B$300/2)-$F$5))/$C$3)/100)-$G$118)+($H$25/$C$3)</f>
        <v>127.62992307692308</v>
      </c>
      <c r="E311" s="46">
        <f>((SUM($H$13:$H$16)/$C$3)+(E308*$B$278*(($C$3*$B$300/2+(($C$3*$B$300/2)-$F$5))/$C$3)/100)-$G$118)+($H$25/$C$3)</f>
        <v>129.45741025641024</v>
      </c>
      <c r="F311" s="37">
        <f>((SUM($H$13:$H$16)/$C$3)+(F308*$B$278*(($C$3*$B$300/2+(($C$3*$B$300/2)-$F$5))/$C$3)/100)-$G$118)+($H$25/$C$3)</f>
        <v>131.28489743589742</v>
      </c>
      <c r="G311" s="37">
        <f>((SUM($H$13:$H$16)/$C$3)+(G308*$B$278*(($C$3*$B$300/2+(($C$3*$B$300/2)-$F$5))/$C$3)/100)-$G$118)+($H$25/$C$3)</f>
        <v>133.1123846153846</v>
      </c>
      <c r="H311" s="108"/>
      <c r="I311" s="108"/>
      <c r="J311" s="119"/>
      <c r="K311" s="108"/>
      <c r="L311" s="108"/>
    </row>
    <row r="312" spans="1:12" ht="12.75">
      <c r="A312" s="81" t="s">
        <v>127</v>
      </c>
      <c r="B312" s="49">
        <f>B301</f>
        <v>1.25</v>
      </c>
      <c r="C312" s="37">
        <f>((SUM($H$13:$H$16)/$C$3)+(C308*$B$278*(($C$3*$B$301/2+(($C$3*$B$301/2)-$F$5))/$C$3)/100)-$G$118)+($H$25/$C$3)</f>
        <v>133.635027157076</v>
      </c>
      <c r="D312" s="37">
        <f>((SUM($H$13:$H$16)/$C$3)+(D308*$B$278*(($C$3*$B$301/2+(($C$3*$B$301/2)-$F$5))/$C$3)/100)-$G$118)+($H$25/$C$3)</f>
        <v>135.5541235910619</v>
      </c>
      <c r="E312" s="37">
        <f>((SUM($H$13:$H$16)/$C$3)+(E308*$B$278*(($C$3*$B$301/2+(($C$3*$B$301/2)-$F$5))/$C$3)/100)-$G$118)+($H$25/$C$3)</f>
        <v>137.47322002504777</v>
      </c>
      <c r="F312" s="37">
        <f>((SUM($H$13:$H$16)/$C$3)+(F308*$B$278*(($C$3*$B$301/2+(($C$3*$B$301/2)-$F$5))/$C$3)/100)-$G$118)+($H$25/$C$3)</f>
        <v>139.39231645903368</v>
      </c>
      <c r="G312" s="37">
        <f>((SUM($H$13:$H$16)/$C$3)+(G308*$B$278*(($C$3*$B$301/2+(($C$3*$B$301/2)-$F$5))/$C$3)/100)-$G$118)+($H$25/$C$3)</f>
        <v>141.3114128930196</v>
      </c>
      <c r="H312" s="108"/>
      <c r="I312" s="108"/>
      <c r="J312" s="119"/>
      <c r="K312" s="108"/>
      <c r="L312" s="108"/>
    </row>
    <row r="313" spans="1:12" ht="13.5" thickBot="1">
      <c r="A313" s="83">
        <f>G203</f>
        <v>91.60925449871465</v>
      </c>
      <c r="B313" s="50">
        <f>B302</f>
        <v>1.3</v>
      </c>
      <c r="C313" s="48">
        <f>((SUM($H$13:$H$16)/$C$3)+(C308*$B$278*(($C$3*$B$302/2+(($C$3*$B$302/2)-$F$5))/$C$3)/100)-$G$118)+($H$25/$C$3)</f>
        <v>141.4676184167161</v>
      </c>
      <c r="D313" s="48">
        <f>((SUM($H$13:$H$16)/$C$3)+(D308*$B$278*(($C$3*$B$302/2+(($C$3*$B$302/2)-$F$5))/$C$3)/100)-$G$118)+($H$25/$C$3)</f>
        <v>143.47832410520073</v>
      </c>
      <c r="E313" s="48">
        <f>((SUM($H$13:$H$16)/$C$3)+(E308*$B$278*(($C$3*$B$302/2+(($C$3*$B$302/2)-$F$5))/$C$3)/100)-$G$118)+($H$25/$C$3)</f>
        <v>145.48902979368532</v>
      </c>
      <c r="F313" s="48">
        <f>((SUM($H$13:$H$16)/$C$3)+(F308*$B$278*(($C$3*$B$302/2+(($C$3*$B$302/2)-$F$5))/$C$3)/100)-$G$118)+($H$25/$C$3)</f>
        <v>147.4997354821699</v>
      </c>
      <c r="G313" s="48">
        <f>((SUM($H$13:$H$16)/$C$3)+(G308*$B$278*(($C$3*$B$302/2+(($C$3*$B$302/2)-$F$5))/$C$3)/100)-$G$118)+($H$25/$C$3)</f>
        <v>149.51044117065456</v>
      </c>
      <c r="H313" s="108"/>
      <c r="I313" s="108"/>
      <c r="J313" s="119"/>
      <c r="K313" s="108"/>
      <c r="L313" s="108"/>
    </row>
    <row r="314" spans="1:12" ht="12.75">
      <c r="A314" s="5"/>
      <c r="B314" s="6"/>
      <c r="C314" s="6"/>
      <c r="D314" s="6"/>
      <c r="E314" s="108"/>
      <c r="F314" s="108"/>
      <c r="G314" s="108"/>
      <c r="H314" s="108"/>
      <c r="I314" s="119"/>
      <c r="J314" s="119"/>
      <c r="K314" s="108"/>
      <c r="L314" s="108"/>
    </row>
    <row r="315" spans="1:12" ht="12.75">
      <c r="A315" s="5"/>
      <c r="B315" s="6"/>
      <c r="C315" s="6"/>
      <c r="D315" s="6"/>
      <c r="E315" s="108"/>
      <c r="F315" s="108"/>
      <c r="G315" s="108"/>
      <c r="H315" s="108"/>
      <c r="I315" s="119"/>
      <c r="J315" s="119"/>
      <c r="K315" s="108"/>
      <c r="L315" s="108"/>
    </row>
    <row r="316" spans="1:12" ht="18.75">
      <c r="A316" s="540" t="s">
        <v>146</v>
      </c>
      <c r="B316" s="540"/>
      <c r="C316" s="540"/>
      <c r="D316" s="540"/>
      <c r="E316" s="540"/>
      <c r="F316" s="540"/>
      <c r="G316" s="540"/>
      <c r="H316" s="108"/>
      <c r="I316" s="119"/>
      <c r="J316" s="119"/>
      <c r="K316" s="108"/>
      <c r="L316" s="108"/>
    </row>
    <row r="317" spans="1:12" ht="12.75">
      <c r="A317" s="5"/>
      <c r="B317" s="6"/>
      <c r="C317" s="6"/>
      <c r="D317" s="6"/>
      <c r="E317" s="108"/>
      <c r="F317" s="108"/>
      <c r="G317" s="108"/>
      <c r="H317" s="108"/>
      <c r="I317" s="119"/>
      <c r="J317" s="119"/>
      <c r="K317" s="108"/>
      <c r="L317" s="108"/>
    </row>
    <row r="318" spans="1:12" ht="15.75">
      <c r="A318" s="5"/>
      <c r="B318" s="6"/>
      <c r="C318" s="108"/>
      <c r="D318" s="197"/>
      <c r="E318" s="198"/>
      <c r="F318" s="199"/>
      <c r="G318" s="115"/>
      <c r="H318" s="128"/>
      <c r="I318" s="128"/>
      <c r="K318" s="108"/>
      <c r="L318" s="108"/>
    </row>
    <row r="319" spans="1:12" ht="15.75">
      <c r="A319" s="534" t="s">
        <v>152</v>
      </c>
      <c r="B319" s="534"/>
      <c r="C319" s="534"/>
      <c r="D319" s="534"/>
      <c r="E319" s="534"/>
      <c r="F319" s="534"/>
      <c r="G319" s="534"/>
      <c r="H319" s="130"/>
      <c r="I319" s="119"/>
      <c r="J319" s="119"/>
      <c r="K319" s="108"/>
      <c r="L319" s="108"/>
    </row>
    <row r="320" spans="1:12" ht="15.75">
      <c r="A320" s="158" t="s">
        <v>173</v>
      </c>
      <c r="B320" s="6"/>
      <c r="C320" s="6"/>
      <c r="F320" s="6" t="s">
        <v>253</v>
      </c>
      <c r="G320" s="122"/>
      <c r="H320" s="108"/>
      <c r="I320" s="119"/>
      <c r="J320" s="119"/>
      <c r="K320" s="108"/>
      <c r="L320" s="108"/>
    </row>
    <row r="321" spans="1:12" ht="15.75">
      <c r="A321" s="6"/>
      <c r="B321" s="12" t="s">
        <v>138</v>
      </c>
      <c r="D321" s="183">
        <v>0.1</v>
      </c>
      <c r="F321" s="6" t="s">
        <v>139</v>
      </c>
      <c r="G321" s="122"/>
      <c r="H321" s="108"/>
      <c r="I321" s="119"/>
      <c r="J321" s="119"/>
      <c r="K321" s="108"/>
      <c r="L321" s="108"/>
    </row>
    <row r="322" spans="1:12" ht="15.75">
      <c r="A322" s="6"/>
      <c r="B322" s="6"/>
      <c r="C322" s="6"/>
      <c r="F322" s="108" t="s">
        <v>140</v>
      </c>
      <c r="G322" s="122"/>
      <c r="H322" s="108"/>
      <c r="I322" s="119"/>
      <c r="J322" s="119"/>
      <c r="K322" s="108"/>
      <c r="L322" s="108"/>
    </row>
    <row r="323" spans="1:12" ht="12.75">
      <c r="A323" s="138"/>
      <c r="B323" s="139" t="s">
        <v>136</v>
      </c>
      <c r="C323" s="236"/>
      <c r="E323" s="132">
        <f>D321</f>
        <v>0.1</v>
      </c>
      <c r="F323" s="132">
        <f>E323+$D$321</f>
        <v>0.2</v>
      </c>
      <c r="G323" s="132">
        <f>F323+$D$321</f>
        <v>0.30000000000000004</v>
      </c>
      <c r="H323" s="132">
        <f>G323+$D$321</f>
        <v>0.4</v>
      </c>
      <c r="I323" s="132">
        <f>H323+$D$321</f>
        <v>0.5</v>
      </c>
      <c r="J323" s="132">
        <f>I323+$D$321</f>
        <v>0.6</v>
      </c>
      <c r="K323" s="108"/>
      <c r="L323" s="108"/>
    </row>
    <row r="324" spans="1:12" ht="12.75">
      <c r="A324" s="6" t="s">
        <v>320</v>
      </c>
      <c r="B324" s="6"/>
      <c r="E324" s="125">
        <f aca="true" t="shared" si="25" ref="E324:J324">SUM($H$222:$H$227)*(1-E323)</f>
        <v>0</v>
      </c>
      <c r="F324" s="125">
        <f t="shared" si="25"/>
        <v>0</v>
      </c>
      <c r="G324" s="125">
        <f t="shared" si="25"/>
        <v>0</v>
      </c>
      <c r="H324" s="125">
        <f t="shared" si="25"/>
        <v>0</v>
      </c>
      <c r="I324" s="125">
        <f t="shared" si="25"/>
        <v>0</v>
      </c>
      <c r="J324" s="125">
        <f t="shared" si="25"/>
        <v>0</v>
      </c>
      <c r="K324" s="108"/>
      <c r="L324" s="108"/>
    </row>
    <row r="325" spans="1:12" ht="13.5" thickBot="1">
      <c r="A325" s="442" t="s">
        <v>321</v>
      </c>
      <c r="B325" s="6"/>
      <c r="E325" s="237">
        <f aca="true" t="shared" si="26" ref="E325:J325">SUM($H$229:$H$230)</f>
        <v>0</v>
      </c>
      <c r="F325" s="237">
        <f t="shared" si="26"/>
        <v>0</v>
      </c>
      <c r="G325" s="237">
        <f t="shared" si="26"/>
        <v>0</v>
      </c>
      <c r="H325" s="237">
        <f t="shared" si="26"/>
        <v>0</v>
      </c>
      <c r="I325" s="237">
        <f t="shared" si="26"/>
        <v>0</v>
      </c>
      <c r="J325" s="237">
        <f t="shared" si="26"/>
        <v>0</v>
      </c>
      <c r="K325" s="108"/>
      <c r="L325" s="108"/>
    </row>
    <row r="326" spans="1:12" ht="13.5" thickTop="1">
      <c r="A326" s="6" t="s">
        <v>322</v>
      </c>
      <c r="B326" s="6"/>
      <c r="E326" s="125">
        <f aca="true" t="shared" si="27" ref="E326:J326">SUM(E324:E325)</f>
        <v>0</v>
      </c>
      <c r="F326" s="125">
        <f t="shared" si="27"/>
        <v>0</v>
      </c>
      <c r="G326" s="125">
        <f t="shared" si="27"/>
        <v>0</v>
      </c>
      <c r="H326" s="125">
        <f t="shared" si="27"/>
        <v>0</v>
      </c>
      <c r="I326" s="125">
        <f t="shared" si="27"/>
        <v>0</v>
      </c>
      <c r="J326" s="125">
        <f t="shared" si="27"/>
        <v>0</v>
      </c>
      <c r="K326" s="108"/>
      <c r="L326" s="108"/>
    </row>
    <row r="327" spans="1:12" ht="15.75">
      <c r="A327" s="131" t="s">
        <v>137</v>
      </c>
      <c r="B327" s="6"/>
      <c r="D327" s="6"/>
      <c r="E327" s="542" t="s">
        <v>149</v>
      </c>
      <c r="F327" s="542"/>
      <c r="G327" s="542"/>
      <c r="H327" s="122"/>
      <c r="I327" s="108"/>
      <c r="J327" s="119"/>
      <c r="K327" s="108"/>
      <c r="L327" s="108"/>
    </row>
    <row r="328" spans="1:12" ht="15.75">
      <c r="A328" s="534" t="s">
        <v>141</v>
      </c>
      <c r="B328" s="534"/>
      <c r="C328" s="534"/>
      <c r="D328" s="534"/>
      <c r="E328" s="534"/>
      <c r="F328" s="534"/>
      <c r="G328" s="534"/>
      <c r="H328" s="130"/>
      <c r="I328" s="119"/>
      <c r="J328" s="119"/>
      <c r="K328" s="108"/>
      <c r="L328" s="108"/>
    </row>
    <row r="329" spans="1:12" ht="12.75">
      <c r="A329" s="102" t="s">
        <v>324</v>
      </c>
      <c r="B329" s="108"/>
      <c r="C329" s="108"/>
      <c r="D329" s="6"/>
      <c r="E329" s="108"/>
      <c r="F329" s="108"/>
      <c r="G329" s="108"/>
      <c r="H329" s="108"/>
      <c r="I329" s="119"/>
      <c r="J329" s="119"/>
      <c r="K329" s="108"/>
      <c r="L329" s="108"/>
    </row>
    <row r="330" spans="1:12" ht="12.75">
      <c r="A330" s="102" t="s">
        <v>323</v>
      </c>
      <c r="B330" s="108"/>
      <c r="C330" s="108"/>
      <c r="D330" s="6"/>
      <c r="E330" s="108"/>
      <c r="F330" s="108"/>
      <c r="G330" s="108"/>
      <c r="H330" s="108"/>
      <c r="I330" s="119"/>
      <c r="J330" s="119"/>
      <c r="K330" s="108"/>
      <c r="L330" s="108"/>
    </row>
    <row r="331" spans="2:12" ht="12.75">
      <c r="B331" s="102"/>
      <c r="C331" s="102"/>
      <c r="D331" s="6"/>
      <c r="E331" s="102"/>
      <c r="F331" s="150" t="s">
        <v>325</v>
      </c>
      <c r="G331" s="183">
        <v>0.2</v>
      </c>
      <c r="H331" s="102"/>
      <c r="I331" s="119"/>
      <c r="J331" s="119"/>
      <c r="K331" s="108"/>
      <c r="L331" s="108"/>
    </row>
    <row r="332" spans="1:12" ht="16.5" customHeight="1">
      <c r="A332" s="102" t="s">
        <v>339</v>
      </c>
      <c r="B332" s="102"/>
      <c r="C332" s="102"/>
      <c r="D332" s="6"/>
      <c r="E332" s="102"/>
      <c r="F332" s="102"/>
      <c r="G332" s="102"/>
      <c r="H332" s="102"/>
      <c r="I332" s="119"/>
      <c r="J332" s="119"/>
      <c r="K332" s="108"/>
      <c r="L332" s="108"/>
    </row>
    <row r="333" spans="1:12" ht="50.25" customHeight="1" thickBot="1">
      <c r="A333" s="102"/>
      <c r="B333" s="102"/>
      <c r="C333" s="159" t="s">
        <v>142</v>
      </c>
      <c r="D333" s="452" t="s">
        <v>338</v>
      </c>
      <c r="E333" s="159" t="s">
        <v>143</v>
      </c>
      <c r="F333" s="160" t="s">
        <v>326</v>
      </c>
      <c r="G333" s="160" t="s">
        <v>327</v>
      </c>
      <c r="H333" s="102"/>
      <c r="I333" s="108"/>
      <c r="J333" s="108"/>
      <c r="K333" s="108"/>
      <c r="L333" s="108"/>
    </row>
    <row r="334" spans="1:12" ht="13.5" thickTop="1">
      <c r="A334" s="6" t="s">
        <v>335</v>
      </c>
      <c r="B334" s="102"/>
      <c r="C334" s="161">
        <f>$E$11</f>
        <v>1.75</v>
      </c>
      <c r="D334" s="443">
        <v>0.8</v>
      </c>
      <c r="E334" s="446">
        <f>D334/C334</f>
        <v>0.4571428571428572</v>
      </c>
      <c r="F334" s="163">
        <f>H222*(1-$G$331)</f>
        <v>0</v>
      </c>
      <c r="G334" s="164">
        <f>E334*F334</f>
        <v>0</v>
      </c>
      <c r="H334" s="102"/>
      <c r="I334" s="108"/>
      <c r="J334" s="108"/>
      <c r="K334" s="108"/>
      <c r="L334" s="108"/>
    </row>
    <row r="335" spans="1:12" ht="12.75">
      <c r="A335" s="6" t="s">
        <v>334</v>
      </c>
      <c r="B335" s="102"/>
      <c r="C335" s="165">
        <f>$E$12</f>
        <v>1.75</v>
      </c>
      <c r="D335" s="444">
        <v>0.75</v>
      </c>
      <c r="E335" s="447">
        <f>D335/C335</f>
        <v>0.42857142857142855</v>
      </c>
      <c r="F335" s="128">
        <f>H223*(1-$G$331)</f>
        <v>0</v>
      </c>
      <c r="G335" s="168">
        <f>E335*F335</f>
        <v>0</v>
      </c>
      <c r="H335" s="102"/>
      <c r="I335" s="108"/>
      <c r="J335" s="108"/>
      <c r="K335" s="108"/>
      <c r="L335" s="108"/>
    </row>
    <row r="336" spans="1:12" ht="15" customHeight="1">
      <c r="A336" s="6" t="s">
        <v>333</v>
      </c>
      <c r="B336" s="102"/>
      <c r="C336" s="165">
        <f>$E$14</f>
        <v>0</v>
      </c>
      <c r="D336" s="444">
        <v>0.65</v>
      </c>
      <c r="E336" s="447">
        <f>IF(C336=0,0,D336/C336)</f>
        <v>0</v>
      </c>
      <c r="F336" s="128">
        <f>H225*(1-$G$331)</f>
        <v>0</v>
      </c>
      <c r="G336" s="168">
        <f>E336*F336</f>
        <v>0</v>
      </c>
      <c r="H336" s="102"/>
      <c r="I336" s="108"/>
      <c r="J336" s="113"/>
      <c r="K336" s="113"/>
      <c r="L336" s="113"/>
    </row>
    <row r="337" spans="1:12" ht="15" customHeight="1">
      <c r="A337" s="6" t="s">
        <v>336</v>
      </c>
      <c r="B337" s="102"/>
      <c r="C337" s="165">
        <f>$E$13</f>
        <v>0.84</v>
      </c>
      <c r="D337" s="444">
        <v>0.27</v>
      </c>
      <c r="E337" s="447">
        <f>IF(C337=0,0,D337/C337)</f>
        <v>0.32142857142857145</v>
      </c>
      <c r="F337" s="128">
        <f>H224*(1-$G$331)</f>
        <v>0</v>
      </c>
      <c r="G337" s="168">
        <f>E337*F337</f>
        <v>0</v>
      </c>
      <c r="H337" s="102"/>
      <c r="I337" s="108"/>
      <c r="J337" s="113"/>
      <c r="K337" s="113"/>
      <c r="L337" s="113"/>
    </row>
    <row r="338" spans="1:12" ht="15" customHeight="1" thickBot="1">
      <c r="A338" s="6" t="s">
        <v>337</v>
      </c>
      <c r="B338" s="102"/>
      <c r="C338" s="169">
        <f>$E$16</f>
        <v>0.25</v>
      </c>
      <c r="D338" s="445">
        <v>0.3</v>
      </c>
      <c r="E338" s="448">
        <f>IF(C338=0,0,D338/C338)</f>
        <v>1.2</v>
      </c>
      <c r="F338" s="178">
        <f>H226*(1-$G$331)</f>
        <v>0</v>
      </c>
      <c r="G338" s="171">
        <f>E338*F338</f>
        <v>0</v>
      </c>
      <c r="H338" s="102"/>
      <c r="I338" s="108"/>
      <c r="J338" s="113"/>
      <c r="K338" s="113"/>
      <c r="L338" s="113"/>
    </row>
    <row r="339" spans="1:12" ht="15" customHeight="1" thickTop="1">
      <c r="A339" s="6"/>
      <c r="B339" s="102"/>
      <c r="C339" s="172"/>
      <c r="D339" s="166"/>
      <c r="E339" s="238" t="s">
        <v>328</v>
      </c>
      <c r="F339" s="129">
        <f>SUM(F334:F338)</f>
        <v>0</v>
      </c>
      <c r="G339" s="174"/>
      <c r="H339" s="102"/>
      <c r="I339" s="108"/>
      <c r="J339" s="113"/>
      <c r="K339" s="113"/>
      <c r="L339" s="113"/>
    </row>
    <row r="340" spans="1:12" ht="12" customHeight="1">
      <c r="A340" s="102"/>
      <c r="B340" s="102"/>
      <c r="C340" s="102"/>
      <c r="D340" s="102"/>
      <c r="E340" s="12" t="s">
        <v>329</v>
      </c>
      <c r="F340" s="140">
        <f>E325</f>
        <v>0</v>
      </c>
      <c r="G340" s="140">
        <f>E325</f>
        <v>0</v>
      </c>
      <c r="H340" s="102"/>
      <c r="I340" s="108"/>
      <c r="J340" s="108"/>
      <c r="K340" s="108"/>
      <c r="L340" s="108"/>
    </row>
    <row r="341" spans="1:12" ht="12" customHeight="1">
      <c r="A341" s="102"/>
      <c r="B341" s="102"/>
      <c r="C341" s="102"/>
      <c r="D341" s="102"/>
      <c r="E341" s="449" t="s">
        <v>330</v>
      </c>
      <c r="F341" s="126">
        <f>SUM(F339:F340)</f>
        <v>0</v>
      </c>
      <c r="G341" s="174"/>
      <c r="H341" s="102"/>
      <c r="I341" s="108"/>
      <c r="J341" s="108"/>
      <c r="K341" s="108"/>
      <c r="L341" s="108"/>
    </row>
    <row r="342" spans="1:12" ht="12" customHeight="1">
      <c r="A342" s="102"/>
      <c r="B342" s="102"/>
      <c r="C342" s="102"/>
      <c r="D342" s="102"/>
      <c r="E342" s="102"/>
      <c r="F342" s="150" t="s">
        <v>331</v>
      </c>
      <c r="G342" s="126">
        <f>SUM(G334:G340)</f>
        <v>0</v>
      </c>
      <c r="H342" s="102"/>
      <c r="I342" s="108"/>
      <c r="J342" s="108"/>
      <c r="K342" s="108"/>
      <c r="L342" s="108"/>
    </row>
    <row r="343" spans="1:12" ht="12" customHeight="1">
      <c r="A343" s="108"/>
      <c r="B343" s="108"/>
      <c r="C343" s="108"/>
      <c r="D343" s="108"/>
      <c r="E343" s="108"/>
      <c r="F343" s="108"/>
      <c r="G343" s="108"/>
      <c r="H343" s="108"/>
      <c r="I343" s="108"/>
      <c r="J343" s="108"/>
      <c r="K343" s="108"/>
      <c r="L343" s="108"/>
    </row>
    <row r="344" spans="1:12" ht="12" customHeight="1">
      <c r="A344" s="108"/>
      <c r="B344" s="108"/>
      <c r="C344" s="108"/>
      <c r="D344" s="108"/>
      <c r="E344" s="108"/>
      <c r="F344" s="108"/>
      <c r="G344" s="108"/>
      <c r="H344" s="108"/>
      <c r="I344" s="108"/>
      <c r="J344" s="108"/>
      <c r="K344" s="108"/>
      <c r="L344" s="108"/>
    </row>
    <row r="345" spans="1:12" ht="57" customHeight="1" thickBot="1">
      <c r="A345" s="102"/>
      <c r="B345" s="102"/>
      <c r="C345" s="160" t="s">
        <v>346</v>
      </c>
      <c r="D345" s="452" t="s">
        <v>345</v>
      </c>
      <c r="E345" s="175" t="s">
        <v>145</v>
      </c>
      <c r="F345" s="160" t="s">
        <v>326</v>
      </c>
      <c r="G345" s="160" t="s">
        <v>332</v>
      </c>
      <c r="H345" s="102"/>
      <c r="I345" s="108"/>
      <c r="J345" s="108"/>
      <c r="K345" s="108"/>
      <c r="L345" s="108"/>
    </row>
    <row r="346" spans="1:12" ht="12" customHeight="1" thickTop="1">
      <c r="A346" s="6" t="s">
        <v>340</v>
      </c>
      <c r="B346" s="102"/>
      <c r="C346" s="176">
        <f>$D$11</f>
        <v>94</v>
      </c>
      <c r="D346" s="453">
        <v>95</v>
      </c>
      <c r="E346" s="446">
        <f>D346/C346</f>
        <v>1.0106382978723405</v>
      </c>
      <c r="F346" s="163">
        <f>H222*(1-$G$331)</f>
        <v>0</v>
      </c>
      <c r="G346" s="164">
        <f>E346*F346</f>
        <v>0</v>
      </c>
      <c r="H346" s="102"/>
      <c r="I346" s="108"/>
      <c r="J346" s="108"/>
      <c r="K346" s="108"/>
      <c r="L346" s="108"/>
    </row>
    <row r="347" spans="1:12" ht="12.75">
      <c r="A347" s="6" t="s">
        <v>341</v>
      </c>
      <c r="B347" s="102"/>
      <c r="C347" s="177">
        <f>$D$12</f>
        <v>88</v>
      </c>
      <c r="D347" s="454">
        <v>85</v>
      </c>
      <c r="E347" s="447">
        <f>D347/C347</f>
        <v>0.9659090909090909</v>
      </c>
      <c r="F347" s="128">
        <f>H223*(1-$G$331)</f>
        <v>0</v>
      </c>
      <c r="G347" s="168">
        <f>E347*F347</f>
        <v>0</v>
      </c>
      <c r="H347" s="102"/>
      <c r="I347" s="108"/>
      <c r="J347" s="108"/>
      <c r="K347" s="108"/>
      <c r="L347" s="108"/>
    </row>
    <row r="348" spans="1:12" ht="12.75">
      <c r="A348" s="6" t="s">
        <v>342</v>
      </c>
      <c r="B348" s="102"/>
      <c r="C348" s="177">
        <f>$D$14</f>
        <v>0</v>
      </c>
      <c r="D348" s="454">
        <v>0</v>
      </c>
      <c r="E348" s="456">
        <f>IF(C348=0,0,D348/C348)</f>
        <v>0</v>
      </c>
      <c r="F348" s="128">
        <f>H225*(1-$G$331)</f>
        <v>0</v>
      </c>
      <c r="G348" s="168">
        <f>E348*F348</f>
        <v>0</v>
      </c>
      <c r="H348" s="102"/>
      <c r="I348" s="108"/>
      <c r="J348" s="108"/>
      <c r="K348" s="108"/>
      <c r="L348" s="108"/>
    </row>
    <row r="349" spans="1:12" ht="12.75">
      <c r="A349" s="6" t="s">
        <v>343</v>
      </c>
      <c r="B349" s="102"/>
      <c r="C349" s="450">
        <f>$D$13</f>
        <v>150</v>
      </c>
      <c r="D349" s="454">
        <v>0</v>
      </c>
      <c r="E349" s="456">
        <f>IF(C349=0,0,D349/C349)</f>
        <v>0</v>
      </c>
      <c r="F349" s="128">
        <f>H224*(1-$G$331)</f>
        <v>0</v>
      </c>
      <c r="G349" s="168">
        <f>E349*F349</f>
        <v>0</v>
      </c>
      <c r="H349" s="102"/>
      <c r="I349" s="108"/>
      <c r="J349" s="108"/>
      <c r="K349" s="108"/>
      <c r="L349" s="108"/>
    </row>
    <row r="350" spans="1:12" ht="13.5" thickBot="1">
      <c r="A350" s="6" t="s">
        <v>344</v>
      </c>
      <c r="B350" s="102"/>
      <c r="C350" s="451">
        <f>$D$16</f>
        <v>200</v>
      </c>
      <c r="D350" s="455">
        <v>0</v>
      </c>
      <c r="E350" s="457">
        <f>IF(C350=0,0,D350/C350)</f>
        <v>0</v>
      </c>
      <c r="F350" s="178">
        <f>H226*(1-$G$331)</f>
        <v>0</v>
      </c>
      <c r="G350" s="171">
        <f>E350*F350</f>
        <v>0</v>
      </c>
      <c r="H350" s="102"/>
      <c r="I350" s="108"/>
      <c r="J350" s="108"/>
      <c r="K350" s="108"/>
      <c r="L350" s="108"/>
    </row>
    <row r="351" spans="1:12" ht="13.5" thickTop="1">
      <c r="A351" s="102"/>
      <c r="B351" s="102"/>
      <c r="C351" s="102"/>
      <c r="D351" s="102"/>
      <c r="E351" s="173" t="s">
        <v>144</v>
      </c>
      <c r="F351" s="140">
        <f>SUM(F346:F350)</f>
        <v>0</v>
      </c>
      <c r="G351" s="179"/>
      <c r="H351" s="102"/>
      <c r="I351" s="108"/>
      <c r="J351" s="108"/>
      <c r="K351" s="108"/>
      <c r="L351" s="108"/>
    </row>
    <row r="352" spans="1:12" ht="12.75">
      <c r="A352" s="102"/>
      <c r="B352" s="102"/>
      <c r="C352" s="102"/>
      <c r="D352" s="102"/>
      <c r="E352" s="12" t="s">
        <v>329</v>
      </c>
      <c r="F352" s="128">
        <f>E325</f>
        <v>0</v>
      </c>
      <c r="G352" s="140">
        <f>E325</f>
        <v>0</v>
      </c>
      <c r="H352" s="102"/>
      <c r="I352" s="108"/>
      <c r="J352" s="108"/>
      <c r="K352" s="108"/>
      <c r="L352" s="108"/>
    </row>
    <row r="353" spans="1:12" ht="12.75">
      <c r="A353" s="102"/>
      <c r="B353" s="102"/>
      <c r="C353" s="102"/>
      <c r="D353" s="102"/>
      <c r="E353" s="449" t="s">
        <v>330</v>
      </c>
      <c r="F353" s="225">
        <f>SUM(F351:F352)</f>
        <v>0</v>
      </c>
      <c r="G353" s="179"/>
      <c r="H353" s="102"/>
      <c r="I353" s="108"/>
      <c r="J353" s="108"/>
      <c r="K353" s="108"/>
      <c r="L353" s="108"/>
    </row>
    <row r="354" spans="1:12" ht="12.75">
      <c r="A354" s="102"/>
      <c r="B354" s="102"/>
      <c r="C354" s="102"/>
      <c r="D354" s="102"/>
      <c r="E354" s="102"/>
      <c r="F354" s="150" t="s">
        <v>347</v>
      </c>
      <c r="G354" s="126">
        <f>SUM(G346:G353)</f>
        <v>0</v>
      </c>
      <c r="H354" s="102"/>
      <c r="I354" s="108"/>
      <c r="J354" s="108"/>
      <c r="K354" s="108"/>
      <c r="L354" s="108"/>
    </row>
    <row r="355" spans="1:12" ht="12.75">
      <c r="A355" s="102"/>
      <c r="B355" s="102"/>
      <c r="C355" s="102"/>
      <c r="D355" s="102"/>
      <c r="E355" s="102"/>
      <c r="G355" s="126"/>
      <c r="H355" s="102"/>
      <c r="I355" s="108"/>
      <c r="J355" s="108"/>
      <c r="K355" s="108"/>
      <c r="L355" s="108"/>
    </row>
    <row r="356" spans="1:12" ht="76.5">
      <c r="A356" s="102"/>
      <c r="B356" s="102"/>
      <c r="D356" s="160" t="s">
        <v>348</v>
      </c>
      <c r="E356" s="159" t="s">
        <v>143</v>
      </c>
      <c r="F356" s="175" t="s">
        <v>145</v>
      </c>
      <c r="G356" s="160" t="s">
        <v>349</v>
      </c>
      <c r="H356" s="102"/>
      <c r="I356" s="108"/>
      <c r="J356" s="108"/>
      <c r="K356" s="108"/>
      <c r="L356" s="108"/>
    </row>
    <row r="357" spans="1:12" ht="12.75">
      <c r="A357" s="6" t="s">
        <v>275</v>
      </c>
      <c r="B357" s="102"/>
      <c r="D357" s="180">
        <f>H222*(1-$G$331)</f>
        <v>0</v>
      </c>
      <c r="E357" s="162">
        <f>$E$334</f>
        <v>0.4571428571428572</v>
      </c>
      <c r="F357" s="162">
        <f>$E$346</f>
        <v>1.0106382978723405</v>
      </c>
      <c r="G357" s="164">
        <f>D357*E357*F357</f>
        <v>0</v>
      </c>
      <c r="H357" s="102"/>
      <c r="I357" s="108"/>
      <c r="J357" s="108"/>
      <c r="K357" s="108"/>
      <c r="L357" s="108"/>
    </row>
    <row r="358" spans="1:12" ht="12.75">
      <c r="A358" s="6" t="s">
        <v>351</v>
      </c>
      <c r="B358" s="102"/>
      <c r="D358" s="181">
        <f>H223*(1-$G$331)</f>
        <v>0</v>
      </c>
      <c r="E358" s="167">
        <f>$E$335</f>
        <v>0.42857142857142855</v>
      </c>
      <c r="F358" s="167">
        <f>$E$347</f>
        <v>0.9659090909090909</v>
      </c>
      <c r="G358" s="168">
        <f>D358*E358*F358</f>
        <v>0</v>
      </c>
      <c r="H358" s="102"/>
      <c r="I358" s="108"/>
      <c r="J358" s="108"/>
      <c r="K358" s="108"/>
      <c r="L358" s="108"/>
    </row>
    <row r="359" spans="1:12" ht="12.75">
      <c r="A359" s="6" t="s">
        <v>350</v>
      </c>
      <c r="B359" s="102"/>
      <c r="D359" s="181">
        <f>H225*(1-$G$331)</f>
        <v>0</v>
      </c>
      <c r="E359" s="167">
        <f>E336</f>
        <v>0</v>
      </c>
      <c r="F359" s="167">
        <f>E348</f>
        <v>0</v>
      </c>
      <c r="G359" s="168">
        <f>D359*E359*F359</f>
        <v>0</v>
      </c>
      <c r="H359" s="102"/>
      <c r="I359" s="108"/>
      <c r="J359" s="108"/>
      <c r="K359" s="108"/>
      <c r="L359" s="108"/>
    </row>
    <row r="360" spans="1:12" ht="12.75">
      <c r="A360" s="6" t="s">
        <v>237</v>
      </c>
      <c r="B360" s="102"/>
      <c r="D360" s="181">
        <f>H224*(1-$G$331)</f>
        <v>0</v>
      </c>
      <c r="E360" s="167">
        <f>E337</f>
        <v>0.32142857142857145</v>
      </c>
      <c r="F360" s="167">
        <f>E349</f>
        <v>0</v>
      </c>
      <c r="G360" s="168">
        <f>D360*E360*F360</f>
        <v>0</v>
      </c>
      <c r="H360" s="102"/>
      <c r="I360" s="108"/>
      <c r="J360" s="108"/>
      <c r="K360" s="108"/>
      <c r="L360" s="108"/>
    </row>
    <row r="361" spans="1:12" ht="12.75">
      <c r="A361" s="6" t="s">
        <v>239</v>
      </c>
      <c r="B361" s="102"/>
      <c r="D361" s="182">
        <f>H226*(1-$G$331)</f>
        <v>0</v>
      </c>
      <c r="E361" s="170">
        <f>E338</f>
        <v>1.2</v>
      </c>
      <c r="F361" s="170">
        <f>E350</f>
        <v>0</v>
      </c>
      <c r="G361" s="171">
        <f>D361*E361*F361</f>
        <v>0</v>
      </c>
      <c r="H361" s="102"/>
      <c r="I361" s="108"/>
      <c r="J361" s="108"/>
      <c r="K361" s="108"/>
      <c r="L361" s="108"/>
    </row>
    <row r="362" spans="1:12" ht="12.75">
      <c r="A362" s="102"/>
      <c r="B362" s="102"/>
      <c r="D362" s="459"/>
      <c r="E362" s="102"/>
      <c r="F362" s="449" t="s">
        <v>352</v>
      </c>
      <c r="G362" s="458">
        <f>SUM(G357:G361)</f>
        <v>0</v>
      </c>
      <c r="H362" s="102"/>
      <c r="I362" s="108"/>
      <c r="J362" s="108"/>
      <c r="K362" s="108"/>
      <c r="L362" s="108"/>
    </row>
    <row r="363" spans="1:12" ht="12.75">
      <c r="A363" s="102"/>
      <c r="B363" s="102"/>
      <c r="D363" s="102"/>
      <c r="E363" s="102"/>
      <c r="F363" s="12" t="s">
        <v>353</v>
      </c>
      <c r="G363" s="140">
        <f>E325</f>
        <v>0</v>
      </c>
      <c r="H363" s="102"/>
      <c r="I363" s="108"/>
      <c r="J363" s="108"/>
      <c r="K363" s="108"/>
      <c r="L363" s="108"/>
    </row>
    <row r="364" spans="1:12" ht="12.75">
      <c r="A364" s="108"/>
      <c r="B364" s="102"/>
      <c r="D364" s="102"/>
      <c r="E364" s="102"/>
      <c r="F364" s="150" t="s">
        <v>157</v>
      </c>
      <c r="G364" s="126">
        <f>SUM(G362:G363)</f>
        <v>0</v>
      </c>
      <c r="H364" s="108"/>
      <c r="I364" s="108"/>
      <c r="J364" s="108"/>
      <c r="K364" s="108"/>
      <c r="L364" s="108"/>
    </row>
    <row r="365" spans="1:12" ht="12.75">
      <c r="A365" s="108"/>
      <c r="B365" s="108"/>
      <c r="C365" s="108"/>
      <c r="D365" s="108"/>
      <c r="E365" s="108"/>
      <c r="F365" s="108"/>
      <c r="G365" s="108"/>
      <c r="H365" s="108"/>
      <c r="I365" s="108"/>
      <c r="J365" s="108"/>
      <c r="K365" s="108"/>
      <c r="L365" s="108"/>
    </row>
    <row r="366" spans="1:12" ht="12.75">
      <c r="A366" s="108"/>
      <c r="B366" s="108"/>
      <c r="C366" s="108"/>
      <c r="D366" s="108"/>
      <c r="E366" s="108"/>
      <c r="F366" s="108"/>
      <c r="G366" s="108"/>
      <c r="H366" s="108"/>
      <c r="I366" s="108"/>
      <c r="J366" s="108"/>
      <c r="K366" s="108"/>
      <c r="L366" s="108"/>
    </row>
    <row r="367" spans="9:12" ht="12.75">
      <c r="I367" s="108"/>
      <c r="J367" s="108"/>
      <c r="K367" s="108"/>
      <c r="L367" s="108"/>
    </row>
    <row r="368" spans="9:12" ht="12.75">
      <c r="I368" s="108"/>
      <c r="J368" s="108"/>
      <c r="K368" s="108"/>
      <c r="L368" s="108"/>
    </row>
    <row r="369" spans="9:12" ht="12.75">
      <c r="I369" s="108"/>
      <c r="J369" s="108"/>
      <c r="K369" s="108"/>
      <c r="L369" s="108"/>
    </row>
    <row r="370" spans="9:12" ht="12.75">
      <c r="I370" s="108"/>
      <c r="J370" s="108"/>
      <c r="K370" s="108"/>
      <c r="L370" s="108"/>
    </row>
    <row r="371" spans="9:12" ht="12.75">
      <c r="I371" s="108"/>
      <c r="J371" s="108"/>
      <c r="K371" s="108"/>
      <c r="L371" s="108"/>
    </row>
    <row r="372" spans="9:12" ht="12.75">
      <c r="I372" s="108"/>
      <c r="J372" s="108"/>
      <c r="K372" s="108"/>
      <c r="L372" s="108"/>
    </row>
    <row r="373" spans="9:12" ht="12.75">
      <c r="I373" s="108"/>
      <c r="J373" s="108"/>
      <c r="K373" s="108"/>
      <c r="L373" s="108"/>
    </row>
    <row r="374" spans="9:12" ht="12.75">
      <c r="I374" s="108"/>
      <c r="J374" s="108"/>
      <c r="K374" s="108"/>
      <c r="L374" s="108"/>
    </row>
    <row r="375" spans="9:12" ht="12.75">
      <c r="I375" s="108"/>
      <c r="J375" s="108"/>
      <c r="K375" s="108"/>
      <c r="L375" s="108"/>
    </row>
    <row r="376" spans="9:12" ht="12.75">
      <c r="I376" s="108"/>
      <c r="J376" s="108"/>
      <c r="K376" s="108"/>
      <c r="L376" s="108"/>
    </row>
    <row r="377" spans="9:12" ht="12.75">
      <c r="I377" s="108"/>
      <c r="J377" s="108"/>
      <c r="K377" s="108"/>
      <c r="L377" s="108"/>
    </row>
    <row r="378" spans="9:12" ht="12.75">
      <c r="I378" s="108"/>
      <c r="J378" s="108"/>
      <c r="K378" s="108"/>
      <c r="L378" s="108"/>
    </row>
    <row r="379" spans="9:12" ht="12.75">
      <c r="I379" s="108"/>
      <c r="J379" s="108"/>
      <c r="K379" s="108"/>
      <c r="L379" s="108"/>
    </row>
    <row r="380" spans="9:12" ht="12.75">
      <c r="I380" s="108"/>
      <c r="J380" s="108"/>
      <c r="K380" s="108"/>
      <c r="L380" s="108"/>
    </row>
    <row r="381" spans="9:12" ht="12.75">
      <c r="I381" s="108"/>
      <c r="J381" s="108"/>
      <c r="K381" s="108"/>
      <c r="L381" s="108"/>
    </row>
    <row r="382" spans="9:12" ht="12.75">
      <c r="I382" s="108"/>
      <c r="J382" s="108"/>
      <c r="K382" s="108"/>
      <c r="L382" s="108"/>
    </row>
    <row r="383" spans="9:12" ht="12.75">
      <c r="I383" s="108"/>
      <c r="J383" s="108"/>
      <c r="K383" s="108"/>
      <c r="L383" s="108"/>
    </row>
    <row r="384" spans="9:12" ht="12.75">
      <c r="I384" s="108"/>
      <c r="J384" s="108"/>
      <c r="K384" s="108"/>
      <c r="L384" s="108"/>
    </row>
    <row r="385" spans="1:12" ht="12.75">
      <c r="A385" s="108"/>
      <c r="B385" s="108"/>
      <c r="C385" s="108"/>
      <c r="D385" s="108"/>
      <c r="E385" s="108"/>
      <c r="F385" s="108"/>
      <c r="G385" s="108"/>
      <c r="H385" s="108"/>
      <c r="I385" s="108"/>
      <c r="J385" s="108"/>
      <c r="K385" s="108"/>
      <c r="L385" s="108"/>
    </row>
    <row r="386" spans="1:12" ht="12.75">
      <c r="A386" s="108"/>
      <c r="B386" s="108"/>
      <c r="C386" s="108"/>
      <c r="D386" s="108"/>
      <c r="E386" s="108"/>
      <c r="F386" s="108"/>
      <c r="G386" s="108"/>
      <c r="H386" s="108"/>
      <c r="I386" s="108"/>
      <c r="J386" s="108"/>
      <c r="K386" s="108"/>
      <c r="L386" s="108"/>
    </row>
    <row r="387" spans="10:12" ht="12.75">
      <c r="J387" s="108"/>
      <c r="K387" s="108"/>
      <c r="L387" s="108"/>
    </row>
    <row r="388" spans="10:12" ht="12.75">
      <c r="J388" s="108"/>
      <c r="K388" s="108"/>
      <c r="L388" s="108"/>
    </row>
    <row r="389" spans="10:12" ht="12.75">
      <c r="J389" s="108"/>
      <c r="K389" s="108"/>
      <c r="L389" s="108"/>
    </row>
    <row r="390" spans="10:12" ht="12.75">
      <c r="J390" s="108"/>
      <c r="K390" s="108"/>
      <c r="L390" s="108"/>
    </row>
    <row r="391" spans="10:12" ht="12.75">
      <c r="J391" s="108"/>
      <c r="K391" s="108"/>
      <c r="L391" s="108"/>
    </row>
    <row r="392" spans="10:12" ht="12.75">
      <c r="J392" s="108"/>
      <c r="K392" s="108"/>
      <c r="L392" s="108"/>
    </row>
    <row r="393" spans="10:12" ht="12.75">
      <c r="J393" s="108"/>
      <c r="K393" s="108"/>
      <c r="L393" s="108"/>
    </row>
    <row r="394" spans="10:12" ht="12.75">
      <c r="J394" s="108"/>
      <c r="K394" s="108"/>
      <c r="L394" s="108"/>
    </row>
    <row r="395" spans="10:12" ht="12.75">
      <c r="J395" s="108"/>
      <c r="K395" s="108"/>
      <c r="L395" s="108"/>
    </row>
    <row r="396" spans="10:12" ht="12.75">
      <c r="J396" s="108"/>
      <c r="K396" s="108"/>
      <c r="L396" s="108"/>
    </row>
    <row r="397" spans="10:12" ht="12.75">
      <c r="J397" s="108"/>
      <c r="K397" s="108"/>
      <c r="L397" s="108"/>
    </row>
    <row r="398" spans="10:12" ht="12.75">
      <c r="J398" s="108"/>
      <c r="K398" s="108"/>
      <c r="L398" s="108"/>
    </row>
    <row r="399" spans="10:12" ht="12.75">
      <c r="J399" s="108"/>
      <c r="K399" s="108"/>
      <c r="L399" s="108"/>
    </row>
    <row r="400" spans="10:12" ht="12.75">
      <c r="J400" s="108"/>
      <c r="K400" s="108"/>
      <c r="L400" s="108"/>
    </row>
    <row r="401" spans="10:12" ht="12.75">
      <c r="J401" s="108"/>
      <c r="K401" s="108"/>
      <c r="L401" s="108"/>
    </row>
    <row r="402" spans="10:12" ht="12.75">
      <c r="J402" s="108"/>
      <c r="K402" s="108"/>
      <c r="L402" s="108"/>
    </row>
    <row r="403" spans="10:12" ht="12.75">
      <c r="J403" s="108"/>
      <c r="K403" s="108"/>
      <c r="L403" s="108"/>
    </row>
    <row r="404" spans="10:12" ht="12.75">
      <c r="J404" s="108"/>
      <c r="K404" s="108"/>
      <c r="L404" s="108"/>
    </row>
    <row r="405" spans="10:12" ht="12.75">
      <c r="J405" s="108"/>
      <c r="K405" s="108"/>
      <c r="L405" s="108"/>
    </row>
    <row r="406" spans="10:12" ht="12.75">
      <c r="J406" s="108"/>
      <c r="K406" s="108"/>
      <c r="L406" s="108"/>
    </row>
    <row r="407" spans="10:12" ht="12.75">
      <c r="J407" s="108"/>
      <c r="K407" s="108"/>
      <c r="L407" s="108"/>
    </row>
    <row r="408" spans="10:12" ht="12.75">
      <c r="J408" s="108"/>
      <c r="K408" s="108"/>
      <c r="L408" s="108"/>
    </row>
    <row r="409" spans="10:12" ht="12.75">
      <c r="J409" s="108"/>
      <c r="K409" s="108"/>
      <c r="L409" s="108"/>
    </row>
    <row r="410" spans="10:12" ht="12.75">
      <c r="J410" s="108"/>
      <c r="K410" s="108"/>
      <c r="L410" s="108"/>
    </row>
    <row r="411" spans="10:12" ht="12.75">
      <c r="J411" s="108"/>
      <c r="K411" s="108"/>
      <c r="L411" s="108"/>
    </row>
    <row r="412" spans="10:12" ht="12.75">
      <c r="J412" s="108"/>
      <c r="K412" s="108"/>
      <c r="L412" s="108"/>
    </row>
    <row r="413" spans="10:12" ht="12.75">
      <c r="J413" s="108"/>
      <c r="K413" s="108"/>
      <c r="L413" s="108"/>
    </row>
    <row r="414" spans="10:12" ht="12.75">
      <c r="J414" s="108"/>
      <c r="K414" s="108"/>
      <c r="L414" s="108"/>
    </row>
    <row r="415" spans="1:12" ht="12.75">
      <c r="A415" s="108"/>
      <c r="B415" s="108"/>
      <c r="C415" s="108"/>
      <c r="D415" s="108"/>
      <c r="E415" s="108"/>
      <c r="F415" s="108"/>
      <c r="G415" s="108"/>
      <c r="H415" s="108"/>
      <c r="I415" s="108"/>
      <c r="J415" s="108"/>
      <c r="K415" s="108"/>
      <c r="L415" s="108"/>
    </row>
    <row r="416" spans="1:12" ht="12.75">
      <c r="A416" s="5"/>
      <c r="B416" s="108"/>
      <c r="C416" s="108"/>
      <c r="D416" s="108"/>
      <c r="E416" s="108"/>
      <c r="F416" s="108"/>
      <c r="G416" s="108"/>
      <c r="H416" s="108"/>
      <c r="I416" s="108"/>
      <c r="J416" s="108"/>
      <c r="K416" s="108"/>
      <c r="L416" s="108"/>
    </row>
    <row r="417" spans="1:12" ht="12.75">
      <c r="A417" s="108"/>
      <c r="B417" s="108"/>
      <c r="C417" s="108"/>
      <c r="D417" s="108"/>
      <c r="E417" s="108"/>
      <c r="F417" s="108"/>
      <c r="G417" s="108"/>
      <c r="H417" s="108"/>
      <c r="I417" s="108"/>
      <c r="J417" s="108"/>
      <c r="K417" s="108"/>
      <c r="L417" s="108"/>
    </row>
    <row r="418" spans="1:12" ht="12.75">
      <c r="A418" s="108"/>
      <c r="B418" s="108"/>
      <c r="C418" s="108"/>
      <c r="D418" s="108"/>
      <c r="E418" s="108"/>
      <c r="F418" s="108"/>
      <c r="G418" s="108"/>
      <c r="H418" s="108"/>
      <c r="I418" s="108"/>
      <c r="J418" s="108"/>
      <c r="K418" s="108"/>
      <c r="L418" s="108"/>
    </row>
    <row r="419" spans="1:12" ht="12.75">
      <c r="A419" s="108"/>
      <c r="B419" s="108"/>
      <c r="C419" s="108"/>
      <c r="D419" s="108"/>
      <c r="E419" s="108"/>
      <c r="F419" s="108"/>
      <c r="G419" s="108"/>
      <c r="H419" s="108"/>
      <c r="I419" s="108"/>
      <c r="J419" s="108"/>
      <c r="K419" s="108"/>
      <c r="L419" s="108"/>
    </row>
  </sheetData>
  <sheetProtection sheet="1" objects="1" scenarios="1" formatCells="0" formatColumns="0" formatRows="0"/>
  <mergeCells count="58">
    <mergeCell ref="B39:C39"/>
    <mergeCell ref="B33:C33"/>
    <mergeCell ref="B34:C34"/>
    <mergeCell ref="B35:C35"/>
    <mergeCell ref="B36:C36"/>
    <mergeCell ref="B37:C37"/>
    <mergeCell ref="B38:C38"/>
    <mergeCell ref="C266:G266"/>
    <mergeCell ref="A261:D261"/>
    <mergeCell ref="A262:D262"/>
    <mergeCell ref="A185:A186"/>
    <mergeCell ref="A250:C250"/>
    <mergeCell ref="A251:C251"/>
    <mergeCell ref="A203:C203"/>
    <mergeCell ref="A328:G328"/>
    <mergeCell ref="A264:G264"/>
    <mergeCell ref="C285:G285"/>
    <mergeCell ref="D220:E220"/>
    <mergeCell ref="A316:G316"/>
    <mergeCell ref="C307:G307"/>
    <mergeCell ref="C295:G295"/>
    <mergeCell ref="E327:G327"/>
    <mergeCell ref="A260:D260"/>
    <mergeCell ref="C274:G274"/>
    <mergeCell ref="A319:G319"/>
    <mergeCell ref="C296:G296"/>
    <mergeCell ref="H216:I216"/>
    <mergeCell ref="D234:E234"/>
    <mergeCell ref="F234:G234"/>
    <mergeCell ref="H234:I234"/>
    <mergeCell ref="H255:I255"/>
    <mergeCell ref="C265:G265"/>
    <mergeCell ref="A218:C218"/>
    <mergeCell ref="A252:C252"/>
    <mergeCell ref="H250:I250"/>
    <mergeCell ref="E255:F255"/>
    <mergeCell ref="J234:K234"/>
    <mergeCell ref="J216:K216"/>
    <mergeCell ref="F199:F202"/>
    <mergeCell ref="F220:G220"/>
    <mergeCell ref="D219:G219"/>
    <mergeCell ref="A11:B11"/>
    <mergeCell ref="A12:B12"/>
    <mergeCell ref="A13:B13"/>
    <mergeCell ref="A14:B14"/>
    <mergeCell ref="H215:K215"/>
    <mergeCell ref="G199:G202"/>
    <mergeCell ref="B104:C104"/>
    <mergeCell ref="B105:C105"/>
    <mergeCell ref="B106:C106"/>
    <mergeCell ref="B32:C32"/>
    <mergeCell ref="A15:B15"/>
    <mergeCell ref="A16:B16"/>
    <mergeCell ref="A24:B24"/>
    <mergeCell ref="A25:B25"/>
    <mergeCell ref="A23:B23"/>
    <mergeCell ref="A21:B21"/>
    <mergeCell ref="A22:B22"/>
  </mergeCells>
  <hyperlinks>
    <hyperlink ref="J2" r:id="rId1" display="http://www.montana.edu/wwwextec/index.htm"/>
  </hyperlinks>
  <printOptions horizontalCentered="1"/>
  <pageMargins left="0.5" right="0.5" top="0.5" bottom="0.5" header="0.5" footer="0.5"/>
  <pageSetup fitToHeight="1" fitToWidth="1" horizontalDpi="300" verticalDpi="300" orientation="portrait" r:id="rId5"/>
  <drawing r:id="rId4"/>
  <legacyDrawing r:id="rId3"/>
</worksheet>
</file>

<file path=xl/worksheets/sheet2.xml><?xml version="1.0" encoding="utf-8"?>
<worksheet xmlns="http://schemas.openxmlformats.org/spreadsheetml/2006/main" xmlns:r="http://schemas.openxmlformats.org/officeDocument/2006/relationships">
  <sheetPr codeName="Sheet5" transitionEvaluation="1">
    <pageSetUpPr fitToPage="1"/>
  </sheetPr>
  <dimension ref="A5:H46"/>
  <sheetViews>
    <sheetView showGridLines="0" zoomScalePageLayoutView="0" workbookViewId="0" topLeftCell="A1">
      <selection activeCell="D15" sqref="D15"/>
    </sheetView>
  </sheetViews>
  <sheetFormatPr defaultColWidth="9.7109375" defaultRowHeight="12.75"/>
  <sheetData>
    <row r="5" spans="1:7" ht="12.75">
      <c r="A5" s="2"/>
      <c r="G5" s="2"/>
    </row>
    <row r="6" spans="2:8" ht="12.75">
      <c r="B6" s="1"/>
      <c r="H6" s="1"/>
    </row>
    <row r="7" spans="2:8" ht="12.75">
      <c r="B7" s="1"/>
      <c r="H7" s="1"/>
    </row>
    <row r="8" spans="2:8" ht="12.75">
      <c r="B8" s="1"/>
      <c r="H8" s="1"/>
    </row>
    <row r="9" spans="2:8" ht="12.75">
      <c r="B9" s="1"/>
      <c r="H9" s="1"/>
    </row>
    <row r="10" spans="2:8" ht="12.75">
      <c r="B10" s="1"/>
      <c r="H10" s="1"/>
    </row>
    <row r="11" spans="2:8" ht="12.75">
      <c r="B11" s="1"/>
      <c r="H11" s="1"/>
    </row>
    <row r="12" spans="2:8" ht="12.75">
      <c r="B12" s="1"/>
      <c r="H12" s="1"/>
    </row>
    <row r="13" spans="2:8" ht="12.75">
      <c r="B13" s="1"/>
      <c r="H13" s="1"/>
    </row>
    <row r="14" spans="2:8" ht="12.75">
      <c r="B14" s="1"/>
      <c r="H14" s="1"/>
    </row>
    <row r="15" spans="2:8" ht="12.75">
      <c r="B15" s="1"/>
      <c r="H15" s="1"/>
    </row>
    <row r="16" spans="2:8" ht="12.75">
      <c r="B16" s="1"/>
      <c r="H16" s="1"/>
    </row>
    <row r="17" spans="2:8" ht="12.75">
      <c r="B17" s="1"/>
      <c r="H17" s="1"/>
    </row>
    <row r="18" spans="2:8" ht="12.75">
      <c r="B18" s="1"/>
      <c r="H18" s="1"/>
    </row>
    <row r="19" spans="2:8" ht="12.75">
      <c r="B19" s="1"/>
      <c r="H19" s="1"/>
    </row>
    <row r="20" spans="1:8" ht="12.75">
      <c r="A20" s="2"/>
      <c r="H20" s="1"/>
    </row>
    <row r="21" spans="2:8" ht="12.75">
      <c r="B21" s="1"/>
      <c r="H21" s="1"/>
    </row>
    <row r="22" spans="2:8" ht="12.75">
      <c r="B22" s="1"/>
      <c r="H22" s="1"/>
    </row>
    <row r="23" spans="2:8" ht="12.75">
      <c r="B23" s="1"/>
      <c r="H23" s="1"/>
    </row>
    <row r="24" spans="2:8" ht="12.75">
      <c r="B24" s="1"/>
      <c r="H24" s="1"/>
    </row>
    <row r="25" spans="2:8" ht="12.75">
      <c r="B25" s="1"/>
      <c r="H25" s="1"/>
    </row>
    <row r="26" spans="2:8" ht="12.75">
      <c r="B26" s="1"/>
      <c r="H26" s="1"/>
    </row>
    <row r="27" ht="12.75">
      <c r="H27" s="1"/>
    </row>
    <row r="28" ht="12.75">
      <c r="H28" s="1"/>
    </row>
    <row r="30" ht="12.75">
      <c r="A30" s="2"/>
    </row>
    <row r="31" ht="12.75">
      <c r="B31" s="1"/>
    </row>
    <row r="32" spans="2:8" ht="12.75">
      <c r="B32" s="1"/>
      <c r="H32" s="2"/>
    </row>
    <row r="33" spans="2:8" ht="12.75">
      <c r="B33" s="1"/>
      <c r="H33" s="1"/>
    </row>
    <row r="34" spans="2:8" ht="12.75">
      <c r="B34" s="1"/>
      <c r="H34" s="1"/>
    </row>
    <row r="35" spans="2:8" ht="12.75">
      <c r="B35" s="1"/>
      <c r="H35" s="1"/>
    </row>
    <row r="36" spans="2:8" ht="12.75">
      <c r="B36" s="1"/>
      <c r="H36" s="1"/>
    </row>
    <row r="37" ht="12.75">
      <c r="H37" s="1"/>
    </row>
    <row r="38" ht="12.75">
      <c r="H38" s="1"/>
    </row>
    <row r="39" spans="1:8" ht="12.75">
      <c r="A39" s="2"/>
      <c r="H39" s="1"/>
    </row>
    <row r="40" spans="2:8" ht="12.75">
      <c r="B40" s="1"/>
      <c r="H40" s="1"/>
    </row>
    <row r="41" spans="2:8" ht="12.75">
      <c r="B41" s="1"/>
      <c r="H41" s="1"/>
    </row>
    <row r="42" spans="2:8" ht="12.75">
      <c r="B42" s="1"/>
      <c r="H42" s="1"/>
    </row>
    <row r="43" spans="2:8" ht="12.75">
      <c r="B43" s="1"/>
      <c r="H43" s="1"/>
    </row>
    <row r="44" ht="12.75">
      <c r="H44" s="1"/>
    </row>
    <row r="45" ht="12.75">
      <c r="H45" s="1"/>
    </row>
    <row r="46" ht="12.75">
      <c r="H46" s="1"/>
    </row>
  </sheetData>
  <sheetProtection sheet="1" objects="1" scenarios="1"/>
  <printOptions horizontalCentered="1"/>
  <pageMargins left="0.75" right="0.75" top="1" bottom="1" header="0.5" footer="0.5"/>
  <pageSetup fitToHeight="1" fitToWidth="1" horizontalDpi="300" verticalDpi="3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I172"/>
  <sheetViews>
    <sheetView showGridLines="0" zoomScalePageLayoutView="0" workbookViewId="0" topLeftCell="A145">
      <selection activeCell="A162" sqref="A162"/>
    </sheetView>
  </sheetViews>
  <sheetFormatPr defaultColWidth="9.140625" defaultRowHeight="12.75"/>
  <cols>
    <col min="1" max="1" width="11.7109375" style="0" customWidth="1"/>
    <col min="2" max="2" width="31.00390625" style="0" customWidth="1"/>
    <col min="3" max="3" width="13.00390625" style="0" customWidth="1"/>
    <col min="4" max="4" width="13.57421875" style="0" customWidth="1"/>
    <col min="5" max="5" width="14.421875" style="0" customWidth="1"/>
    <col min="6" max="6" width="12.00390625" style="0" customWidth="1"/>
    <col min="7" max="7" width="10.00390625" style="0" customWidth="1"/>
    <col min="8" max="8" width="10.28125" style="0" customWidth="1"/>
  </cols>
  <sheetData>
    <row r="1" ht="12.75">
      <c r="A1" s="482" t="s">
        <v>358</v>
      </c>
    </row>
    <row r="4" spans="1:8" ht="14.25">
      <c r="A4" s="313" t="s">
        <v>288</v>
      </c>
      <c r="B4" s="306"/>
      <c r="C4" s="306"/>
      <c r="D4" s="306"/>
      <c r="E4" s="306"/>
      <c r="F4" s="315"/>
      <c r="G4" s="316"/>
      <c r="H4" s="317"/>
    </row>
    <row r="5" spans="1:8" ht="13.5" thickBot="1">
      <c r="A5" s="5" t="s">
        <v>292</v>
      </c>
      <c r="B5" s="4"/>
      <c r="C5" s="102"/>
      <c r="D5" s="102"/>
      <c r="E5" s="102"/>
      <c r="F5" s="102"/>
      <c r="G5" s="102"/>
      <c r="H5" s="4"/>
    </row>
    <row r="6" spans="1:8" ht="14.25" thickBot="1" thickTop="1">
      <c r="A6" s="274" t="s">
        <v>194</v>
      </c>
      <c r="B6" s="6"/>
      <c r="C6" s="347"/>
      <c r="D6" s="103" t="s">
        <v>196</v>
      </c>
      <c r="E6" s="6"/>
      <c r="F6" s="134"/>
      <c r="G6" s="102"/>
      <c r="H6" s="4"/>
    </row>
    <row r="7" spans="1:8" ht="14.25" thickBot="1" thickTop="1">
      <c r="A7" s="103" t="s">
        <v>0</v>
      </c>
      <c r="B7" s="6"/>
      <c r="C7" s="348"/>
      <c r="D7" s="103" t="s">
        <v>197</v>
      </c>
      <c r="E7" s="6"/>
      <c r="F7" s="472" t="s">
        <v>357</v>
      </c>
      <c r="G7" s="102"/>
      <c r="H7" s="4"/>
    </row>
    <row r="8" spans="1:8" ht="14.25" thickBot="1" thickTop="1">
      <c r="A8" s="103" t="s">
        <v>195</v>
      </c>
      <c r="B8" s="102"/>
      <c r="C8" s="349"/>
      <c r="D8" s="103" t="s">
        <v>198</v>
      </c>
      <c r="E8" s="102"/>
      <c r="F8" s="30"/>
      <c r="G8" s="102"/>
      <c r="H8" s="4"/>
    </row>
    <row r="9" spans="1:8" ht="13.5" thickTop="1">
      <c r="A9" s="143"/>
      <c r="B9" s="143"/>
      <c r="C9" s="143"/>
      <c r="D9" s="143"/>
      <c r="E9" s="143"/>
      <c r="F9" s="143"/>
      <c r="G9" s="143"/>
      <c r="H9" s="143"/>
    </row>
    <row r="10" spans="1:8" ht="12.75">
      <c r="A10" s="102"/>
      <c r="B10" s="102"/>
      <c r="C10" s="5" t="s">
        <v>1</v>
      </c>
      <c r="D10" s="102"/>
      <c r="E10" s="102"/>
      <c r="F10" s="102"/>
      <c r="G10" s="102"/>
      <c r="H10" s="102"/>
    </row>
    <row r="11" spans="1:8" ht="15.75">
      <c r="A11" s="479"/>
      <c r="B11" s="480" t="s">
        <v>2</v>
      </c>
      <c r="C11" s="480"/>
      <c r="D11" s="480"/>
      <c r="E11" s="480"/>
      <c r="F11" s="480"/>
      <c r="G11" s="481"/>
      <c r="H11" s="481"/>
    </row>
    <row r="12" spans="1:5" ht="12.75">
      <c r="A12" s="102"/>
      <c r="B12" s="102"/>
      <c r="C12" s="102"/>
      <c r="D12" s="8" t="s">
        <v>151</v>
      </c>
      <c r="E12" s="8" t="s">
        <v>3</v>
      </c>
    </row>
    <row r="13" spans="1:5" ht="13.5" thickBot="1">
      <c r="A13" s="102"/>
      <c r="B13" s="102"/>
      <c r="C13" s="8" t="s">
        <v>6</v>
      </c>
      <c r="D13" s="8" t="s">
        <v>7</v>
      </c>
      <c r="E13" s="8" t="s">
        <v>8</v>
      </c>
    </row>
    <row r="14" spans="1:5" ht="13.5" thickTop="1">
      <c r="A14" s="509" t="s">
        <v>201</v>
      </c>
      <c r="B14" s="509"/>
      <c r="C14" s="473" t="s">
        <v>357</v>
      </c>
      <c r="D14" s="350"/>
      <c r="E14" s="351"/>
    </row>
    <row r="15" spans="1:5" ht="13.5" thickBot="1">
      <c r="A15" s="509" t="s">
        <v>202</v>
      </c>
      <c r="B15" s="509"/>
      <c r="C15" s="473" t="s">
        <v>357</v>
      </c>
      <c r="D15" s="352"/>
      <c r="E15" s="353"/>
    </row>
    <row r="16" spans="1:5" ht="13.5" thickTop="1">
      <c r="A16" s="509" t="s">
        <v>203</v>
      </c>
      <c r="B16" s="510"/>
      <c r="C16" s="350"/>
      <c r="D16" s="355"/>
      <c r="E16" s="353"/>
    </row>
    <row r="17" spans="1:5" ht="12.75">
      <c r="A17" s="509" t="s">
        <v>254</v>
      </c>
      <c r="B17" s="510"/>
      <c r="C17" s="352"/>
      <c r="D17" s="355"/>
      <c r="E17" s="353"/>
    </row>
    <row r="18" spans="1:5" ht="12.75">
      <c r="A18" s="507" t="s">
        <v>199</v>
      </c>
      <c r="B18" s="508"/>
      <c r="C18" s="352"/>
      <c r="D18" s="355"/>
      <c r="E18" s="353"/>
    </row>
    <row r="19" spans="1:5" ht="13.5" thickBot="1">
      <c r="A19" s="509" t="s">
        <v>200</v>
      </c>
      <c r="B19" s="510"/>
      <c r="C19" s="356"/>
      <c r="D19" s="357"/>
      <c r="E19" s="354"/>
    </row>
    <row r="20" ht="13.5" thickTop="1">
      <c r="A20" s="6"/>
    </row>
    <row r="21" spans="1:5" ht="15.75">
      <c r="A21" s="60"/>
      <c r="B21" s="101"/>
      <c r="C21" s="6"/>
      <c r="D21" s="6"/>
      <c r="E21" s="8" t="s">
        <v>3</v>
      </c>
    </row>
    <row r="22" spans="1:5" ht="16.5" thickBot="1">
      <c r="A22" s="512" t="s">
        <v>209</v>
      </c>
      <c r="B22" s="512"/>
      <c r="C22" s="8" t="s">
        <v>6</v>
      </c>
      <c r="D22" s="14" t="s">
        <v>7</v>
      </c>
      <c r="E22" s="8" t="s">
        <v>8</v>
      </c>
    </row>
    <row r="23" spans="1:5" ht="14.25" thickBot="1" thickTop="1">
      <c r="A23" s="513" t="s">
        <v>210</v>
      </c>
      <c r="B23" s="514"/>
      <c r="C23" s="358"/>
      <c r="D23" s="359"/>
      <c r="E23" s="360"/>
    </row>
    <row r="24" spans="1:7" ht="17.25" thickBot="1" thickTop="1">
      <c r="A24" s="511" t="s">
        <v>128</v>
      </c>
      <c r="B24" s="511"/>
      <c r="C24" s="93" t="s">
        <v>19</v>
      </c>
      <c r="D24" s="94"/>
      <c r="E24" s="94"/>
      <c r="F24" s="478"/>
      <c r="G24" s="478"/>
    </row>
    <row r="25" spans="1:5" ht="13.5" thickTop="1">
      <c r="A25" s="509" t="s">
        <v>211</v>
      </c>
      <c r="B25" s="510"/>
      <c r="C25" s="361"/>
      <c r="D25" s="362"/>
      <c r="E25" s="363"/>
    </row>
    <row r="26" spans="1:5" ht="13.5" thickBot="1">
      <c r="A26" s="509" t="s">
        <v>212</v>
      </c>
      <c r="B26" s="510"/>
      <c r="C26" s="356"/>
      <c r="D26" s="357"/>
      <c r="E26" s="354"/>
    </row>
    <row r="27" spans="1:5" ht="13.5" thickTop="1">
      <c r="A27" s="102"/>
      <c r="B27" s="6"/>
      <c r="C27" s="105"/>
      <c r="D27" s="102"/>
      <c r="E27" s="102"/>
    </row>
    <row r="28" spans="1:8" ht="12.75">
      <c r="A28" s="108"/>
      <c r="B28" s="108"/>
      <c r="C28" s="108"/>
      <c r="D28" s="108"/>
      <c r="E28" s="108"/>
      <c r="F28" s="108"/>
      <c r="G28" s="109"/>
      <c r="H28" s="108"/>
    </row>
    <row r="29" spans="1:8" ht="12.75">
      <c r="A29" s="108"/>
      <c r="B29" s="108"/>
      <c r="C29" s="108"/>
      <c r="D29" s="108"/>
      <c r="E29" s="108"/>
      <c r="F29" s="108"/>
      <c r="G29" s="108"/>
      <c r="H29" s="108"/>
    </row>
    <row r="30" spans="1:8" ht="12.75">
      <c r="A30" s="21"/>
      <c r="B30" s="21"/>
      <c r="C30" s="21"/>
      <c r="D30" s="21"/>
      <c r="E30" s="21"/>
      <c r="F30" s="21"/>
      <c r="G30" s="21"/>
      <c r="H30" s="21"/>
    </row>
    <row r="31" spans="1:9" ht="20.25">
      <c r="A31" s="278" t="s">
        <v>222</v>
      </c>
      <c r="B31" s="6"/>
      <c r="C31" s="13"/>
      <c r="D31" s="13"/>
      <c r="E31" s="13"/>
      <c r="F31" s="108"/>
      <c r="G31" s="3"/>
      <c r="H31" s="108"/>
      <c r="I31" s="108"/>
    </row>
    <row r="32" spans="1:9" ht="18.75">
      <c r="A32" s="308" t="s">
        <v>289</v>
      </c>
      <c r="B32" s="72"/>
      <c r="C32" s="123" t="s">
        <v>223</v>
      </c>
      <c r="D32" s="72"/>
      <c r="E32" s="72"/>
      <c r="F32" s="72"/>
      <c r="G32" s="72"/>
      <c r="H32" s="72"/>
      <c r="I32" s="73"/>
    </row>
    <row r="33" spans="1:9" ht="12.75">
      <c r="A33" s="108"/>
      <c r="B33" s="108"/>
      <c r="C33" s="13"/>
      <c r="D33" s="6"/>
      <c r="E33" s="6"/>
      <c r="F33" s="6"/>
      <c r="G33" s="8"/>
      <c r="H33" s="8" t="s">
        <v>224</v>
      </c>
      <c r="I33" s="8"/>
    </row>
    <row r="34" spans="1:9" ht="16.5" thickBot="1">
      <c r="A34" s="24" t="s">
        <v>33</v>
      </c>
      <c r="B34" s="6"/>
      <c r="C34" s="8" t="s">
        <v>34</v>
      </c>
      <c r="D34" s="8" t="s">
        <v>6</v>
      </c>
      <c r="E34" s="8" t="s">
        <v>3</v>
      </c>
      <c r="F34" s="8"/>
      <c r="G34" s="8"/>
      <c r="H34" s="8" t="s">
        <v>35</v>
      </c>
      <c r="I34" s="8"/>
    </row>
    <row r="35" spans="1:9" ht="13.5" thickTop="1">
      <c r="A35" s="64"/>
      <c r="B35" s="364"/>
      <c r="C35" s="365"/>
      <c r="D35" s="366"/>
      <c r="E35" s="367"/>
      <c r="F35" s="331"/>
      <c r="G35" s="332"/>
      <c r="H35" s="375"/>
      <c r="I35" s="332"/>
    </row>
    <row r="36" spans="1:9" ht="12.75">
      <c r="A36" s="67" t="s">
        <v>122</v>
      </c>
      <c r="B36" s="368"/>
      <c r="C36" s="355"/>
      <c r="D36" s="369"/>
      <c r="E36" s="370"/>
      <c r="F36" s="331"/>
      <c r="G36" s="332"/>
      <c r="H36" s="376"/>
      <c r="I36" s="332"/>
    </row>
    <row r="37" spans="1:9" ht="12.75">
      <c r="A37" s="64"/>
      <c r="B37" s="368"/>
      <c r="C37" s="355"/>
      <c r="D37" s="371"/>
      <c r="E37" s="370"/>
      <c r="F37" s="331"/>
      <c r="G37" s="332"/>
      <c r="H37" s="376"/>
      <c r="I37" s="332"/>
    </row>
    <row r="38" spans="1:9" ht="12.75">
      <c r="A38" s="64"/>
      <c r="B38" s="368"/>
      <c r="C38" s="355"/>
      <c r="D38" s="371"/>
      <c r="E38" s="370"/>
      <c r="F38" s="331"/>
      <c r="G38" s="332"/>
      <c r="H38" s="376"/>
      <c r="I38" s="332"/>
    </row>
    <row r="39" spans="1:9" ht="12.75">
      <c r="A39" s="64"/>
      <c r="B39" s="368"/>
      <c r="C39" s="355"/>
      <c r="D39" s="371"/>
      <c r="E39" s="370"/>
      <c r="F39" s="331"/>
      <c r="G39" s="332"/>
      <c r="H39" s="376"/>
      <c r="I39" s="332"/>
    </row>
    <row r="40" spans="1:9" ht="12.75">
      <c r="A40" s="64"/>
      <c r="B40" s="368"/>
      <c r="C40" s="355"/>
      <c r="D40" s="369"/>
      <c r="E40" s="370"/>
      <c r="F40" s="331"/>
      <c r="G40" s="332"/>
      <c r="H40" s="376"/>
      <c r="I40" s="332"/>
    </row>
    <row r="41" spans="1:9" ht="12.75">
      <c r="A41" s="64"/>
      <c r="B41" s="368"/>
      <c r="C41" s="355"/>
      <c r="D41" s="369"/>
      <c r="E41" s="370"/>
      <c r="F41" s="331"/>
      <c r="G41" s="332"/>
      <c r="H41" s="376"/>
      <c r="I41" s="332"/>
    </row>
    <row r="42" spans="1:9" ht="12.75">
      <c r="A42" s="64"/>
      <c r="B42" s="368"/>
      <c r="C42" s="355"/>
      <c r="D42" s="369"/>
      <c r="E42" s="370"/>
      <c r="F42" s="331"/>
      <c r="G42" s="332"/>
      <c r="H42" s="376"/>
      <c r="I42" s="332"/>
    </row>
    <row r="43" spans="1:9" ht="12.75">
      <c r="A43" s="64"/>
      <c r="B43" s="368"/>
      <c r="C43" s="355"/>
      <c r="D43" s="369"/>
      <c r="E43" s="370"/>
      <c r="F43" s="331"/>
      <c r="G43" s="332"/>
      <c r="H43" s="376"/>
      <c r="I43" s="332"/>
    </row>
    <row r="44" spans="1:9" ht="12.75">
      <c r="A44" s="64"/>
      <c r="B44" s="368"/>
      <c r="C44" s="355"/>
      <c r="D44" s="369"/>
      <c r="E44" s="370"/>
      <c r="F44" s="331"/>
      <c r="G44" s="332"/>
      <c r="H44" s="376"/>
      <c r="I44" s="332"/>
    </row>
    <row r="45" spans="1:9" ht="12.75">
      <c r="A45" s="64"/>
      <c r="B45" s="368"/>
      <c r="C45" s="355"/>
      <c r="D45" s="369"/>
      <c r="E45" s="370"/>
      <c r="F45" s="331"/>
      <c r="G45" s="332"/>
      <c r="H45" s="376"/>
      <c r="I45" s="332"/>
    </row>
    <row r="46" spans="1:9" ht="13.5" thickBot="1">
      <c r="A46" s="64"/>
      <c r="B46" s="372"/>
      <c r="C46" s="357"/>
      <c r="D46" s="373"/>
      <c r="E46" s="374"/>
      <c r="F46" s="331"/>
      <c r="G46" s="332"/>
      <c r="H46" s="377"/>
      <c r="I46" s="332"/>
    </row>
    <row r="47" spans="1:9" ht="13.5" thickTop="1">
      <c r="A47" s="65"/>
      <c r="B47" s="6"/>
      <c r="C47" s="6"/>
      <c r="D47" s="108"/>
      <c r="E47" s="108"/>
      <c r="F47" s="331"/>
      <c r="G47" s="332"/>
      <c r="H47" s="323"/>
      <c r="I47" s="323"/>
    </row>
    <row r="48" spans="1:9" ht="12.75">
      <c r="A48" s="65"/>
      <c r="B48" s="5"/>
      <c r="C48" s="6"/>
      <c r="D48" s="108"/>
      <c r="E48" s="108"/>
      <c r="F48" s="331"/>
      <c r="G48" s="332"/>
      <c r="H48" s="323"/>
      <c r="I48" s="331"/>
    </row>
    <row r="49" spans="1:9" ht="12.75">
      <c r="A49" s="108"/>
      <c r="B49" s="108"/>
      <c r="C49" s="108"/>
      <c r="D49" s="108"/>
      <c r="E49" s="108"/>
      <c r="F49" s="9"/>
      <c r="G49" s="11"/>
      <c r="H49" s="8" t="s">
        <v>224</v>
      </c>
      <c r="I49" s="8"/>
    </row>
    <row r="50" spans="1:9" ht="16.5" thickBot="1">
      <c r="A50" s="24" t="s">
        <v>44</v>
      </c>
      <c r="B50" s="6"/>
      <c r="C50" s="6"/>
      <c r="D50" s="6"/>
      <c r="E50" s="6"/>
      <c r="F50" s="9"/>
      <c r="G50" s="11"/>
      <c r="H50" s="8" t="s">
        <v>35</v>
      </c>
      <c r="I50" s="8"/>
    </row>
    <row r="51" spans="1:9" ht="13.5" thickTop="1">
      <c r="A51" s="67" t="s">
        <v>122</v>
      </c>
      <c r="B51" s="5" t="s">
        <v>45</v>
      </c>
      <c r="C51" s="6"/>
      <c r="D51" s="6"/>
      <c r="E51" s="6"/>
      <c r="F51" s="378"/>
      <c r="G51" s="332"/>
      <c r="H51" s="375"/>
      <c r="I51" s="332"/>
    </row>
    <row r="52" spans="1:9" ht="12.75">
      <c r="A52" s="6"/>
      <c r="B52" s="5" t="s">
        <v>46</v>
      </c>
      <c r="C52" s="6"/>
      <c r="D52" s="6"/>
      <c r="E52" s="6"/>
      <c r="F52" s="379"/>
      <c r="G52" s="332"/>
      <c r="H52" s="376"/>
      <c r="I52" s="332"/>
    </row>
    <row r="53" spans="1:9" ht="12.75">
      <c r="A53" s="6"/>
      <c r="B53" s="5" t="s">
        <v>47</v>
      </c>
      <c r="C53" s="6"/>
      <c r="D53" s="6"/>
      <c r="E53" s="6"/>
      <c r="F53" s="379"/>
      <c r="G53" s="332"/>
      <c r="H53" s="376"/>
      <c r="I53" s="332"/>
    </row>
    <row r="54" spans="1:8" ht="13.5" thickBot="1">
      <c r="A54" s="6"/>
      <c r="B54" s="5" t="s">
        <v>48</v>
      </c>
      <c r="C54" s="6"/>
      <c r="D54" s="6"/>
      <c r="E54" s="6"/>
      <c r="F54" s="380"/>
      <c r="G54" s="332"/>
      <c r="H54" s="377"/>
    </row>
    <row r="55" spans="1:8" ht="14.25" thickBot="1" thickTop="1">
      <c r="A55" s="6"/>
      <c r="B55" s="5" t="s">
        <v>49</v>
      </c>
      <c r="C55" s="108"/>
      <c r="D55" s="5" t="s">
        <v>50</v>
      </c>
      <c r="E55" s="5" t="s">
        <v>51</v>
      </c>
      <c r="F55" s="333"/>
      <c r="G55" s="334"/>
      <c r="H55" s="334"/>
    </row>
    <row r="56" spans="1:8" ht="13.5" thickTop="1">
      <c r="A56" s="6"/>
      <c r="B56" s="3" t="s">
        <v>52</v>
      </c>
      <c r="C56" s="108"/>
      <c r="D56" s="381"/>
      <c r="E56" s="384"/>
      <c r="F56" s="485" t="s">
        <v>357</v>
      </c>
      <c r="G56" s="332"/>
      <c r="H56" s="375"/>
    </row>
    <row r="57" spans="1:9" ht="12.75">
      <c r="A57" s="6"/>
      <c r="B57" s="3" t="s">
        <v>53</v>
      </c>
      <c r="C57" s="108"/>
      <c r="D57" s="382"/>
      <c r="E57" s="385"/>
      <c r="F57" s="485" t="s">
        <v>357</v>
      </c>
      <c r="G57" s="332"/>
      <c r="H57" s="376"/>
      <c r="I57" s="332"/>
    </row>
    <row r="58" spans="1:9" ht="13.5" thickBot="1">
      <c r="A58" s="6"/>
      <c r="B58" s="3" t="s">
        <v>54</v>
      </c>
      <c r="C58" s="108"/>
      <c r="D58" s="383"/>
      <c r="E58" s="386"/>
      <c r="F58" s="486" t="s">
        <v>357</v>
      </c>
      <c r="G58" s="332"/>
      <c r="H58" s="376"/>
      <c r="I58" s="332"/>
    </row>
    <row r="59" spans="1:9" ht="13.5" thickTop="1">
      <c r="A59" s="6"/>
      <c r="B59" s="5" t="s">
        <v>55</v>
      </c>
      <c r="C59" s="6"/>
      <c r="D59" s="6"/>
      <c r="E59" s="6"/>
      <c r="F59" s="387"/>
      <c r="G59" s="332"/>
      <c r="H59" s="376"/>
      <c r="I59" s="332"/>
    </row>
    <row r="60" spans="1:9" ht="12.75">
      <c r="A60" s="6"/>
      <c r="B60" s="5" t="s">
        <v>56</v>
      </c>
      <c r="C60" s="6"/>
      <c r="D60" s="6"/>
      <c r="E60" s="6"/>
      <c r="F60" s="388"/>
      <c r="G60" s="332"/>
      <c r="H60" s="376"/>
      <c r="I60" s="332"/>
    </row>
    <row r="61" spans="1:9" ht="12.75">
      <c r="A61" s="6"/>
      <c r="B61" s="5" t="s">
        <v>57</v>
      </c>
      <c r="C61" s="6"/>
      <c r="D61" s="6"/>
      <c r="E61" s="6"/>
      <c r="F61" s="389"/>
      <c r="G61" s="332"/>
      <c r="H61" s="376"/>
      <c r="I61" s="332"/>
    </row>
    <row r="62" spans="1:9" ht="12.75">
      <c r="A62" s="6"/>
      <c r="B62" s="5" t="s">
        <v>58</v>
      </c>
      <c r="C62" s="6"/>
      <c r="D62" s="6"/>
      <c r="E62" s="6"/>
      <c r="F62" s="389"/>
      <c r="G62" s="332"/>
      <c r="H62" s="376"/>
      <c r="I62" s="332"/>
    </row>
    <row r="63" spans="1:9" ht="13.5" thickBot="1">
      <c r="A63" s="6"/>
      <c r="B63" s="287" t="s">
        <v>274</v>
      </c>
      <c r="C63" s="285"/>
      <c r="D63" s="285"/>
      <c r="E63" s="6"/>
      <c r="F63" s="379"/>
      <c r="G63" s="332"/>
      <c r="H63" s="376"/>
      <c r="I63" s="332"/>
    </row>
    <row r="64" spans="1:8" ht="14.25" thickBot="1" thickTop="1">
      <c r="A64" s="6"/>
      <c r="B64" s="286" t="s">
        <v>262</v>
      </c>
      <c r="C64" s="283"/>
      <c r="D64" s="284"/>
      <c r="E64" s="6"/>
      <c r="F64" s="390"/>
      <c r="G64" s="332"/>
      <c r="H64" s="377"/>
    </row>
    <row r="65" spans="1:8" ht="17.25" thickBot="1" thickTop="1">
      <c r="A65" s="24" t="s">
        <v>59</v>
      </c>
      <c r="B65" s="6"/>
      <c r="C65" s="6"/>
      <c r="D65" s="6"/>
      <c r="E65" s="6"/>
      <c r="F65" s="337"/>
      <c r="G65" s="334"/>
      <c r="H65" s="334"/>
    </row>
    <row r="66" spans="1:8" ht="13.5" thickTop="1">
      <c r="A66" s="67" t="s">
        <v>122</v>
      </c>
      <c r="B66" s="5" t="s">
        <v>60</v>
      </c>
      <c r="C66" s="6"/>
      <c r="D66" s="6"/>
      <c r="E66" s="6"/>
      <c r="F66" s="391"/>
      <c r="G66" s="332"/>
      <c r="H66" s="375"/>
    </row>
    <row r="67" spans="1:8" ht="12.75">
      <c r="A67" s="65"/>
      <c r="B67" s="5" t="s">
        <v>61</v>
      </c>
      <c r="C67" s="6"/>
      <c r="D67" s="6"/>
      <c r="E67" s="6"/>
      <c r="F67" s="379"/>
      <c r="G67" s="332"/>
      <c r="H67" s="376"/>
    </row>
    <row r="68" spans="1:8" ht="12.75">
      <c r="A68" s="65"/>
      <c r="B68" s="5" t="s">
        <v>62</v>
      </c>
      <c r="C68" s="6"/>
      <c r="D68" s="6"/>
      <c r="E68" s="6"/>
      <c r="F68" s="380"/>
      <c r="G68" s="332"/>
      <c r="H68" s="376"/>
    </row>
    <row r="69" spans="1:8" ht="12.75">
      <c r="A69" s="65"/>
      <c r="B69" s="5" t="s">
        <v>63</v>
      </c>
      <c r="C69" s="6"/>
      <c r="D69" s="6"/>
      <c r="E69" s="6"/>
      <c r="F69" s="337"/>
      <c r="G69" s="332"/>
      <c r="H69" s="376"/>
    </row>
    <row r="70" spans="1:8" ht="12.75">
      <c r="A70" s="65"/>
      <c r="B70" s="3" t="s">
        <v>64</v>
      </c>
      <c r="C70" s="6"/>
      <c r="D70" s="6"/>
      <c r="E70" s="6"/>
      <c r="F70" s="392"/>
      <c r="G70" s="332"/>
      <c r="H70" s="376"/>
    </row>
    <row r="71" spans="1:8" ht="12.75">
      <c r="A71" s="65"/>
      <c r="B71" s="3" t="s">
        <v>65</v>
      </c>
      <c r="C71" s="6"/>
      <c r="D71" s="6"/>
      <c r="E71" s="6"/>
      <c r="F71" s="393"/>
      <c r="G71" s="332"/>
      <c r="H71" s="376"/>
    </row>
    <row r="72" spans="1:8" ht="12.75">
      <c r="A72" s="65"/>
      <c r="B72" s="3" t="s">
        <v>66</v>
      </c>
      <c r="C72" s="6"/>
      <c r="D72" s="6"/>
      <c r="E72" s="6"/>
      <c r="F72" s="393"/>
      <c r="G72" s="332"/>
      <c r="H72" s="376"/>
    </row>
    <row r="73" spans="1:8" ht="12.75">
      <c r="A73" s="65"/>
      <c r="B73" s="3" t="s">
        <v>67</v>
      </c>
      <c r="C73" s="6"/>
      <c r="D73" s="6"/>
      <c r="E73" s="6"/>
      <c r="F73" s="393"/>
      <c r="G73" s="332"/>
      <c r="H73" s="376"/>
    </row>
    <row r="74" spans="1:8" ht="12.75">
      <c r="A74" s="65"/>
      <c r="B74" s="5" t="s">
        <v>48</v>
      </c>
      <c r="C74" s="6"/>
      <c r="D74" s="6"/>
      <c r="E74" s="6"/>
      <c r="F74" s="394"/>
      <c r="G74" s="332"/>
      <c r="H74" s="376"/>
    </row>
    <row r="75" spans="1:8" ht="12.75">
      <c r="A75" s="65"/>
      <c r="B75" s="5" t="s">
        <v>68</v>
      </c>
      <c r="C75" s="6"/>
      <c r="D75" s="6"/>
      <c r="E75" s="6"/>
      <c r="F75" s="394"/>
      <c r="G75" s="332"/>
      <c r="H75" s="376"/>
    </row>
    <row r="76" spans="1:8" ht="12.75">
      <c r="A76" s="65"/>
      <c r="B76" s="5" t="s">
        <v>69</v>
      </c>
      <c r="C76" s="6"/>
      <c r="D76" s="6"/>
      <c r="E76" s="6"/>
      <c r="F76" s="393"/>
      <c r="G76" s="332"/>
      <c r="H76" s="376"/>
    </row>
    <row r="77" spans="1:8" ht="13.5" thickBot="1">
      <c r="A77" s="65"/>
      <c r="B77" s="5" t="s">
        <v>57</v>
      </c>
      <c r="C77" s="6"/>
      <c r="D77" s="6"/>
      <c r="E77" s="6"/>
      <c r="F77" s="393"/>
      <c r="G77" s="332"/>
      <c r="H77" s="376"/>
    </row>
    <row r="78" spans="1:8" ht="13.5" thickTop="1">
      <c r="A78" s="66"/>
      <c r="B78" s="521" t="s">
        <v>42</v>
      </c>
      <c r="C78" s="522"/>
      <c r="D78" s="108"/>
      <c r="E78" s="108"/>
      <c r="F78" s="394"/>
      <c r="G78" s="332"/>
      <c r="H78" s="376"/>
    </row>
    <row r="79" spans="1:8" ht="12.75">
      <c r="A79" s="66"/>
      <c r="B79" s="523" t="s">
        <v>42</v>
      </c>
      <c r="C79" s="524"/>
      <c r="D79" s="108"/>
      <c r="E79" s="108"/>
      <c r="F79" s="394"/>
      <c r="G79" s="332"/>
      <c r="H79" s="376"/>
    </row>
    <row r="80" spans="1:8" ht="13.5" thickBot="1">
      <c r="A80" s="66"/>
      <c r="B80" s="525" t="s">
        <v>42</v>
      </c>
      <c r="C80" s="526"/>
      <c r="D80" s="108"/>
      <c r="E80" s="108"/>
      <c r="F80" s="395"/>
      <c r="G80" s="332"/>
      <c r="H80" s="377"/>
    </row>
    <row r="81" spans="1:8" ht="13.5" thickTop="1">
      <c r="A81" s="6"/>
      <c r="B81" s="108"/>
      <c r="C81" s="6"/>
      <c r="D81" s="6"/>
      <c r="E81" s="6"/>
      <c r="F81" s="338"/>
      <c r="G81" s="334"/>
      <c r="H81" s="334"/>
    </row>
    <row r="82" spans="1:8" ht="12.75">
      <c r="A82" s="6"/>
      <c r="B82" s="12" t="s">
        <v>70</v>
      </c>
      <c r="C82" s="6"/>
      <c r="D82" s="6"/>
      <c r="E82" s="6"/>
      <c r="F82" s="331"/>
      <c r="G82" s="332"/>
      <c r="H82" s="323"/>
    </row>
    <row r="83" spans="1:9" ht="12.75">
      <c r="A83" s="6"/>
      <c r="B83" s="6"/>
      <c r="C83" s="6"/>
      <c r="D83" s="6"/>
      <c r="E83" s="6"/>
      <c r="F83" s="9"/>
      <c r="G83" s="11"/>
      <c r="H83" s="108"/>
      <c r="I83" s="108"/>
    </row>
    <row r="84" spans="1:9" ht="15.75">
      <c r="A84" s="24" t="s">
        <v>71</v>
      </c>
      <c r="B84" s="6"/>
      <c r="C84" s="6"/>
      <c r="D84" s="6"/>
      <c r="E84" s="6"/>
      <c r="F84" s="9"/>
      <c r="G84" s="11"/>
      <c r="H84" s="108"/>
      <c r="I84" s="108"/>
    </row>
    <row r="85" spans="1:9" ht="12.75">
      <c r="A85" s="6"/>
      <c r="B85" s="5" t="s">
        <v>72</v>
      </c>
      <c r="C85" s="6"/>
      <c r="D85" s="6"/>
      <c r="E85" s="6"/>
      <c r="F85" s="9"/>
      <c r="G85" s="11"/>
      <c r="H85" s="108"/>
      <c r="I85" s="108"/>
    </row>
    <row r="86" spans="1:9" ht="13.5" thickBot="1">
      <c r="A86" s="6"/>
      <c r="B86" s="5" t="s">
        <v>73</v>
      </c>
      <c r="C86" s="6"/>
      <c r="D86" s="6"/>
      <c r="E86" s="6"/>
      <c r="F86" s="9"/>
      <c r="G86" s="11"/>
      <c r="H86" s="108"/>
      <c r="I86" s="108"/>
    </row>
    <row r="87" spans="1:9" ht="13.5" thickTop="1">
      <c r="A87" s="4"/>
      <c r="B87" s="5" t="s">
        <v>74</v>
      </c>
      <c r="C87" s="6"/>
      <c r="D87" s="108"/>
      <c r="E87" s="396"/>
      <c r="F87" s="9"/>
      <c r="G87" s="11"/>
      <c r="H87" s="108"/>
      <c r="I87" s="108"/>
    </row>
    <row r="88" spans="1:9" ht="12.75">
      <c r="A88" s="6"/>
      <c r="B88" s="5" t="s">
        <v>75</v>
      </c>
      <c r="C88" s="6"/>
      <c r="D88" s="108"/>
      <c r="E88" s="397"/>
      <c r="F88" s="9"/>
      <c r="G88" s="11"/>
      <c r="H88" s="8" t="s">
        <v>224</v>
      </c>
      <c r="I88" s="8"/>
    </row>
    <row r="89" spans="1:9" ht="13.5" thickBot="1">
      <c r="A89" s="6"/>
      <c r="B89" s="5" t="s">
        <v>76</v>
      </c>
      <c r="C89" s="108"/>
      <c r="D89" s="108"/>
      <c r="E89" s="398"/>
      <c r="F89" s="9"/>
      <c r="G89" s="11"/>
      <c r="H89" s="8" t="s">
        <v>35</v>
      </c>
      <c r="I89" s="8"/>
    </row>
    <row r="90" spans="1:9" ht="14.25" thickBot="1" thickTop="1">
      <c r="A90" s="314" t="s">
        <v>295</v>
      </c>
      <c r="B90" s="5" t="s">
        <v>77</v>
      </c>
      <c r="C90" s="108"/>
      <c r="D90" s="108"/>
      <c r="E90" s="108"/>
      <c r="F90" s="474"/>
      <c r="G90" s="475"/>
      <c r="H90" s="341"/>
      <c r="I90" s="332"/>
    </row>
    <row r="91" spans="1:9" ht="13.5" thickTop="1">
      <c r="A91" s="6"/>
      <c r="B91" s="6"/>
      <c r="C91" s="6"/>
      <c r="D91" s="108"/>
      <c r="E91" s="108"/>
      <c r="F91" s="476"/>
      <c r="G91" s="477"/>
      <c r="H91" s="108"/>
      <c r="I91" s="108"/>
    </row>
    <row r="92" spans="1:8" ht="12.75">
      <c r="A92" s="6"/>
      <c r="B92" s="6"/>
      <c r="C92" s="6"/>
      <c r="D92" s="108"/>
      <c r="E92" s="108"/>
      <c r="F92" s="108"/>
      <c r="G92" s="108"/>
      <c r="H92" s="108"/>
    </row>
    <row r="93" spans="1:8" ht="12.75">
      <c r="A93" s="108"/>
      <c r="B93" s="108"/>
      <c r="C93" s="108"/>
      <c r="D93" s="108"/>
      <c r="E93" s="108"/>
      <c r="F93" s="108"/>
      <c r="G93" s="108"/>
      <c r="H93" s="108"/>
    </row>
    <row r="94" spans="1:8" ht="20.25">
      <c r="A94" s="278" t="s">
        <v>222</v>
      </c>
      <c r="B94" s="6"/>
      <c r="C94" s="13"/>
      <c r="D94" s="13"/>
      <c r="E94" s="13"/>
      <c r="F94" s="108"/>
      <c r="G94" s="70" t="s">
        <v>31</v>
      </c>
      <c r="H94" s="108"/>
    </row>
    <row r="95" spans="1:8" ht="18.75">
      <c r="A95" s="309" t="s">
        <v>290</v>
      </c>
      <c r="B95" s="75"/>
      <c r="C95" s="124" t="s">
        <v>226</v>
      </c>
      <c r="D95" s="74"/>
      <c r="E95" s="74"/>
      <c r="F95" s="74"/>
      <c r="G95" s="76"/>
      <c r="H95" s="74"/>
    </row>
    <row r="96" spans="1:8" ht="15.75">
      <c r="A96" s="137" t="s">
        <v>153</v>
      </c>
      <c r="B96" s="6"/>
      <c r="C96" s="6"/>
      <c r="D96" s="6"/>
      <c r="E96" s="108"/>
      <c r="F96" s="108"/>
      <c r="G96" s="108"/>
      <c r="H96" s="108"/>
    </row>
    <row r="97" spans="1:8" ht="12.75">
      <c r="A97" s="6"/>
      <c r="B97" s="6"/>
      <c r="C97" s="8" t="s">
        <v>81</v>
      </c>
      <c r="D97" s="8" t="s">
        <v>82</v>
      </c>
      <c r="E97" s="8" t="s">
        <v>83</v>
      </c>
      <c r="F97" s="8"/>
      <c r="G97" s="8"/>
      <c r="H97" s="8" t="s">
        <v>224</v>
      </c>
    </row>
    <row r="98" spans="1:8" ht="13.5" thickBot="1">
      <c r="A98" s="12" t="s">
        <v>85</v>
      </c>
      <c r="B98" s="5" t="s">
        <v>86</v>
      </c>
      <c r="C98" s="8" t="s">
        <v>87</v>
      </c>
      <c r="D98" s="8" t="s">
        <v>88</v>
      </c>
      <c r="E98" s="8" t="s">
        <v>32</v>
      </c>
      <c r="F98" s="61"/>
      <c r="G98" s="8"/>
      <c r="H98" s="8" t="s">
        <v>35</v>
      </c>
    </row>
    <row r="99" spans="1:8" ht="13.5" thickTop="1">
      <c r="A99" s="67" t="s">
        <v>122</v>
      </c>
      <c r="B99" s="399"/>
      <c r="C99" s="400"/>
      <c r="D99" s="401"/>
      <c r="E99" s="402"/>
      <c r="F99" s="343"/>
      <c r="G99" s="332"/>
      <c r="H99" s="375"/>
    </row>
    <row r="100" spans="1:8" ht="12.75">
      <c r="A100" s="68"/>
      <c r="B100" s="403"/>
      <c r="C100" s="404"/>
      <c r="D100" s="405"/>
      <c r="E100" s="406"/>
      <c r="F100" s="343"/>
      <c r="G100" s="332"/>
      <c r="H100" s="376"/>
    </row>
    <row r="101" spans="1:8" ht="12.75">
      <c r="A101" s="68"/>
      <c r="B101" s="403"/>
      <c r="C101" s="404"/>
      <c r="D101" s="405"/>
      <c r="E101" s="406"/>
      <c r="F101" s="343"/>
      <c r="G101" s="332"/>
      <c r="H101" s="376"/>
    </row>
    <row r="102" spans="1:8" ht="12.75">
      <c r="A102" s="68"/>
      <c r="B102" s="403"/>
      <c r="C102" s="404"/>
      <c r="D102" s="405"/>
      <c r="E102" s="406"/>
      <c r="F102" s="343"/>
      <c r="G102" s="332"/>
      <c r="H102" s="376"/>
    </row>
    <row r="103" spans="1:8" ht="12.75">
      <c r="A103" s="68"/>
      <c r="B103" s="407"/>
      <c r="C103" s="408"/>
      <c r="D103" s="409"/>
      <c r="E103" s="410"/>
      <c r="F103" s="343"/>
      <c r="G103" s="332"/>
      <c r="H103" s="376"/>
    </row>
    <row r="104" spans="1:8" ht="12.75">
      <c r="A104" s="68"/>
      <c r="B104" s="407"/>
      <c r="C104" s="408"/>
      <c r="D104" s="409"/>
      <c r="E104" s="410"/>
      <c r="F104" s="343"/>
      <c r="G104" s="332"/>
      <c r="H104" s="376"/>
    </row>
    <row r="105" spans="1:8" ht="12.75">
      <c r="A105" s="69"/>
      <c r="B105" s="407"/>
      <c r="C105" s="408"/>
      <c r="D105" s="409"/>
      <c r="E105" s="410"/>
      <c r="F105" s="343"/>
      <c r="G105" s="332"/>
      <c r="H105" s="376"/>
    </row>
    <row r="106" spans="1:8" ht="12.75">
      <c r="A106" s="68"/>
      <c r="B106" s="407"/>
      <c r="C106" s="408"/>
      <c r="D106" s="409"/>
      <c r="E106" s="410"/>
      <c r="F106" s="343"/>
      <c r="G106" s="332"/>
      <c r="H106" s="376"/>
    </row>
    <row r="107" spans="1:8" ht="12.75">
      <c r="A107" s="68"/>
      <c r="B107" s="368"/>
      <c r="C107" s="411"/>
      <c r="D107" s="371"/>
      <c r="E107" s="412"/>
      <c r="F107" s="343"/>
      <c r="G107" s="332"/>
      <c r="H107" s="376"/>
    </row>
    <row r="108" spans="1:8" ht="12.75">
      <c r="A108" s="68"/>
      <c r="B108" s="368"/>
      <c r="C108" s="411"/>
      <c r="D108" s="371"/>
      <c r="E108" s="412"/>
      <c r="F108" s="343"/>
      <c r="G108" s="332"/>
      <c r="H108" s="376"/>
    </row>
    <row r="109" spans="1:8" ht="12.75">
      <c r="A109" s="68"/>
      <c r="B109" s="368"/>
      <c r="C109" s="411"/>
      <c r="D109" s="371"/>
      <c r="E109" s="412"/>
      <c r="F109" s="343"/>
      <c r="G109" s="332"/>
      <c r="H109" s="376"/>
    </row>
    <row r="110" spans="1:8" ht="13.5" thickBot="1">
      <c r="A110" s="6"/>
      <c r="B110" s="372"/>
      <c r="C110" s="413"/>
      <c r="D110" s="414"/>
      <c r="E110" s="415"/>
      <c r="F110" s="343"/>
      <c r="G110" s="332"/>
      <c r="H110" s="377"/>
    </row>
    <row r="111" spans="1:8" ht="13.5" thickTop="1">
      <c r="A111" s="314" t="s">
        <v>294</v>
      </c>
      <c r="B111" s="12"/>
      <c r="C111" s="59"/>
      <c r="D111" s="60"/>
      <c r="E111" s="59"/>
      <c r="F111" s="344"/>
      <c r="G111" s="332"/>
      <c r="H111" s="323"/>
    </row>
    <row r="112" spans="1:8" ht="13.5" thickBot="1">
      <c r="A112" s="6"/>
      <c r="B112" s="6"/>
      <c r="C112" s="6"/>
      <c r="D112" s="6"/>
      <c r="E112" s="108"/>
      <c r="F112" s="61"/>
      <c r="G112" s="332"/>
      <c r="H112" s="323"/>
    </row>
    <row r="113" spans="1:8" ht="14.25" thickBot="1" thickTop="1">
      <c r="A113" s="314" t="s">
        <v>295</v>
      </c>
      <c r="B113" s="5" t="s">
        <v>95</v>
      </c>
      <c r="C113" s="6"/>
      <c r="D113" s="6"/>
      <c r="E113" s="108"/>
      <c r="F113" s="484" t="s">
        <v>357</v>
      </c>
      <c r="G113" s="332"/>
      <c r="H113" s="375"/>
    </row>
    <row r="114" spans="1:8" ht="13.5" thickTop="1">
      <c r="A114" s="6"/>
      <c r="B114" s="5" t="s">
        <v>96</v>
      </c>
      <c r="C114" s="6"/>
      <c r="D114" s="6"/>
      <c r="E114" s="108"/>
      <c r="F114" s="416"/>
      <c r="G114" s="332"/>
      <c r="H114" s="376"/>
    </row>
    <row r="115" spans="1:8" ht="13.5" thickBot="1">
      <c r="A115" s="6"/>
      <c r="B115" s="5" t="s">
        <v>97</v>
      </c>
      <c r="C115" s="6"/>
      <c r="D115" s="6"/>
      <c r="E115" s="108"/>
      <c r="F115" s="417"/>
      <c r="G115" s="332"/>
      <c r="H115" s="377"/>
    </row>
    <row r="116" spans="1:8" ht="13.5" thickTop="1">
      <c r="A116" s="6"/>
      <c r="B116" s="6"/>
      <c r="C116" s="6"/>
      <c r="D116" s="6"/>
      <c r="E116" s="108"/>
      <c r="F116" s="331"/>
      <c r="G116" s="332"/>
      <c r="H116" s="323"/>
    </row>
    <row r="117" spans="1:8" ht="15.75">
      <c r="A117" s="137" t="s">
        <v>154</v>
      </c>
      <c r="B117" s="6"/>
      <c r="C117" s="6"/>
      <c r="D117" s="6"/>
      <c r="E117" s="108"/>
      <c r="F117" s="331"/>
      <c r="G117" s="332"/>
      <c r="H117" s="323"/>
    </row>
    <row r="118" spans="1:8" ht="12.75">
      <c r="A118" s="6"/>
      <c r="B118" s="6"/>
      <c r="C118" s="8" t="s">
        <v>81</v>
      </c>
      <c r="D118" s="8" t="s">
        <v>82</v>
      </c>
      <c r="E118" s="8" t="s">
        <v>83</v>
      </c>
      <c r="F118" s="8"/>
      <c r="G118" s="8"/>
      <c r="H118" s="8" t="s">
        <v>224</v>
      </c>
    </row>
    <row r="119" spans="1:8" ht="13.5" thickBot="1">
      <c r="A119" s="108"/>
      <c r="B119" s="5" t="s">
        <v>86</v>
      </c>
      <c r="C119" s="8" t="s">
        <v>87</v>
      </c>
      <c r="D119" s="8" t="s">
        <v>88</v>
      </c>
      <c r="E119" s="8" t="s">
        <v>32</v>
      </c>
      <c r="F119" s="61"/>
      <c r="G119" s="8"/>
      <c r="H119" s="8" t="s">
        <v>35</v>
      </c>
    </row>
    <row r="120" spans="1:8" ht="13.5" thickTop="1">
      <c r="A120" s="12" t="s">
        <v>85</v>
      </c>
      <c r="B120" s="418"/>
      <c r="C120" s="419"/>
      <c r="D120" s="420"/>
      <c r="E120" s="402"/>
      <c r="F120" s="343"/>
      <c r="G120" s="332"/>
      <c r="H120" s="375"/>
    </row>
    <row r="121" spans="1:8" ht="12.75">
      <c r="A121" s="6"/>
      <c r="B121" s="403"/>
      <c r="C121" s="404"/>
      <c r="D121" s="405"/>
      <c r="E121" s="410"/>
      <c r="F121" s="343"/>
      <c r="G121" s="332"/>
      <c r="H121" s="376"/>
    </row>
    <row r="122" spans="1:8" ht="12.75">
      <c r="A122" s="67" t="s">
        <v>122</v>
      </c>
      <c r="B122" s="403"/>
      <c r="C122" s="404"/>
      <c r="D122" s="405"/>
      <c r="E122" s="410"/>
      <c r="F122" s="343"/>
      <c r="G122" s="332"/>
      <c r="H122" s="376"/>
    </row>
    <row r="123" spans="1:8" ht="12.75">
      <c r="A123" s="6"/>
      <c r="B123" s="403"/>
      <c r="C123" s="404"/>
      <c r="D123" s="405"/>
      <c r="E123" s="410"/>
      <c r="F123" s="343"/>
      <c r="G123" s="332"/>
      <c r="H123" s="376"/>
    </row>
    <row r="124" spans="1:8" ht="12.75">
      <c r="A124" s="6"/>
      <c r="B124" s="403"/>
      <c r="C124" s="404"/>
      <c r="D124" s="405"/>
      <c r="E124" s="410"/>
      <c r="F124" s="343"/>
      <c r="G124" s="332"/>
      <c r="H124" s="376"/>
    </row>
    <row r="125" spans="1:8" ht="12.75">
      <c r="A125" s="6"/>
      <c r="B125" s="403"/>
      <c r="C125" s="404"/>
      <c r="D125" s="405"/>
      <c r="E125" s="410"/>
      <c r="F125" s="343"/>
      <c r="G125" s="332"/>
      <c r="H125" s="376"/>
    </row>
    <row r="126" spans="1:8" ht="12.75">
      <c r="A126" s="6"/>
      <c r="B126" s="403"/>
      <c r="C126" s="404"/>
      <c r="D126" s="405"/>
      <c r="E126" s="410"/>
      <c r="F126" s="343"/>
      <c r="G126" s="332"/>
      <c r="H126" s="376"/>
    </row>
    <row r="127" spans="1:8" ht="13.5" thickBot="1">
      <c r="A127" s="6"/>
      <c r="B127" s="421"/>
      <c r="C127" s="422"/>
      <c r="D127" s="423"/>
      <c r="E127" s="424"/>
      <c r="F127" s="343"/>
      <c r="G127" s="332"/>
      <c r="H127" s="377"/>
    </row>
    <row r="128" spans="1:8" ht="13.5" thickTop="1">
      <c r="A128" s="314" t="s">
        <v>294</v>
      </c>
      <c r="B128" s="12"/>
      <c r="C128" s="59"/>
      <c r="D128" s="60"/>
      <c r="E128" s="59"/>
      <c r="F128" s="25"/>
      <c r="G128" s="11"/>
      <c r="H128" s="108"/>
    </row>
    <row r="129" spans="1:8" ht="13.5" thickBot="1">
      <c r="A129" s="6"/>
      <c r="B129" s="6"/>
      <c r="C129" s="6"/>
      <c r="D129" s="6"/>
      <c r="E129" s="108"/>
      <c r="F129" s="25"/>
      <c r="G129" s="11"/>
      <c r="H129" s="108"/>
    </row>
    <row r="130" spans="1:8" ht="14.25" thickBot="1" thickTop="1">
      <c r="A130" s="314" t="s">
        <v>295</v>
      </c>
      <c r="B130" s="5" t="s">
        <v>95</v>
      </c>
      <c r="C130" s="6"/>
      <c r="D130" s="6"/>
      <c r="E130" s="108"/>
      <c r="F130" s="484" t="s">
        <v>357</v>
      </c>
      <c r="G130" s="332"/>
      <c r="H130" s="375"/>
    </row>
    <row r="131" spans="1:8" ht="13.5" thickTop="1">
      <c r="A131" s="6"/>
      <c r="B131" s="5" t="s">
        <v>99</v>
      </c>
      <c r="C131" s="6"/>
      <c r="D131" s="6"/>
      <c r="E131" s="108"/>
      <c r="F131" s="416"/>
      <c r="G131" s="332"/>
      <c r="H131" s="376"/>
    </row>
    <row r="132" spans="1:8" ht="13.5" thickBot="1">
      <c r="A132" s="6"/>
      <c r="B132" s="5" t="s">
        <v>97</v>
      </c>
      <c r="C132" s="6"/>
      <c r="D132" s="6"/>
      <c r="E132" s="108"/>
      <c r="F132" s="417"/>
      <c r="G132" s="332"/>
      <c r="H132" s="377"/>
    </row>
    <row r="133" spans="1:8" ht="13.5" thickTop="1">
      <c r="A133" s="6"/>
      <c r="B133" s="6"/>
      <c r="C133" s="6"/>
      <c r="D133" s="6"/>
      <c r="E133" s="108"/>
      <c r="F133" s="331"/>
      <c r="G133" s="332" t="s">
        <v>12</v>
      </c>
      <c r="H133" s="323"/>
    </row>
    <row r="134" spans="1:8" ht="15.75">
      <c r="A134" s="137" t="s">
        <v>155</v>
      </c>
      <c r="B134" s="6"/>
      <c r="C134" s="6"/>
      <c r="D134" s="6"/>
      <c r="E134" s="108"/>
      <c r="F134" s="331"/>
      <c r="G134" s="332" t="s">
        <v>12</v>
      </c>
      <c r="H134" s="8" t="s">
        <v>224</v>
      </c>
    </row>
    <row r="135" spans="1:8" ht="13.5" thickBot="1">
      <c r="A135" s="6"/>
      <c r="B135" s="5" t="s">
        <v>100</v>
      </c>
      <c r="C135" s="5" t="s">
        <v>101</v>
      </c>
      <c r="D135" s="5" t="s">
        <v>102</v>
      </c>
      <c r="E135" s="5"/>
      <c r="F135" s="331"/>
      <c r="G135" s="332"/>
      <c r="H135" s="8" t="s">
        <v>35</v>
      </c>
    </row>
    <row r="136" spans="1:8" ht="13.5" thickTop="1">
      <c r="A136" s="67" t="s">
        <v>122</v>
      </c>
      <c r="B136" s="418"/>
      <c r="C136" s="425"/>
      <c r="D136" s="426"/>
      <c r="E136" s="71"/>
      <c r="F136" s="331"/>
      <c r="G136" s="332"/>
      <c r="H136" s="375"/>
    </row>
    <row r="137" spans="1:8" ht="12.75">
      <c r="A137" s="64"/>
      <c r="B137" s="403"/>
      <c r="C137" s="427"/>
      <c r="D137" s="428"/>
      <c r="E137" s="71"/>
      <c r="F137" s="331"/>
      <c r="G137" s="332"/>
      <c r="H137" s="376"/>
    </row>
    <row r="138" spans="1:8" ht="12.75">
      <c r="A138" s="64"/>
      <c r="B138" s="403"/>
      <c r="C138" s="427"/>
      <c r="D138" s="428"/>
      <c r="E138" s="71"/>
      <c r="F138" s="331"/>
      <c r="G138" s="332"/>
      <c r="H138" s="376"/>
    </row>
    <row r="139" spans="1:8" ht="12.75">
      <c r="A139" s="64"/>
      <c r="B139" s="403"/>
      <c r="C139" s="427"/>
      <c r="D139" s="428"/>
      <c r="E139" s="71"/>
      <c r="F139" s="331"/>
      <c r="G139" s="332"/>
      <c r="H139" s="376"/>
    </row>
    <row r="140" spans="1:8" ht="12.75">
      <c r="A140" s="64"/>
      <c r="B140" s="403"/>
      <c r="C140" s="427"/>
      <c r="D140" s="428"/>
      <c r="E140" s="71"/>
      <c r="F140" s="331"/>
      <c r="G140" s="332"/>
      <c r="H140" s="376"/>
    </row>
    <row r="141" spans="1:8" ht="12.75">
      <c r="A141" s="64"/>
      <c r="B141" s="403"/>
      <c r="C141" s="427"/>
      <c r="D141" s="428"/>
      <c r="E141" s="71"/>
      <c r="F141" s="331"/>
      <c r="G141" s="332"/>
      <c r="H141" s="376"/>
    </row>
    <row r="142" spans="1:8" ht="12.75">
      <c r="A142" s="64"/>
      <c r="B142" s="403"/>
      <c r="C142" s="427"/>
      <c r="D142" s="428"/>
      <c r="E142" s="71"/>
      <c r="F142" s="331"/>
      <c r="G142" s="332"/>
      <c r="H142" s="376"/>
    </row>
    <row r="143" spans="1:8" ht="12.75">
      <c r="A143" s="64"/>
      <c r="B143" s="429"/>
      <c r="C143" s="430"/>
      <c r="D143" s="412"/>
      <c r="E143" s="71"/>
      <c r="F143" s="331"/>
      <c r="G143" s="332"/>
      <c r="H143" s="376"/>
    </row>
    <row r="144" spans="1:8" ht="12.75">
      <c r="A144" s="64"/>
      <c r="B144" s="429"/>
      <c r="C144" s="430"/>
      <c r="D144" s="412"/>
      <c r="E144" s="71"/>
      <c r="F144" s="331"/>
      <c r="G144" s="332"/>
      <c r="H144" s="376"/>
    </row>
    <row r="145" spans="1:8" ht="13.5" thickBot="1">
      <c r="A145" s="64"/>
      <c r="B145" s="431"/>
      <c r="C145" s="432"/>
      <c r="D145" s="415"/>
      <c r="E145" s="71"/>
      <c r="F145" s="331"/>
      <c r="G145" s="332"/>
      <c r="H145" s="377"/>
    </row>
    <row r="146" spans="1:8" ht="14.25" thickBot="1" thickTop="1">
      <c r="A146" s="65"/>
      <c r="B146" s="13"/>
      <c r="C146" s="13"/>
      <c r="D146" s="5"/>
      <c r="E146" s="59"/>
      <c r="F146" s="331"/>
      <c r="G146" s="332"/>
      <c r="H146" s="8"/>
    </row>
    <row r="147" spans="1:8" ht="14.25" thickBot="1" thickTop="1">
      <c r="A147" s="314" t="s">
        <v>295</v>
      </c>
      <c r="B147" s="5" t="s">
        <v>95</v>
      </c>
      <c r="C147" s="6"/>
      <c r="D147" s="6"/>
      <c r="E147" s="108"/>
      <c r="F147" s="484" t="s">
        <v>357</v>
      </c>
      <c r="G147" s="332"/>
      <c r="H147" s="375"/>
    </row>
    <row r="148" spans="1:8" ht="14.25" thickBot="1" thickTop="1">
      <c r="A148" s="63"/>
      <c r="B148" s="5" t="s">
        <v>104</v>
      </c>
      <c r="C148" s="6"/>
      <c r="D148" s="6"/>
      <c r="E148" s="108"/>
      <c r="F148" s="346"/>
      <c r="G148" s="332"/>
      <c r="H148" s="377"/>
    </row>
    <row r="149" spans="1:8" ht="13.5" thickTop="1">
      <c r="A149" s="6"/>
      <c r="B149" s="6" t="s">
        <v>293</v>
      </c>
      <c r="C149" s="6"/>
      <c r="D149" s="6"/>
      <c r="E149" s="108"/>
      <c r="F149" s="9"/>
      <c r="G149" s="10"/>
      <c r="H149" s="108"/>
    </row>
    <row r="150" spans="1:8" ht="12.75">
      <c r="A150" s="108"/>
      <c r="B150" s="6"/>
      <c r="C150" s="6"/>
      <c r="D150" s="6"/>
      <c r="E150" s="108"/>
      <c r="F150" s="9"/>
      <c r="G150" s="10" t="s">
        <v>12</v>
      </c>
      <c r="H150" s="108"/>
    </row>
    <row r="151" spans="1:8" ht="15.75">
      <c r="A151" s="137" t="s">
        <v>227</v>
      </c>
      <c r="B151" s="6"/>
      <c r="C151" s="6"/>
      <c r="D151" s="6"/>
      <c r="E151" s="108"/>
      <c r="F151" s="9"/>
      <c r="G151" s="11"/>
      <c r="H151" s="108"/>
    </row>
    <row r="152" spans="1:8" ht="12.75">
      <c r="A152" s="6"/>
      <c r="B152" s="6"/>
      <c r="C152" s="8" t="s">
        <v>81</v>
      </c>
      <c r="D152" s="8" t="s">
        <v>82</v>
      </c>
      <c r="E152" s="8" t="s">
        <v>83</v>
      </c>
      <c r="F152" s="8"/>
      <c r="G152" s="8"/>
      <c r="H152" s="8" t="s">
        <v>224</v>
      </c>
    </row>
    <row r="153" spans="1:8" ht="13.5" thickBot="1">
      <c r="A153" s="5" t="s">
        <v>85</v>
      </c>
      <c r="B153" s="5" t="s">
        <v>86</v>
      </c>
      <c r="C153" s="8" t="s">
        <v>87</v>
      </c>
      <c r="D153" s="8" t="s">
        <v>88</v>
      </c>
      <c r="E153" s="8" t="s">
        <v>32</v>
      </c>
      <c r="F153" s="61"/>
      <c r="G153" s="8"/>
      <c r="H153" s="8" t="s">
        <v>35</v>
      </c>
    </row>
    <row r="154" spans="1:8" ht="14.25" thickBot="1" thickTop="1">
      <c r="A154" s="544" t="s">
        <v>296</v>
      </c>
      <c r="B154" s="465" t="s">
        <v>228</v>
      </c>
      <c r="C154" s="469"/>
      <c r="D154" s="433"/>
      <c r="E154" s="434"/>
      <c r="F154" s="343"/>
      <c r="G154" s="332"/>
      <c r="H154" s="375"/>
    </row>
    <row r="155" spans="1:8" ht="14.25" thickBot="1" thickTop="1">
      <c r="A155" s="544"/>
      <c r="B155" s="467" t="s">
        <v>229</v>
      </c>
      <c r="C155" s="471"/>
      <c r="D155" s="468"/>
      <c r="E155" s="435"/>
      <c r="F155" s="343"/>
      <c r="G155" s="332"/>
      <c r="H155" s="376"/>
    </row>
    <row r="156" spans="1:8" ht="14.25" thickBot="1" thickTop="1">
      <c r="A156" s="64"/>
      <c r="B156" s="466" t="s">
        <v>356</v>
      </c>
      <c r="C156" s="470"/>
      <c r="D156" s="414"/>
      <c r="E156" s="415"/>
      <c r="F156" s="343"/>
      <c r="G156" s="332"/>
      <c r="H156" s="377"/>
    </row>
    <row r="157" spans="1:8" ht="13.5" thickTop="1">
      <c r="A157" s="314" t="s">
        <v>294</v>
      </c>
      <c r="B157" s="12"/>
      <c r="C157" s="59"/>
      <c r="D157" s="60"/>
      <c r="E157" s="59"/>
      <c r="F157" s="61"/>
      <c r="G157" s="332"/>
      <c r="H157" s="323"/>
    </row>
    <row r="158" spans="1:8" ht="13.5" thickBot="1">
      <c r="A158" s="65"/>
      <c r="B158" s="6"/>
      <c r="C158" s="60"/>
      <c r="D158" s="60"/>
      <c r="E158" s="110"/>
      <c r="F158" s="61"/>
      <c r="G158" s="332"/>
      <c r="H158" s="323"/>
    </row>
    <row r="159" spans="1:8" ht="14.25" thickBot="1" thickTop="1">
      <c r="A159" s="314" t="s">
        <v>295</v>
      </c>
      <c r="B159" s="5" t="s">
        <v>95</v>
      </c>
      <c r="C159" s="6"/>
      <c r="D159" s="6"/>
      <c r="E159" s="108"/>
      <c r="F159" s="484" t="s">
        <v>357</v>
      </c>
      <c r="G159" s="332"/>
      <c r="H159" s="375"/>
    </row>
    <row r="160" spans="1:8" ht="14.25" thickBot="1" thickTop="1">
      <c r="A160" s="104"/>
      <c r="B160" s="5" t="s">
        <v>105</v>
      </c>
      <c r="C160" s="6"/>
      <c r="D160" s="6"/>
      <c r="E160" s="108"/>
      <c r="F160" s="346"/>
      <c r="G160" s="332"/>
      <c r="H160" s="377"/>
    </row>
    <row r="161" spans="1:8" ht="13.5" thickTop="1">
      <c r="A161" s="108"/>
      <c r="B161" s="6"/>
      <c r="C161" s="6"/>
      <c r="D161" s="6"/>
      <c r="E161" s="108"/>
      <c r="F161" s="331"/>
      <c r="G161" s="332" t="s">
        <v>12</v>
      </c>
      <c r="H161" s="323"/>
    </row>
    <row r="162" spans="1:8" ht="13.5" thickBot="1">
      <c r="A162" s="106" t="s">
        <v>360</v>
      </c>
      <c r="B162" s="102"/>
      <c r="C162" s="142" t="s">
        <v>309</v>
      </c>
      <c r="D162" s="102"/>
      <c r="E162" s="126"/>
      <c r="F162" s="126"/>
      <c r="G162" s="126" t="s">
        <v>310</v>
      </c>
      <c r="H162" s="323"/>
    </row>
    <row r="163" spans="1:8" ht="13.5" thickTop="1">
      <c r="A163" s="102" t="s">
        <v>317</v>
      </c>
      <c r="B163" s="102"/>
      <c r="C163" s="453"/>
      <c r="D163" s="150"/>
      <c r="E163" s="126"/>
      <c r="F163" s="150" t="s">
        <v>312</v>
      </c>
      <c r="G163" s="462"/>
      <c r="H163" s="323"/>
    </row>
    <row r="164" spans="1:8" ht="13.5" thickBot="1">
      <c r="A164" s="106" t="s">
        <v>318</v>
      </c>
      <c r="B164" s="102"/>
      <c r="C164" s="455"/>
      <c r="D164" s="4"/>
      <c r="E164" s="150"/>
      <c r="F164" s="150" t="s">
        <v>312</v>
      </c>
      <c r="G164" s="464"/>
      <c r="H164" s="323"/>
    </row>
    <row r="165" ht="13.5" thickTop="1"/>
    <row r="166" ht="13.5" thickBot="1">
      <c r="A166" t="s">
        <v>361</v>
      </c>
    </row>
    <row r="167" spans="1:6" ht="13.5" thickTop="1">
      <c r="A167" s="549" t="s">
        <v>354</v>
      </c>
      <c r="B167" s="549"/>
      <c r="C167" s="549"/>
      <c r="D167" s="483"/>
      <c r="F167" s="462"/>
    </row>
    <row r="168" spans="1:6" ht="13.5" thickBot="1">
      <c r="A168" s="549" t="s">
        <v>355</v>
      </c>
      <c r="B168" s="549"/>
      <c r="C168" s="549"/>
      <c r="D168" s="483"/>
      <c r="F168" s="463"/>
    </row>
    <row r="169" ht="13.5" thickTop="1"/>
    <row r="172" ht="12.75">
      <c r="A172" t="s">
        <v>359</v>
      </c>
    </row>
  </sheetData>
  <sheetProtection sheet="1" objects="1" scenarios="1"/>
  <mergeCells count="17">
    <mergeCell ref="A168:C168"/>
    <mergeCell ref="A26:B26"/>
    <mergeCell ref="B78:C78"/>
    <mergeCell ref="B79:C79"/>
    <mergeCell ref="B80:C80"/>
    <mergeCell ref="A22:B22"/>
    <mergeCell ref="A23:B23"/>
    <mergeCell ref="A24:B24"/>
    <mergeCell ref="A25:B25"/>
    <mergeCell ref="A154:A155"/>
    <mergeCell ref="A167:C167"/>
    <mergeCell ref="A18:B18"/>
    <mergeCell ref="A19:B19"/>
    <mergeCell ref="A14:B14"/>
    <mergeCell ref="A15:B15"/>
    <mergeCell ref="A16:B16"/>
    <mergeCell ref="A17:B17"/>
  </mergeCells>
  <printOptions/>
  <pageMargins left="0.5" right="0.5" top="0.5" bottom="0.5" header="0.5" footer="0.5"/>
  <pageSetup fitToHeight="1" fitToWidth="1" horizontalDpi="300" verticalDpi="300" orientation="landscape" scale="2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Cow Calf Feeder Stocker Cost of Production</dc:title>
  <dc:subject/>
  <dc:creator>Duane Griffith</dc:creator>
  <cp:keywords/>
  <dc:description/>
  <cp:lastModifiedBy>Patrick Hatfield</cp:lastModifiedBy>
  <cp:lastPrinted>2012-03-29T18:48:46Z</cp:lastPrinted>
  <dcterms:created xsi:type="dcterms:W3CDTF">1998-01-13T19:42:44Z</dcterms:created>
  <dcterms:modified xsi:type="dcterms:W3CDTF">2012-03-29T18:57:09Z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